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ynma\Downloads\"/>
    </mc:Choice>
  </mc:AlternateContent>
  <xr:revisionPtr revIDLastSave="0" documentId="8_{98B46045-1A29-4566-A7EF-1CF8C653B17E}" xr6:coauthVersionLast="47" xr6:coauthVersionMax="47" xr10:uidLastSave="{00000000-0000-0000-0000-000000000000}"/>
  <bookViews>
    <workbookView xWindow="-108" yWindow="-108" windowWidth="23256" windowHeight="12576" tabRatio="665" activeTab="4" xr2:uid="{00000000-000D-0000-FFFF-FFFF00000000}"/>
  </bookViews>
  <sheets>
    <sheet name="Read Me First" sheetId="26" r:id="rId1"/>
    <sheet name="75m" sheetId="13" r:id="rId2"/>
    <sheet name="600m" sheetId="20" r:id="rId3"/>
    <sheet name="LongJump" sheetId="22" r:id="rId4"/>
    <sheet name="Vortex" sheetId="21" r:id="rId5"/>
    <sheet name="QKResults" sheetId="42" r:id="rId6"/>
    <sheet name="Declarations" sheetId="27" r:id="rId7"/>
    <sheet name="Timetable" sheetId="43" r:id="rId8"/>
    <sheet name="FieldCards" sheetId="29" r:id="rId9"/>
    <sheet name="Data" sheetId="40" r:id="rId10"/>
    <sheet name="ScoringTable" sheetId="28" r:id="rId11"/>
    <sheet name="BlockAllocations" sheetId="33" r:id="rId12"/>
    <sheet name="(Not in Use - funetics)" sheetId="44" r:id="rId13"/>
  </sheets>
  <definedNames>
    <definedName name="_xlnm.Print_Area" localSheetId="12">'(Not in Use - funetics)'!$A$1:$V$428</definedName>
    <definedName name="_xlnm.Print_Area" localSheetId="2">'600m'!$A$1:$K$293</definedName>
    <definedName name="_xlnm.Print_Area" localSheetId="9">Data!#REF!</definedName>
    <definedName name="_xlnm.Print_Area" localSheetId="6">Declarations!$A$1:$F$185</definedName>
    <definedName name="_xlnm.Print_Area" localSheetId="8">FieldCards!$A$1:$H$480</definedName>
    <definedName name="_xlnm.Print_Area" localSheetId="3">LongJump!$A$1:$K$293</definedName>
    <definedName name="_xlnm.Print_Area" localSheetId="5">QKResults!$A$1:$V$418</definedName>
    <definedName name="_xlnm.Print_Area" localSheetId="7">Timetable!$A$1:$M$18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0" l="1"/>
  <c r="I8" i="20"/>
  <c r="I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86" i="20"/>
  <c r="I87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I100" i="20"/>
  <c r="I101" i="20"/>
  <c r="I102" i="20"/>
  <c r="I103" i="20"/>
  <c r="I104" i="20"/>
  <c r="I105" i="20"/>
  <c r="I106" i="20"/>
  <c r="I107" i="20"/>
  <c r="I108" i="20"/>
  <c r="I109" i="20"/>
  <c r="I110" i="20"/>
  <c r="I111" i="20"/>
  <c r="I112" i="20"/>
  <c r="I113" i="20"/>
  <c r="I114" i="20"/>
  <c r="I115" i="20"/>
  <c r="I116" i="20"/>
  <c r="I117" i="20"/>
  <c r="I118" i="20"/>
  <c r="I119" i="20"/>
  <c r="I120" i="20"/>
  <c r="I121" i="20"/>
  <c r="I122" i="20"/>
  <c r="I123" i="20"/>
  <c r="I124" i="20"/>
  <c r="I125" i="20"/>
  <c r="I126" i="20"/>
  <c r="I127" i="20"/>
  <c r="I128" i="20"/>
  <c r="I129" i="20"/>
  <c r="I130" i="20"/>
  <c r="I131" i="20"/>
  <c r="I132" i="20"/>
  <c r="I133" i="20"/>
  <c r="I134" i="20"/>
  <c r="I135" i="20"/>
  <c r="I136" i="20"/>
  <c r="I137" i="20"/>
  <c r="I138" i="20"/>
  <c r="I139" i="20"/>
  <c r="I140" i="20"/>
  <c r="I141" i="20"/>
  <c r="I142" i="20"/>
  <c r="I143" i="20"/>
  <c r="I144" i="20"/>
  <c r="I145" i="20"/>
  <c r="I146" i="20"/>
  <c r="I147" i="20"/>
  <c r="I148" i="20"/>
  <c r="I149" i="20"/>
  <c r="I150" i="20"/>
  <c r="I151" i="20"/>
  <c r="I152" i="20"/>
  <c r="I153" i="20"/>
  <c r="I154" i="20"/>
  <c r="I155" i="20"/>
  <c r="I156" i="20"/>
  <c r="I157" i="20"/>
  <c r="I158" i="20"/>
  <c r="I159" i="20"/>
  <c r="I160" i="20"/>
  <c r="I161" i="20"/>
  <c r="I162" i="20"/>
  <c r="I163" i="20"/>
  <c r="I164" i="20"/>
  <c r="I165" i="20"/>
  <c r="I166" i="20"/>
  <c r="I167" i="20"/>
  <c r="I168" i="20"/>
  <c r="I169" i="20"/>
  <c r="I170" i="20"/>
  <c r="I171" i="20"/>
  <c r="I172" i="20"/>
  <c r="I173" i="20"/>
  <c r="I174" i="20"/>
  <c r="I175" i="20"/>
  <c r="I176" i="20"/>
  <c r="I177" i="20"/>
  <c r="I178" i="20"/>
  <c r="I179" i="20"/>
  <c r="I180" i="20"/>
  <c r="I181" i="20"/>
  <c r="I182" i="20"/>
  <c r="I183" i="20"/>
  <c r="I184" i="20"/>
  <c r="I185" i="20"/>
  <c r="I186" i="20"/>
  <c r="I187" i="20"/>
  <c r="I188" i="20"/>
  <c r="I189" i="20"/>
  <c r="I190" i="20"/>
  <c r="I191" i="20"/>
  <c r="I192" i="20"/>
  <c r="I193" i="20"/>
  <c r="I194" i="20"/>
  <c r="I195" i="20"/>
  <c r="I196" i="20"/>
  <c r="I197" i="20"/>
  <c r="I198" i="20"/>
  <c r="I199" i="20"/>
  <c r="I200" i="20"/>
  <c r="I201" i="20"/>
  <c r="I202" i="20"/>
  <c r="I203" i="20"/>
  <c r="I204" i="20"/>
  <c r="I205" i="20"/>
  <c r="I206" i="20"/>
  <c r="I207" i="20"/>
  <c r="I208" i="20"/>
  <c r="I209" i="20"/>
  <c r="I210" i="20"/>
  <c r="I211" i="20"/>
  <c r="I212" i="20"/>
  <c r="I213" i="20"/>
  <c r="I214" i="20"/>
  <c r="I215" i="20"/>
  <c r="I216" i="20"/>
  <c r="I217" i="20"/>
  <c r="I218" i="20"/>
  <c r="I219" i="20"/>
  <c r="I220" i="20"/>
  <c r="I221" i="20"/>
  <c r="I222" i="20"/>
  <c r="I223" i="20"/>
  <c r="I224" i="20"/>
  <c r="I225" i="20"/>
  <c r="I226" i="20"/>
  <c r="I227" i="20"/>
  <c r="I228" i="20"/>
  <c r="I229" i="20"/>
  <c r="I230" i="20"/>
  <c r="I231" i="20"/>
  <c r="I232" i="20"/>
  <c r="I233" i="20"/>
  <c r="I234" i="20"/>
  <c r="I235" i="20"/>
  <c r="I236" i="20"/>
  <c r="I237" i="20"/>
  <c r="I238" i="20"/>
  <c r="I239" i="20"/>
  <c r="I240" i="20"/>
  <c r="I241" i="20"/>
  <c r="I242" i="20"/>
  <c r="I243" i="20"/>
  <c r="I244" i="20"/>
  <c r="I245" i="20"/>
  <c r="I246" i="20"/>
  <c r="I247" i="20"/>
  <c r="I248" i="20"/>
  <c r="I249" i="20"/>
  <c r="I250" i="20"/>
  <c r="I251" i="20"/>
  <c r="I252" i="20"/>
  <c r="I253" i="20"/>
  <c r="I254" i="20"/>
  <c r="I255" i="20"/>
  <c r="I256" i="20"/>
  <c r="I257" i="20"/>
  <c r="I258" i="20"/>
  <c r="I259" i="20"/>
  <c r="I260" i="20"/>
  <c r="I261" i="20"/>
  <c r="I262" i="20"/>
  <c r="I263" i="20"/>
  <c r="I264" i="20"/>
  <c r="I265" i="20"/>
  <c r="I266" i="20"/>
  <c r="I267" i="20"/>
  <c r="I268" i="20"/>
  <c r="I269" i="20"/>
  <c r="I270" i="20"/>
  <c r="I271" i="20"/>
  <c r="I272" i="20"/>
  <c r="I273" i="20"/>
  <c r="I274" i="20"/>
  <c r="I275" i="20"/>
  <c r="I276" i="20"/>
  <c r="I277" i="20"/>
  <c r="I278" i="20"/>
  <c r="I279" i="20"/>
  <c r="I280" i="20"/>
  <c r="I281" i="20"/>
  <c r="I282" i="20"/>
  <c r="I283" i="20"/>
  <c r="I284" i="20"/>
  <c r="I285" i="20"/>
  <c r="I286" i="20"/>
  <c r="I287" i="20"/>
  <c r="I288" i="20"/>
  <c r="I289" i="20"/>
  <c r="I290" i="20"/>
  <c r="I291" i="20"/>
  <c r="I292" i="20"/>
  <c r="I293" i="20"/>
  <c r="I6" i="20"/>
  <c r="C11" i="26" l="1" a="1"/>
  <c r="C11" i="26" s="1"/>
  <c r="A34" i="40"/>
  <c r="B34" i="40" s="1"/>
  <c r="A35" i="40"/>
  <c r="B35" i="40" s="1"/>
  <c r="A36" i="40"/>
  <c r="E36" i="40" s="1"/>
  <c r="A37" i="40"/>
  <c r="B37" i="40" s="1"/>
  <c r="A38" i="40"/>
  <c r="B38" i="40" s="1"/>
  <c r="A39" i="40"/>
  <c r="A40" i="40"/>
  <c r="A41" i="40"/>
  <c r="E41" i="40" s="1"/>
  <c r="A42" i="40"/>
  <c r="A43" i="40"/>
  <c r="A44" i="40"/>
  <c r="B44" i="40" s="1"/>
  <c r="A45" i="40"/>
  <c r="B45" i="40" s="1"/>
  <c r="A46" i="40"/>
  <c r="A47" i="40"/>
  <c r="B47" i="40" s="1"/>
  <c r="A48" i="40"/>
  <c r="E48" i="40" s="1"/>
  <c r="A49" i="40"/>
  <c r="A50" i="40"/>
  <c r="B50" i="40" s="1"/>
  <c r="A51" i="40"/>
  <c r="B51" i="40" s="1"/>
  <c r="A52" i="40"/>
  <c r="A53" i="40"/>
  <c r="D53" i="40" s="1"/>
  <c r="A54" i="40"/>
  <c r="A55" i="40"/>
  <c r="B55" i="40" s="1"/>
  <c r="A56" i="40"/>
  <c r="B56" i="40" s="1"/>
  <c r="A57" i="40"/>
  <c r="A58" i="40"/>
  <c r="B58" i="40" s="1"/>
  <c r="A59" i="40"/>
  <c r="B59" i="40" s="1"/>
  <c r="A60" i="40"/>
  <c r="E60" i="40" s="1"/>
  <c r="A61" i="40"/>
  <c r="D61" i="40" s="1"/>
  <c r="A62" i="40"/>
  <c r="A63" i="40"/>
  <c r="A64" i="40"/>
  <c r="A65" i="40"/>
  <c r="D65" i="40" s="1"/>
  <c r="A66" i="40"/>
  <c r="A67" i="40"/>
  <c r="A68" i="40"/>
  <c r="A69" i="40"/>
  <c r="A70" i="40"/>
  <c r="A71" i="40"/>
  <c r="B71" i="40" s="1"/>
  <c r="A72" i="40"/>
  <c r="D72" i="40" s="1"/>
  <c r="A73" i="40"/>
  <c r="B73" i="40" s="1"/>
  <c r="A74" i="40"/>
  <c r="D74" i="40" s="1"/>
  <c r="A75" i="40"/>
  <c r="B75" i="40" s="1"/>
  <c r="A76" i="40"/>
  <c r="A77" i="40"/>
  <c r="B77" i="40" s="1"/>
  <c r="A78" i="40"/>
  <c r="B78" i="40" s="1"/>
  <c r="A79" i="40"/>
  <c r="E79" i="40" s="1"/>
  <c r="A80" i="40"/>
  <c r="B80" i="40" s="1"/>
  <c r="A81" i="40"/>
  <c r="B81" i="40" s="1"/>
  <c r="A82" i="40"/>
  <c r="D82" i="40" s="1"/>
  <c r="A83" i="40"/>
  <c r="A84" i="40"/>
  <c r="A85" i="40"/>
  <c r="A86" i="40"/>
  <c r="E86" i="40" s="1"/>
  <c r="A87" i="40"/>
  <c r="A88" i="40"/>
  <c r="B88" i="40" s="1"/>
  <c r="A89" i="40"/>
  <c r="B89" i="40" s="1"/>
  <c r="A90" i="40"/>
  <c r="B90" i="40" s="1"/>
  <c r="A91" i="40"/>
  <c r="B91" i="40" s="1"/>
  <c r="A92" i="40"/>
  <c r="A93" i="40"/>
  <c r="E93" i="40" s="1"/>
  <c r="A94" i="40"/>
  <c r="A95" i="40"/>
  <c r="A96" i="40"/>
  <c r="E96" i="40" s="1"/>
  <c r="A97" i="40"/>
  <c r="E97" i="40" s="1"/>
  <c r="A98" i="40"/>
  <c r="A99" i="40"/>
  <c r="A100" i="40"/>
  <c r="B100" i="40" s="1"/>
  <c r="A101" i="40"/>
  <c r="A102" i="40"/>
  <c r="E102" i="40" s="1"/>
  <c r="A103" i="40"/>
  <c r="B103" i="40" s="1"/>
  <c r="A104" i="40"/>
  <c r="E104" i="40" s="1"/>
  <c r="A105" i="40"/>
  <c r="B105" i="40" s="1"/>
  <c r="A106" i="40"/>
  <c r="A107" i="40"/>
  <c r="A108" i="40"/>
  <c r="A109" i="40"/>
  <c r="A110" i="40"/>
  <c r="B110" i="40" s="1"/>
  <c r="A111" i="40"/>
  <c r="A112" i="40"/>
  <c r="B112" i="40" s="1"/>
  <c r="A113" i="40"/>
  <c r="B113" i="40" s="1"/>
  <c r="A114" i="40"/>
  <c r="A115" i="40"/>
  <c r="A116" i="40"/>
  <c r="A117" i="40"/>
  <c r="A118" i="40"/>
  <c r="A119" i="40"/>
  <c r="B119" i="40" s="1"/>
  <c r="A120" i="40"/>
  <c r="E120" i="40" s="1"/>
  <c r="A121" i="40"/>
  <c r="B121" i="40" s="1"/>
  <c r="A122" i="40"/>
  <c r="B122" i="40" s="1"/>
  <c r="A123" i="40"/>
  <c r="A124" i="40"/>
  <c r="B124" i="40" s="1"/>
  <c r="A125" i="40"/>
  <c r="B125" i="40" s="1"/>
  <c r="A126" i="40"/>
  <c r="E126" i="40" s="1"/>
  <c r="A127" i="40"/>
  <c r="D127" i="40" s="1"/>
  <c r="A128" i="40"/>
  <c r="B128" i="40" s="1"/>
  <c r="A129" i="40"/>
  <c r="E129" i="40" s="1"/>
  <c r="A130" i="40"/>
  <c r="A131" i="40"/>
  <c r="D131" i="40" s="1"/>
  <c r="A132" i="40"/>
  <c r="A133" i="40"/>
  <c r="B133" i="40" s="1"/>
  <c r="A134" i="40"/>
  <c r="E134" i="40" s="1"/>
  <c r="A135" i="40"/>
  <c r="B135" i="40" s="1"/>
  <c r="A136" i="40"/>
  <c r="D136" i="40" s="1"/>
  <c r="A137" i="40"/>
  <c r="D137" i="40" s="1"/>
  <c r="A138" i="40"/>
  <c r="A139" i="40"/>
  <c r="E139" i="40" s="1"/>
  <c r="A140" i="40"/>
  <c r="A141" i="40"/>
  <c r="E141" i="40" s="1"/>
  <c r="A142" i="40"/>
  <c r="A143" i="40"/>
  <c r="B143" i="40" s="1"/>
  <c r="A144" i="40"/>
  <c r="A145" i="40"/>
  <c r="B145" i="40" s="1"/>
  <c r="A146" i="40"/>
  <c r="A147" i="40"/>
  <c r="B147" i="40" s="1"/>
  <c r="A148" i="40"/>
  <c r="A149" i="40"/>
  <c r="B149" i="40" s="1"/>
  <c r="A150" i="40"/>
  <c r="A151" i="40"/>
  <c r="D151" i="40" s="1"/>
  <c r="A152" i="40"/>
  <c r="A153" i="40"/>
  <c r="A154" i="40"/>
  <c r="D154" i="40" s="1"/>
  <c r="A155" i="40"/>
  <c r="A156" i="40"/>
  <c r="E156" i="40" s="1"/>
  <c r="A157" i="40"/>
  <c r="D157" i="40" s="1"/>
  <c r="A158" i="40"/>
  <c r="A159" i="40"/>
  <c r="B159" i="40" s="1"/>
  <c r="A160" i="40"/>
  <c r="D160" i="40" s="1"/>
  <c r="A161" i="40"/>
  <c r="A162" i="40"/>
  <c r="B162" i="40" s="1"/>
  <c r="A163" i="40"/>
  <c r="B163" i="40" s="1"/>
  <c r="A164" i="40"/>
  <c r="A165" i="40"/>
  <c r="B165" i="40" s="1"/>
  <c r="A166" i="40"/>
  <c r="D166" i="40" s="1"/>
  <c r="A167" i="40"/>
  <c r="B167" i="40" s="1"/>
  <c r="A168" i="40"/>
  <c r="A169" i="40"/>
  <c r="A170" i="40"/>
  <c r="B170" i="40" s="1"/>
  <c r="A171" i="40"/>
  <c r="A172" i="40"/>
  <c r="B172" i="40" s="1"/>
  <c r="A173" i="40"/>
  <c r="B173" i="40" s="1"/>
  <c r="A174" i="40"/>
  <c r="E174" i="40" s="1"/>
  <c r="A175" i="40"/>
  <c r="B175" i="40" s="1"/>
  <c r="A176" i="40"/>
  <c r="D176" i="40" s="1"/>
  <c r="A177" i="40"/>
  <c r="A178" i="40"/>
  <c r="D178" i="40" s="1"/>
  <c r="A179" i="40"/>
  <c r="B179" i="40" s="1"/>
  <c r="A180" i="40"/>
  <c r="B180" i="40" s="1"/>
  <c r="A181" i="40"/>
  <c r="B181" i="40" s="1"/>
  <c r="A182" i="40"/>
  <c r="A183" i="40"/>
  <c r="B183" i="40" s="1"/>
  <c r="A184" i="40"/>
  <c r="A185" i="40"/>
  <c r="B185" i="40" s="1"/>
  <c r="A186" i="40"/>
  <c r="B186" i="40" s="1"/>
  <c r="A187" i="40"/>
  <c r="A188" i="40"/>
  <c r="D188" i="40" s="1"/>
  <c r="A189" i="40"/>
  <c r="E189" i="40" s="1"/>
  <c r="A190" i="40"/>
  <c r="D190" i="40" s="1"/>
  <c r="A191" i="40"/>
  <c r="A192" i="40"/>
  <c r="D192" i="40" s="1"/>
  <c r="A193" i="40"/>
  <c r="A194" i="40"/>
  <c r="A195" i="40"/>
  <c r="A196" i="40"/>
  <c r="B196" i="40" s="1"/>
  <c r="A197" i="40"/>
  <c r="E197" i="40" s="1"/>
  <c r="A198" i="40"/>
  <c r="D198" i="40" s="1"/>
  <c r="A199" i="40"/>
  <c r="B199" i="40" s="1"/>
  <c r="A200" i="40"/>
  <c r="B200" i="40" s="1"/>
  <c r="A201" i="40"/>
  <c r="A202" i="40"/>
  <c r="B202" i="40" s="1"/>
  <c r="A203" i="40"/>
  <c r="E203" i="40" s="1"/>
  <c r="A204" i="40"/>
  <c r="B204" i="40" s="1"/>
  <c r="A205" i="40"/>
  <c r="B205" i="40" s="1"/>
  <c r="A206" i="40"/>
  <c r="D206" i="40" s="1"/>
  <c r="A207" i="40"/>
  <c r="A208" i="40"/>
  <c r="E208" i="40" s="1"/>
  <c r="A209" i="40"/>
  <c r="E209" i="40" s="1"/>
  <c r="A210" i="40"/>
  <c r="A211" i="40"/>
  <c r="B211" i="40" s="1"/>
  <c r="A212" i="40"/>
  <c r="A250" i="40"/>
  <c r="E250" i="40" s="1"/>
  <c r="A251" i="40"/>
  <c r="A252" i="40"/>
  <c r="E252" i="40" s="1"/>
  <c r="A253" i="40"/>
  <c r="A254" i="40"/>
  <c r="B254" i="40" s="1"/>
  <c r="A255" i="40"/>
  <c r="A256" i="40"/>
  <c r="D256" i="40" s="1"/>
  <c r="A257" i="40"/>
  <c r="B257" i="40" s="1"/>
  <c r="A258" i="40"/>
  <c r="B258" i="40" s="1"/>
  <c r="A259" i="40"/>
  <c r="A260" i="40"/>
  <c r="E260" i="40" s="1"/>
  <c r="A261" i="40"/>
  <c r="A262" i="40"/>
  <c r="A263" i="40"/>
  <c r="B263" i="40" s="1"/>
  <c r="A264" i="40"/>
  <c r="D264" i="40" s="1"/>
  <c r="A265" i="40"/>
  <c r="A266" i="40"/>
  <c r="A267" i="40"/>
  <c r="A268" i="40"/>
  <c r="B268" i="40" s="1"/>
  <c r="A269" i="40"/>
  <c r="E269" i="40" s="1"/>
  <c r="A270" i="40"/>
  <c r="A271" i="40"/>
  <c r="B271" i="40" s="1"/>
  <c r="A272" i="40"/>
  <c r="A273" i="40"/>
  <c r="D273" i="40" s="1"/>
  <c r="A274" i="40"/>
  <c r="D274" i="40" s="1"/>
  <c r="A275" i="40"/>
  <c r="A276" i="40"/>
  <c r="A277" i="40"/>
  <c r="A278" i="40"/>
  <c r="A279" i="40"/>
  <c r="B279" i="40" s="1"/>
  <c r="A280" i="40"/>
  <c r="A281" i="40"/>
  <c r="E281" i="40" s="1"/>
  <c r="A282" i="40"/>
  <c r="B282" i="40" s="1"/>
  <c r="A283" i="40"/>
  <c r="D283" i="40" s="1"/>
  <c r="A284" i="40"/>
  <c r="B284" i="40" s="1"/>
  <c r="A285" i="40"/>
  <c r="A286" i="40"/>
  <c r="B286" i="40" s="1"/>
  <c r="A287" i="40"/>
  <c r="A288" i="40"/>
  <c r="D288" i="40" s="1"/>
  <c r="A289" i="40"/>
  <c r="A290" i="40"/>
  <c r="D290" i="40" s="1"/>
  <c r="A291" i="40"/>
  <c r="B291" i="40" s="1"/>
  <c r="A292" i="40"/>
  <c r="E292" i="40" s="1"/>
  <c r="A293" i="40"/>
  <c r="A294" i="40"/>
  <c r="E294" i="40" s="1"/>
  <c r="A295" i="40"/>
  <c r="E295" i="40" s="1"/>
  <c r="A296" i="40"/>
  <c r="D296" i="40" s="1"/>
  <c r="A297" i="40"/>
  <c r="A298" i="40"/>
  <c r="D298" i="40" s="1"/>
  <c r="A299" i="40"/>
  <c r="A300" i="40"/>
  <c r="D300" i="40" s="1"/>
  <c r="A301" i="40"/>
  <c r="E301" i="40" s="1"/>
  <c r="A302" i="40"/>
  <c r="A303" i="40"/>
  <c r="E303" i="40" s="1"/>
  <c r="A304" i="40"/>
  <c r="E304" i="40" s="1"/>
  <c r="A305" i="40"/>
  <c r="A306" i="40"/>
  <c r="A307" i="40"/>
  <c r="A308" i="40"/>
  <c r="A309" i="40"/>
  <c r="A310" i="40"/>
  <c r="B310" i="40" s="1"/>
  <c r="A311" i="40"/>
  <c r="A312" i="40"/>
  <c r="A313" i="40"/>
  <c r="A314" i="40"/>
  <c r="B314" i="40" s="1"/>
  <c r="A315" i="40"/>
  <c r="E315" i="40" s="1"/>
  <c r="A316" i="40"/>
  <c r="B316" i="40" s="1"/>
  <c r="A317" i="40"/>
  <c r="A318" i="40"/>
  <c r="A319" i="40"/>
  <c r="A320" i="40"/>
  <c r="A321" i="40"/>
  <c r="D321" i="40" s="1"/>
  <c r="A322" i="40"/>
  <c r="A323" i="40"/>
  <c r="E323" i="40" s="1"/>
  <c r="A324" i="40"/>
  <c r="B324" i="40" s="1"/>
  <c r="A325" i="40"/>
  <c r="B325" i="40" s="1"/>
  <c r="A326" i="40"/>
  <c r="A327" i="40"/>
  <c r="E327" i="40" s="1"/>
  <c r="A328" i="40"/>
  <c r="E328" i="40" s="1"/>
  <c r="A329" i="40"/>
  <c r="B329" i="40" s="1"/>
  <c r="A330" i="40"/>
  <c r="D330" i="40" s="1"/>
  <c r="A331" i="40"/>
  <c r="B331" i="40" s="1"/>
  <c r="A332" i="40"/>
  <c r="B332" i="40" s="1"/>
  <c r="A333" i="40"/>
  <c r="D333" i="40" s="1"/>
  <c r="A334" i="40"/>
  <c r="E334" i="40" s="1"/>
  <c r="A335" i="40"/>
  <c r="A336" i="40"/>
  <c r="A337" i="40"/>
  <c r="D337" i="40" s="1"/>
  <c r="A338" i="40"/>
  <c r="D338" i="40" s="1"/>
  <c r="A339" i="40"/>
  <c r="E339" i="40" s="1"/>
  <c r="A340" i="40"/>
  <c r="A341" i="40"/>
  <c r="D341" i="40" s="1"/>
  <c r="A342" i="40"/>
  <c r="E342" i="40" s="1"/>
  <c r="A343" i="40"/>
  <c r="D343" i="40" s="1"/>
  <c r="A344" i="40"/>
  <c r="B344" i="40" s="1"/>
  <c r="A345" i="40"/>
  <c r="D345" i="40" s="1"/>
  <c r="A346" i="40"/>
  <c r="A347" i="40"/>
  <c r="A348" i="40"/>
  <c r="A349" i="40"/>
  <c r="B349" i="40" s="1"/>
  <c r="A350" i="40"/>
  <c r="E350" i="40" s="1"/>
  <c r="A351" i="40"/>
  <c r="D351" i="40" s="1"/>
  <c r="A352" i="40"/>
  <c r="A353" i="40"/>
  <c r="D353" i="40" s="1"/>
  <c r="A354" i="40"/>
  <c r="D354" i="40" s="1"/>
  <c r="A355" i="40"/>
  <c r="B355" i="40" s="1"/>
  <c r="A356" i="40"/>
  <c r="B356" i="40" s="1"/>
  <c r="A357" i="40"/>
  <c r="B357" i="40" s="1"/>
  <c r="A358" i="40"/>
  <c r="B358" i="40" s="1"/>
  <c r="A359" i="40"/>
  <c r="A360" i="40"/>
  <c r="E360" i="40" s="1"/>
  <c r="A361" i="40"/>
  <c r="A362" i="40"/>
  <c r="D362" i="40" s="1"/>
  <c r="A363" i="40"/>
  <c r="A364" i="40"/>
  <c r="D364" i="40" s="1"/>
  <c r="A365" i="40"/>
  <c r="D365" i="40" s="1"/>
  <c r="A366" i="40"/>
  <c r="A367" i="40"/>
  <c r="A368" i="40"/>
  <c r="D368" i="40" s="1"/>
  <c r="A369" i="40"/>
  <c r="E369" i="40" s="1"/>
  <c r="A370" i="40"/>
  <c r="B370" i="40" s="1"/>
  <c r="A371" i="40"/>
  <c r="E371" i="40" s="1"/>
  <c r="A372" i="40"/>
  <c r="B372" i="40" s="1"/>
  <c r="A373" i="40"/>
  <c r="B373" i="40" s="1"/>
  <c r="A374" i="40"/>
  <c r="E374" i="40" s="1"/>
  <c r="A375" i="40"/>
  <c r="A376" i="40"/>
  <c r="D376" i="40" s="1"/>
  <c r="A377" i="40"/>
  <c r="A378" i="40"/>
  <c r="A379" i="40"/>
  <c r="A380" i="40"/>
  <c r="E380" i="40" s="1"/>
  <c r="A381" i="40"/>
  <c r="D381" i="40" s="1"/>
  <c r="A382" i="40"/>
  <c r="A383" i="40"/>
  <c r="A384" i="40"/>
  <c r="E384" i="40" s="1"/>
  <c r="A385" i="40"/>
  <c r="A386" i="40"/>
  <c r="E386" i="40" s="1"/>
  <c r="A387" i="40"/>
  <c r="B387" i="40" s="1"/>
  <c r="A388" i="40"/>
  <c r="D388" i="40" s="1"/>
  <c r="A389" i="40"/>
  <c r="E389" i="40" s="1"/>
  <c r="A390" i="40"/>
  <c r="A391" i="40"/>
  <c r="A392" i="40"/>
  <c r="D392" i="40" s="1"/>
  <c r="A393" i="40"/>
  <c r="A394" i="40"/>
  <c r="D394" i="40" s="1"/>
  <c r="A395" i="40"/>
  <c r="D395" i="40" s="1"/>
  <c r="A396" i="40"/>
  <c r="E396" i="40" s="1"/>
  <c r="A397" i="40"/>
  <c r="D397" i="40" s="1"/>
  <c r="A398" i="40"/>
  <c r="A399" i="40"/>
  <c r="A400" i="40"/>
  <c r="B400" i="40" s="1"/>
  <c r="A401" i="40"/>
  <c r="B401" i="40" s="1"/>
  <c r="A402" i="40"/>
  <c r="B402" i="40" s="1"/>
  <c r="A403" i="40"/>
  <c r="A404" i="40"/>
  <c r="E404" i="40" s="1"/>
  <c r="A405" i="40"/>
  <c r="D405" i="40" s="1"/>
  <c r="A406" i="40"/>
  <c r="A407" i="40"/>
  <c r="A408" i="40"/>
  <c r="D408" i="40" s="1"/>
  <c r="A409" i="40"/>
  <c r="E409" i="40" s="1"/>
  <c r="A410" i="40"/>
  <c r="D410" i="40" s="1"/>
  <c r="A411" i="40"/>
  <c r="D411" i="40" s="1"/>
  <c r="A412" i="40"/>
  <c r="E412" i="40" s="1"/>
  <c r="A413" i="40"/>
  <c r="B413" i="40" s="1"/>
  <c r="A414" i="40"/>
  <c r="D414" i="40" s="1"/>
  <c r="A415" i="40"/>
  <c r="E415" i="40" s="1"/>
  <c r="A416" i="40"/>
  <c r="A417" i="40"/>
  <c r="E417" i="40" s="1"/>
  <c r="A418" i="40"/>
  <c r="B418" i="40" s="1"/>
  <c r="A419" i="40"/>
  <c r="B419" i="40" s="1"/>
  <c r="A420" i="40"/>
  <c r="D420" i="40" s="1"/>
  <c r="A421" i="40"/>
  <c r="B421" i="40" s="1"/>
  <c r="A422" i="40"/>
  <c r="D422" i="40" s="1"/>
  <c r="A423" i="40"/>
  <c r="E423" i="40" s="1"/>
  <c r="A424" i="40"/>
  <c r="A425" i="40"/>
  <c r="A426" i="40"/>
  <c r="D426" i="40" s="1"/>
  <c r="A427" i="40"/>
  <c r="D427" i="40" s="1"/>
  <c r="A428" i="40"/>
  <c r="E428" i="40" s="1"/>
  <c r="A429" i="40"/>
  <c r="D429" i="40" s="1"/>
  <c r="A430" i="40"/>
  <c r="C430" i="40" s="1"/>
  <c r="A431" i="40"/>
  <c r="B431" i="40" s="1"/>
  <c r="A432" i="40"/>
  <c r="E432" i="40" s="1"/>
  <c r="A433" i="40"/>
  <c r="D433" i="40" s="1"/>
  <c r="A434" i="40"/>
  <c r="C434" i="40" s="1"/>
  <c r="A435" i="40"/>
  <c r="D435" i="40" s="1"/>
  <c r="A436" i="40"/>
  <c r="E436" i="40" s="1"/>
  <c r="A437" i="40"/>
  <c r="D437" i="40" s="1"/>
  <c r="A438" i="40"/>
  <c r="D438" i="40" s="1"/>
  <c r="A439" i="40"/>
  <c r="C439" i="40" s="1"/>
  <c r="A440" i="40"/>
  <c r="C440" i="40" s="1"/>
  <c r="A441" i="40"/>
  <c r="E441" i="40" s="1"/>
  <c r="A442" i="40"/>
  <c r="D442" i="40" s="1"/>
  <c r="A443" i="40"/>
  <c r="D443" i="40" s="1"/>
  <c r="A444" i="40"/>
  <c r="E444" i="40" s="1"/>
  <c r="A445" i="40"/>
  <c r="C445" i="40" s="1"/>
  <c r="A446" i="40"/>
  <c r="B446" i="40" s="1"/>
  <c r="A447" i="40"/>
  <c r="B447" i="40" s="1"/>
  <c r="A448" i="40"/>
  <c r="B448" i="40" s="1"/>
  <c r="A449" i="40"/>
  <c r="C449" i="40" s="1"/>
  <c r="A450" i="40"/>
  <c r="D450" i="40" s="1"/>
  <c r="A451" i="40"/>
  <c r="D451" i="40" s="1"/>
  <c r="A452" i="40"/>
  <c r="C452" i="40" s="1"/>
  <c r="A453" i="40"/>
  <c r="B453" i="40" s="1"/>
  <c r="A454" i="40"/>
  <c r="C454" i="40" s="1"/>
  <c r="A455" i="40"/>
  <c r="B455" i="40" s="1"/>
  <c r="A456" i="40"/>
  <c r="B456" i="40" s="1"/>
  <c r="A457" i="40"/>
  <c r="E457" i="40" s="1"/>
  <c r="A458" i="40"/>
  <c r="E458" i="40" s="1"/>
  <c r="A459" i="40"/>
  <c r="D459" i="40" s="1"/>
  <c r="A460" i="40"/>
  <c r="C460" i="40" s="1"/>
  <c r="A461" i="40"/>
  <c r="B461" i="40" s="1"/>
  <c r="A462" i="40"/>
  <c r="E462" i="40" s="1"/>
  <c r="A463" i="40"/>
  <c r="B463" i="40" s="1"/>
  <c r="A464" i="40"/>
  <c r="D464" i="40" s="1"/>
  <c r="A465" i="40"/>
  <c r="E465" i="40" s="1"/>
  <c r="A466" i="40"/>
  <c r="E466" i="40" s="1"/>
  <c r="A467" i="40"/>
  <c r="D467" i="40" s="1"/>
  <c r="A468" i="40"/>
  <c r="C468" i="40" s="1"/>
  <c r="A469" i="40"/>
  <c r="B469" i="40" s="1"/>
  <c r="A470" i="40"/>
  <c r="D470" i="40" s="1"/>
  <c r="A471" i="40"/>
  <c r="B471" i="40" s="1"/>
  <c r="A472" i="40"/>
  <c r="C472" i="40" s="1"/>
  <c r="A473" i="40"/>
  <c r="E473" i="40" s="1"/>
  <c r="A474" i="40"/>
  <c r="E474" i="40" s="1"/>
  <c r="A475" i="40"/>
  <c r="D475" i="40" s="1"/>
  <c r="A476" i="40"/>
  <c r="C476" i="40" s="1"/>
  <c r="A477" i="40"/>
  <c r="B477" i="40" s="1"/>
  <c r="A478" i="40"/>
  <c r="C478" i="40" s="1"/>
  <c r="A479" i="40"/>
  <c r="B479" i="40" s="1"/>
  <c r="A480" i="40"/>
  <c r="D480" i="40" s="1"/>
  <c r="A481" i="40"/>
  <c r="E481" i="40" s="1"/>
  <c r="A482" i="40"/>
  <c r="E482" i="40" s="1"/>
  <c r="A483" i="40"/>
  <c r="D483" i="40" s="1"/>
  <c r="A484" i="40"/>
  <c r="A485" i="40"/>
  <c r="B485" i="40" s="1"/>
  <c r="A486" i="40"/>
  <c r="B486" i="40" s="1"/>
  <c r="A487" i="40"/>
  <c r="B487" i="40" s="1"/>
  <c r="A488" i="40"/>
  <c r="C488" i="40" s="1"/>
  <c r="A489" i="40"/>
  <c r="E489" i="40" s="1"/>
  <c r="A490" i="40"/>
  <c r="E490" i="40" s="1"/>
  <c r="A491" i="40"/>
  <c r="D491" i="40" s="1"/>
  <c r="A492" i="40"/>
  <c r="A493" i="40"/>
  <c r="B493" i="40" s="1"/>
  <c r="A494" i="40"/>
  <c r="E494" i="40" s="1"/>
  <c r="A495" i="40"/>
  <c r="B495" i="40" s="1"/>
  <c r="A496" i="40"/>
  <c r="E496" i="40" s="1"/>
  <c r="A497" i="40"/>
  <c r="E497" i="40" s="1"/>
  <c r="A498" i="40"/>
  <c r="E498" i="40" s="1"/>
  <c r="A499" i="40"/>
  <c r="D499" i="40" s="1"/>
  <c r="A500" i="40"/>
  <c r="A501" i="40"/>
  <c r="B501" i="40" s="1"/>
  <c r="A502" i="40"/>
  <c r="B502" i="40" s="1"/>
  <c r="A503" i="40"/>
  <c r="B503" i="40" s="1"/>
  <c r="A504" i="40"/>
  <c r="B504" i="40" s="1"/>
  <c r="A505" i="40"/>
  <c r="E505" i="40" s="1"/>
  <c r="A506" i="40"/>
  <c r="E506" i="40" s="1"/>
  <c r="A507" i="40"/>
  <c r="D507" i="40" s="1"/>
  <c r="A508" i="40"/>
  <c r="A509" i="40"/>
  <c r="B509" i="40" s="1"/>
  <c r="A510" i="40"/>
  <c r="E510" i="40" s="1"/>
  <c r="A511" i="40"/>
  <c r="B511" i="40" s="1"/>
  <c r="A512" i="40"/>
  <c r="D512" i="40" s="1"/>
  <c r="A513" i="40"/>
  <c r="E513" i="40" s="1"/>
  <c r="A514" i="40"/>
  <c r="E514" i="40" s="1"/>
  <c r="A515" i="40"/>
  <c r="D515" i="40" s="1"/>
  <c r="A516" i="40"/>
  <c r="A517" i="40"/>
  <c r="B517" i="40" s="1"/>
  <c r="A518" i="40"/>
  <c r="E518" i="40" s="1"/>
  <c r="A519" i="40"/>
  <c r="B519" i="40" s="1"/>
  <c r="A520" i="40"/>
  <c r="E520" i="40" s="1"/>
  <c r="A521" i="40"/>
  <c r="E521" i="40" s="1"/>
  <c r="A522" i="40"/>
  <c r="E522" i="40" s="1"/>
  <c r="A523" i="40"/>
  <c r="D523" i="40" s="1"/>
  <c r="A524" i="40"/>
  <c r="A525" i="40"/>
  <c r="B525" i="40" s="1"/>
  <c r="A526" i="40"/>
  <c r="D526" i="40" s="1"/>
  <c r="A527" i="40"/>
  <c r="E527" i="40" s="1"/>
  <c r="A528" i="40"/>
  <c r="E528" i="40" s="1"/>
  <c r="A529" i="40"/>
  <c r="E529" i="40" s="1"/>
  <c r="A530" i="40"/>
  <c r="E530" i="40" s="1"/>
  <c r="A531" i="40"/>
  <c r="D531" i="40" s="1"/>
  <c r="A532" i="40"/>
  <c r="A533" i="40"/>
  <c r="B533" i="40" s="1"/>
  <c r="A534" i="40"/>
  <c r="D534" i="40" s="1"/>
  <c r="A535" i="40"/>
  <c r="E535" i="40" s="1"/>
  <c r="A536" i="40"/>
  <c r="E536" i="40" s="1"/>
  <c r="C536" i="40"/>
  <c r="L17" i="43"/>
  <c r="L18" i="43"/>
  <c r="L16" i="43"/>
  <c r="L15" i="43"/>
  <c r="A217" i="40" l="1"/>
  <c r="G217" i="40"/>
  <c r="B237" i="40"/>
  <c r="N236" i="40"/>
  <c r="A216" i="40"/>
  <c r="G216" i="40"/>
  <c r="B236" i="40"/>
  <c r="I25" i="40"/>
  <c r="A215" i="40"/>
  <c r="G215" i="40"/>
  <c r="N242" i="40"/>
  <c r="I24" i="40"/>
  <c r="A222" i="40"/>
  <c r="G222" i="40"/>
  <c r="B242" i="40"/>
  <c r="N241" i="40"/>
  <c r="I23" i="40"/>
  <c r="A221" i="40"/>
  <c r="G221" i="40"/>
  <c r="B241" i="40"/>
  <c r="N240" i="40"/>
  <c r="I22" i="40"/>
  <c r="A220" i="40"/>
  <c r="G220" i="40"/>
  <c r="B240" i="40"/>
  <c r="N239" i="40"/>
  <c r="I21" i="40"/>
  <c r="A219" i="40"/>
  <c r="G219" i="40"/>
  <c r="B239" i="40"/>
  <c r="N238" i="40"/>
  <c r="I20" i="40"/>
  <c r="A218" i="40"/>
  <c r="G218" i="40"/>
  <c r="B238" i="40"/>
  <c r="N237" i="40"/>
  <c r="I19" i="40"/>
  <c r="N504" i="40"/>
  <c r="H504" i="40"/>
  <c r="K504" i="40"/>
  <c r="H448" i="40"/>
  <c r="K448" i="40"/>
  <c r="N448" i="40"/>
  <c r="H479" i="40"/>
  <c r="K479" i="40"/>
  <c r="N479" i="40"/>
  <c r="N202" i="40"/>
  <c r="H202" i="40"/>
  <c r="K202" i="40"/>
  <c r="L50" i="40"/>
  <c r="N502" i="40"/>
  <c r="K502" i="40"/>
  <c r="H502" i="40"/>
  <c r="N486" i="40"/>
  <c r="K486" i="40"/>
  <c r="H486" i="40"/>
  <c r="J446" i="40"/>
  <c r="N446" i="40"/>
  <c r="K446" i="40"/>
  <c r="H446" i="40"/>
  <c r="O358" i="40"/>
  <c r="N358" i="40"/>
  <c r="K358" i="40"/>
  <c r="H358" i="40"/>
  <c r="N185" i="40"/>
  <c r="K185" i="40"/>
  <c r="H185" i="40"/>
  <c r="M121" i="40"/>
  <c r="N121" i="40"/>
  <c r="K121" i="40"/>
  <c r="H121" i="40"/>
  <c r="N456" i="40"/>
  <c r="H456" i="40"/>
  <c r="K456" i="40"/>
  <c r="L91" i="40"/>
  <c r="H91" i="40"/>
  <c r="N91" i="40"/>
  <c r="K91" i="40"/>
  <c r="N519" i="40"/>
  <c r="H519" i="40"/>
  <c r="K519" i="40"/>
  <c r="K463" i="40"/>
  <c r="H463" i="40"/>
  <c r="N463" i="40"/>
  <c r="K431" i="40"/>
  <c r="H431" i="40"/>
  <c r="N431" i="40"/>
  <c r="M122" i="40"/>
  <c r="N122" i="40"/>
  <c r="K122" i="40"/>
  <c r="H122" i="40"/>
  <c r="P525" i="40"/>
  <c r="N525" i="40"/>
  <c r="K525" i="40"/>
  <c r="H525" i="40"/>
  <c r="P493" i="40"/>
  <c r="N493" i="40"/>
  <c r="K493" i="40"/>
  <c r="H493" i="40"/>
  <c r="N461" i="40"/>
  <c r="K461" i="40"/>
  <c r="H461" i="40"/>
  <c r="N453" i="40"/>
  <c r="K453" i="40"/>
  <c r="H453" i="40"/>
  <c r="P421" i="40"/>
  <c r="N421" i="40"/>
  <c r="K421" i="40"/>
  <c r="H421" i="40"/>
  <c r="N413" i="40"/>
  <c r="K413" i="40"/>
  <c r="H413" i="40"/>
  <c r="N373" i="40"/>
  <c r="H373" i="40"/>
  <c r="K373" i="40"/>
  <c r="N357" i="40"/>
  <c r="K357" i="40"/>
  <c r="H357" i="40"/>
  <c r="N325" i="40"/>
  <c r="H325" i="40"/>
  <c r="K325" i="40"/>
  <c r="J200" i="40"/>
  <c r="N200" i="40"/>
  <c r="K200" i="40"/>
  <c r="H200" i="40"/>
  <c r="H128" i="40"/>
  <c r="N112" i="40"/>
  <c r="K112" i="40"/>
  <c r="H112" i="40"/>
  <c r="I88" i="40"/>
  <c r="N56" i="40"/>
  <c r="N211" i="40"/>
  <c r="K211" i="40"/>
  <c r="H211" i="40"/>
  <c r="K163" i="40"/>
  <c r="N163" i="40"/>
  <c r="H163" i="40"/>
  <c r="N503" i="40"/>
  <c r="H503" i="40"/>
  <c r="K503" i="40"/>
  <c r="K471" i="40"/>
  <c r="N471" i="40"/>
  <c r="H471" i="40"/>
  <c r="H186" i="40"/>
  <c r="N186" i="40"/>
  <c r="K186" i="40"/>
  <c r="G372" i="40"/>
  <c r="N372" i="40"/>
  <c r="K372" i="40"/>
  <c r="H372" i="40"/>
  <c r="L356" i="40"/>
  <c r="N356" i="40"/>
  <c r="K356" i="40"/>
  <c r="H356" i="40"/>
  <c r="G316" i="40"/>
  <c r="N316" i="40"/>
  <c r="K316" i="40"/>
  <c r="H316" i="40"/>
  <c r="N268" i="40"/>
  <c r="K268" i="40"/>
  <c r="H268" i="40"/>
  <c r="K199" i="40"/>
  <c r="N199" i="40"/>
  <c r="H199" i="40"/>
  <c r="K183" i="40"/>
  <c r="N183" i="40"/>
  <c r="H183" i="40"/>
  <c r="K175" i="40"/>
  <c r="N175" i="40"/>
  <c r="H175" i="40"/>
  <c r="J167" i="40"/>
  <c r="K167" i="40"/>
  <c r="N167" i="40"/>
  <c r="H167" i="40"/>
  <c r="K159" i="40"/>
  <c r="N159" i="40"/>
  <c r="H159" i="40"/>
  <c r="I135" i="40"/>
  <c r="M119" i="40"/>
  <c r="N119" i="40"/>
  <c r="K119" i="40"/>
  <c r="H119" i="40"/>
  <c r="H400" i="40"/>
  <c r="K400" i="40"/>
  <c r="N400" i="40"/>
  <c r="H344" i="40"/>
  <c r="M179" i="40"/>
  <c r="N179" i="40"/>
  <c r="K179" i="40"/>
  <c r="H179" i="40"/>
  <c r="H51" i="40"/>
  <c r="N51" i="40"/>
  <c r="K51" i="40"/>
  <c r="N487" i="40"/>
  <c r="H487" i="40"/>
  <c r="K487" i="40"/>
  <c r="P533" i="40"/>
  <c r="N533" i="40"/>
  <c r="K533" i="40"/>
  <c r="H533" i="40"/>
  <c r="N501" i="40"/>
  <c r="H501" i="40"/>
  <c r="K501" i="40"/>
  <c r="N469" i="40"/>
  <c r="H469" i="40"/>
  <c r="K469" i="40"/>
  <c r="K419" i="40"/>
  <c r="H419" i="40"/>
  <c r="N419" i="40"/>
  <c r="L387" i="40"/>
  <c r="K387" i="40"/>
  <c r="H387" i="40"/>
  <c r="N387" i="40"/>
  <c r="F355" i="40"/>
  <c r="K355" i="40"/>
  <c r="H355" i="40"/>
  <c r="N355" i="40"/>
  <c r="L291" i="40"/>
  <c r="H110" i="40"/>
  <c r="N110" i="40"/>
  <c r="K110" i="40"/>
  <c r="H511" i="40"/>
  <c r="K511" i="40"/>
  <c r="N511" i="40"/>
  <c r="K455" i="40"/>
  <c r="N455" i="40"/>
  <c r="H455" i="40"/>
  <c r="F162" i="40"/>
  <c r="K162" i="40"/>
  <c r="N162" i="40"/>
  <c r="H162" i="40"/>
  <c r="N509" i="40"/>
  <c r="K509" i="40"/>
  <c r="H509" i="40"/>
  <c r="N477" i="40"/>
  <c r="K477" i="40"/>
  <c r="H477" i="40"/>
  <c r="M418" i="40"/>
  <c r="K418" i="40"/>
  <c r="H418" i="40"/>
  <c r="N418" i="40"/>
  <c r="K402" i="40"/>
  <c r="H402" i="40"/>
  <c r="N402" i="40"/>
  <c r="K370" i="40"/>
  <c r="H370" i="40"/>
  <c r="N370" i="40"/>
  <c r="J314" i="40"/>
  <c r="K314" i="40"/>
  <c r="H314" i="40"/>
  <c r="N314" i="40"/>
  <c r="F258" i="40"/>
  <c r="K258" i="40"/>
  <c r="H258" i="40"/>
  <c r="N258" i="40"/>
  <c r="N205" i="40"/>
  <c r="H205" i="40"/>
  <c r="K205" i="40"/>
  <c r="K181" i="40"/>
  <c r="N181" i="40"/>
  <c r="H181" i="40"/>
  <c r="N173" i="40"/>
  <c r="H173" i="40"/>
  <c r="K173" i="40"/>
  <c r="O165" i="40"/>
  <c r="N165" i="40"/>
  <c r="K165" i="40"/>
  <c r="H165" i="40"/>
  <c r="F37" i="40"/>
  <c r="F495" i="40"/>
  <c r="H495" i="40"/>
  <c r="N495" i="40"/>
  <c r="K495" i="40"/>
  <c r="K447" i="40"/>
  <c r="H447" i="40"/>
  <c r="N447" i="40"/>
  <c r="J170" i="40"/>
  <c r="N170" i="40"/>
  <c r="H170" i="40"/>
  <c r="K170" i="40"/>
  <c r="N517" i="40"/>
  <c r="K517" i="40"/>
  <c r="H517" i="40"/>
  <c r="N485" i="40"/>
  <c r="K485" i="40"/>
  <c r="H485" i="40"/>
  <c r="N401" i="40"/>
  <c r="H401" i="40"/>
  <c r="K401" i="40"/>
  <c r="N257" i="40"/>
  <c r="K257" i="40"/>
  <c r="H257" i="40"/>
  <c r="P204" i="40"/>
  <c r="K204" i="40"/>
  <c r="N204" i="40"/>
  <c r="H204" i="40"/>
  <c r="G196" i="40"/>
  <c r="K196" i="40"/>
  <c r="N196" i="40"/>
  <c r="H196" i="40"/>
  <c r="K180" i="40"/>
  <c r="N180" i="40"/>
  <c r="H180" i="40"/>
  <c r="P172" i="40"/>
  <c r="K172" i="40"/>
  <c r="H172" i="40"/>
  <c r="N172" i="40"/>
  <c r="F100" i="40"/>
  <c r="N100" i="40"/>
  <c r="H100" i="40"/>
  <c r="K100" i="40"/>
  <c r="B535" i="40"/>
  <c r="M535" i="40" s="1"/>
  <c r="B529" i="40"/>
  <c r="L529" i="40" s="1"/>
  <c r="C535" i="40"/>
  <c r="C529" i="40"/>
  <c r="B470" i="40"/>
  <c r="J470" i="40" s="1"/>
  <c r="E447" i="40"/>
  <c r="E503" i="40"/>
  <c r="B473" i="40"/>
  <c r="C503" i="40"/>
  <c r="C474" i="40"/>
  <c r="B432" i="40"/>
  <c r="L432" i="40" s="1"/>
  <c r="B274" i="40"/>
  <c r="B86" i="40"/>
  <c r="G86" i="40" s="1"/>
  <c r="E355" i="40"/>
  <c r="D465" i="40"/>
  <c r="D55" i="40"/>
  <c r="B465" i="40"/>
  <c r="D203" i="40"/>
  <c r="C442" i="40"/>
  <c r="D493" i="40"/>
  <c r="C486" i="40"/>
  <c r="C455" i="40"/>
  <c r="B442" i="40"/>
  <c r="B351" i="40"/>
  <c r="E282" i="40"/>
  <c r="B260" i="40"/>
  <c r="C518" i="40"/>
  <c r="B498" i="40"/>
  <c r="P498" i="40" s="1"/>
  <c r="D478" i="40"/>
  <c r="D434" i="40"/>
  <c r="B334" i="40"/>
  <c r="F334" i="40" s="1"/>
  <c r="D104" i="40"/>
  <c r="B528" i="40"/>
  <c r="M528" i="40" s="1"/>
  <c r="B521" i="40"/>
  <c r="L521" i="40" s="1"/>
  <c r="B507" i="40"/>
  <c r="L507" i="40" s="1"/>
  <c r="B481" i="40"/>
  <c r="J481" i="40" s="1"/>
  <c r="E456" i="40"/>
  <c r="E200" i="40"/>
  <c r="B134" i="40"/>
  <c r="F134" i="40" s="1"/>
  <c r="D128" i="40"/>
  <c r="D73" i="40"/>
  <c r="B514" i="40"/>
  <c r="F514" i="40" s="1"/>
  <c r="D503" i="40"/>
  <c r="E493" i="40"/>
  <c r="B475" i="40"/>
  <c r="C470" i="40"/>
  <c r="C465" i="40"/>
  <c r="C447" i="40"/>
  <c r="D147" i="40"/>
  <c r="E100" i="40"/>
  <c r="E58" i="40"/>
  <c r="B198" i="40"/>
  <c r="G198" i="40" s="1"/>
  <c r="B36" i="40"/>
  <c r="D527" i="40"/>
  <c r="B522" i="40"/>
  <c r="O522" i="40" s="1"/>
  <c r="B518" i="40"/>
  <c r="C502" i="40"/>
  <c r="B497" i="40"/>
  <c r="L497" i="40" s="1"/>
  <c r="E478" i="40"/>
  <c r="E345" i="40"/>
  <c r="E279" i="40"/>
  <c r="D260" i="40"/>
  <c r="E124" i="40"/>
  <c r="B41" i="40"/>
  <c r="D323" i="40"/>
  <c r="D279" i="40"/>
  <c r="C527" i="40"/>
  <c r="D511" i="40"/>
  <c r="B527" i="40"/>
  <c r="I527" i="40" s="1"/>
  <c r="D521" i="40"/>
  <c r="C511" i="40"/>
  <c r="D501" i="40"/>
  <c r="B462" i="40"/>
  <c r="G462" i="40" s="1"/>
  <c r="C432" i="40"/>
  <c r="B323" i="40"/>
  <c r="D252" i="40"/>
  <c r="B157" i="40"/>
  <c r="E128" i="40"/>
  <c r="D520" i="40"/>
  <c r="D535" i="40"/>
  <c r="B530" i="40"/>
  <c r="F530" i="40" s="1"/>
  <c r="B520" i="40"/>
  <c r="M520" i="40" s="1"/>
  <c r="E501" i="40"/>
  <c r="C497" i="40"/>
  <c r="D486" i="40"/>
  <c r="B428" i="40"/>
  <c r="G428" i="40" s="1"/>
  <c r="D314" i="40"/>
  <c r="D269" i="40"/>
  <c r="E147" i="40"/>
  <c r="D81" i="40"/>
  <c r="E47" i="40"/>
  <c r="D536" i="40"/>
  <c r="D528" i="40"/>
  <c r="E511" i="40"/>
  <c r="D502" i="40"/>
  <c r="C498" i="40"/>
  <c r="E488" i="40"/>
  <c r="B478" i="40"/>
  <c r="F478" i="40" s="1"/>
  <c r="C473" i="40"/>
  <c r="B457" i="40"/>
  <c r="B434" i="40"/>
  <c r="D356" i="40"/>
  <c r="D303" i="40"/>
  <c r="D282" i="40"/>
  <c r="B252" i="40"/>
  <c r="L252" i="40" s="1"/>
  <c r="C520" i="40"/>
  <c r="E81" i="40"/>
  <c r="D525" i="40"/>
  <c r="E504" i="40"/>
  <c r="E448" i="40"/>
  <c r="D204" i="40"/>
  <c r="D404" i="40"/>
  <c r="E362" i="40"/>
  <c r="E331" i="40"/>
  <c r="D327" i="40"/>
  <c r="C525" i="40"/>
  <c r="D518" i="40"/>
  <c r="B515" i="40"/>
  <c r="O515" i="40" s="1"/>
  <c r="C504" i="40"/>
  <c r="D495" i="40"/>
  <c r="C490" i="40"/>
  <c r="E486" i="40"/>
  <c r="C482" i="40"/>
  <c r="E470" i="40"/>
  <c r="C462" i="40"/>
  <c r="D457" i="40"/>
  <c r="C448" i="40"/>
  <c r="D417" i="40"/>
  <c r="B404" i="40"/>
  <c r="L404" i="40" s="1"/>
  <c r="B362" i="40"/>
  <c r="F362" i="40" s="1"/>
  <c r="E353" i="40"/>
  <c r="D331" i="40"/>
  <c r="B327" i="40"/>
  <c r="B315" i="40"/>
  <c r="I315" i="40" s="1"/>
  <c r="D295" i="40"/>
  <c r="E179" i="40"/>
  <c r="D112" i="40"/>
  <c r="E82" i="40"/>
  <c r="E73" i="40"/>
  <c r="E55" i="40"/>
  <c r="E517" i="40"/>
  <c r="D513" i="40"/>
  <c r="D505" i="40"/>
  <c r="D496" i="40"/>
  <c r="D488" i="40"/>
  <c r="E480" i="40"/>
  <c r="D456" i="40"/>
  <c r="C441" i="40"/>
  <c r="D355" i="40"/>
  <c r="E286" i="40"/>
  <c r="E273" i="40"/>
  <c r="B197" i="40"/>
  <c r="E157" i="40"/>
  <c r="E151" i="40"/>
  <c r="D139" i="40"/>
  <c r="D103" i="40"/>
  <c r="D58" i="40"/>
  <c r="D519" i="40"/>
  <c r="D517" i="40"/>
  <c r="C513" i="40"/>
  <c r="B510" i="40"/>
  <c r="G510" i="40" s="1"/>
  <c r="C505" i="40"/>
  <c r="C496" i="40"/>
  <c r="B488" i="40"/>
  <c r="F488" i="40" s="1"/>
  <c r="C480" i="40"/>
  <c r="B464" i="40"/>
  <c r="F464" i="40" s="1"/>
  <c r="B459" i="40"/>
  <c r="I459" i="40" s="1"/>
  <c r="C456" i="40"/>
  <c r="B441" i="40"/>
  <c r="M441" i="40" s="1"/>
  <c r="E419" i="40"/>
  <c r="E413" i="40"/>
  <c r="E291" i="40"/>
  <c r="B273" i="40"/>
  <c r="E162" i="40"/>
  <c r="E113" i="40"/>
  <c r="E45" i="40"/>
  <c r="C519" i="40"/>
  <c r="B513" i="40"/>
  <c r="O513" i="40" s="1"/>
  <c r="B496" i="40"/>
  <c r="M496" i="40" s="1"/>
  <c r="B483" i="40"/>
  <c r="G483" i="40" s="1"/>
  <c r="B480" i="40"/>
  <c r="O480" i="40" s="1"/>
  <c r="B467" i="40"/>
  <c r="O467" i="40" s="1"/>
  <c r="C431" i="40"/>
  <c r="E188" i="40"/>
  <c r="D162" i="40"/>
  <c r="D113" i="40"/>
  <c r="E74" i="40"/>
  <c r="D45" i="40"/>
  <c r="B209" i="40"/>
  <c r="B417" i="40"/>
  <c r="J417" i="40" s="1"/>
  <c r="E205" i="40"/>
  <c r="B178" i="40"/>
  <c r="E408" i="40"/>
  <c r="B396" i="40"/>
  <c r="L396" i="40" s="1"/>
  <c r="E178" i="40"/>
  <c r="D380" i="40"/>
  <c r="E387" i="40"/>
  <c r="D372" i="40"/>
  <c r="D387" i="40"/>
  <c r="E381" i="40"/>
  <c r="E376" i="40"/>
  <c r="D156" i="40"/>
  <c r="B381" i="40"/>
  <c r="F381" i="40" s="1"/>
  <c r="B376" i="40"/>
  <c r="B156" i="40"/>
  <c r="O446" i="40"/>
  <c r="I199" i="40"/>
  <c r="P501" i="40"/>
  <c r="I170" i="40"/>
  <c r="O291" i="40"/>
  <c r="F124" i="40"/>
  <c r="I356" i="40"/>
  <c r="G172" i="40"/>
  <c r="F356" i="40"/>
  <c r="P45" i="40"/>
  <c r="O45" i="40"/>
  <c r="O58" i="40"/>
  <c r="M446" i="40"/>
  <c r="I211" i="40"/>
  <c r="F58" i="40"/>
  <c r="M356" i="40"/>
  <c r="L47" i="40"/>
  <c r="O356" i="40"/>
  <c r="O200" i="40"/>
  <c r="L200" i="40"/>
  <c r="F199" i="40"/>
  <c r="O314" i="40"/>
  <c r="I291" i="40"/>
  <c r="I200" i="40"/>
  <c r="O34" i="40"/>
  <c r="P314" i="40"/>
  <c r="I314" i="40"/>
  <c r="F291" i="40"/>
  <c r="M172" i="40"/>
  <c r="I58" i="40"/>
  <c r="P50" i="40"/>
  <c r="P372" i="40"/>
  <c r="G200" i="40"/>
  <c r="L172" i="40"/>
  <c r="J122" i="40"/>
  <c r="L34" i="40"/>
  <c r="P431" i="40"/>
  <c r="F314" i="40"/>
  <c r="L124" i="40"/>
  <c r="G181" i="40"/>
  <c r="M181" i="40"/>
  <c r="O181" i="40"/>
  <c r="P181" i="40"/>
  <c r="F159" i="40"/>
  <c r="M159" i="40"/>
  <c r="P159" i="40"/>
  <c r="I105" i="40"/>
  <c r="P105" i="40"/>
  <c r="F105" i="40"/>
  <c r="O105" i="40"/>
  <c r="L89" i="40"/>
  <c r="O89" i="40"/>
  <c r="P413" i="40"/>
  <c r="I486" i="40"/>
  <c r="O486" i="40"/>
  <c r="G456" i="40"/>
  <c r="L456" i="40"/>
  <c r="P373" i="40"/>
  <c r="M373" i="40"/>
  <c r="O373" i="40"/>
  <c r="J431" i="40"/>
  <c r="D489" i="40"/>
  <c r="D533" i="40"/>
  <c r="C512" i="40"/>
  <c r="D510" i="40"/>
  <c r="C533" i="40"/>
  <c r="D529" i="40"/>
  <c r="E525" i="40"/>
  <c r="C522" i="40"/>
  <c r="B512" i="40"/>
  <c r="J512" i="40" s="1"/>
  <c r="C510" i="40"/>
  <c r="F503" i="40"/>
  <c r="B494" i="40"/>
  <c r="B491" i="40"/>
  <c r="B489" i="40"/>
  <c r="C481" i="40"/>
  <c r="D473" i="40"/>
  <c r="B472" i="40"/>
  <c r="C464" i="40"/>
  <c r="D462" i="40"/>
  <c r="B454" i="40"/>
  <c r="P446" i="40"/>
  <c r="B444" i="40"/>
  <c r="D431" i="40"/>
  <c r="D418" i="40"/>
  <c r="E406" i="40"/>
  <c r="B405" i="40"/>
  <c r="L405" i="40" s="1"/>
  <c r="E394" i="40"/>
  <c r="B394" i="40"/>
  <c r="B364" i="40"/>
  <c r="B347" i="40"/>
  <c r="M347" i="40" s="1"/>
  <c r="B343" i="40"/>
  <c r="B307" i="40"/>
  <c r="D307" i="40"/>
  <c r="E302" i="40"/>
  <c r="B302" i="40"/>
  <c r="F302" i="40" s="1"/>
  <c r="G205" i="40"/>
  <c r="J199" i="40"/>
  <c r="B126" i="40"/>
  <c r="B118" i="40"/>
  <c r="E118" i="40"/>
  <c r="E70" i="40"/>
  <c r="D373" i="40"/>
  <c r="D336" i="40"/>
  <c r="B336" i="40"/>
  <c r="E181" i="40"/>
  <c r="D181" i="40"/>
  <c r="L175" i="40"/>
  <c r="F175" i="40"/>
  <c r="M175" i="40"/>
  <c r="E112" i="40"/>
  <c r="E105" i="40"/>
  <c r="D105" i="40"/>
  <c r="D89" i="40"/>
  <c r="E89" i="40"/>
  <c r="E319" i="40"/>
  <c r="D319" i="40"/>
  <c r="B319" i="40"/>
  <c r="D250" i="40"/>
  <c r="D191" i="40"/>
  <c r="E191" i="40"/>
  <c r="B191" i="40"/>
  <c r="E175" i="40"/>
  <c r="D175" i="40"/>
  <c r="I149" i="40"/>
  <c r="O149" i="40"/>
  <c r="E146" i="40"/>
  <c r="B146" i="40"/>
  <c r="E121" i="40"/>
  <c r="D121" i="40"/>
  <c r="E71" i="40"/>
  <c r="G202" i="40"/>
  <c r="L202" i="40"/>
  <c r="J202" i="40"/>
  <c r="D171" i="40"/>
  <c r="B67" i="40"/>
  <c r="P67" i="40" s="1"/>
  <c r="D67" i="40"/>
  <c r="E44" i="40"/>
  <c r="D44" i="40"/>
  <c r="E187" i="40"/>
  <c r="D187" i="40"/>
  <c r="E114" i="40"/>
  <c r="B114" i="40"/>
  <c r="M112" i="40"/>
  <c r="I112" i="40"/>
  <c r="I90" i="40"/>
  <c r="M431" i="40"/>
  <c r="D379" i="40"/>
  <c r="B379" i="40"/>
  <c r="B392" i="40"/>
  <c r="E392" i="40"/>
  <c r="B536" i="40"/>
  <c r="O536" i="40" s="1"/>
  <c r="C530" i="40"/>
  <c r="C528" i="40"/>
  <c r="B523" i="40"/>
  <c r="C521" i="40"/>
  <c r="E519" i="40"/>
  <c r="C514" i="40"/>
  <c r="E512" i="40"/>
  <c r="D504" i="40"/>
  <c r="E502" i="40"/>
  <c r="C501" i="40"/>
  <c r="D497" i="40"/>
  <c r="E495" i="40"/>
  <c r="E472" i="40"/>
  <c r="C466" i="40"/>
  <c r="C457" i="40"/>
  <c r="E454" i="40"/>
  <c r="B451" i="40"/>
  <c r="D447" i="40"/>
  <c r="E442" i="40"/>
  <c r="B436" i="40"/>
  <c r="B433" i="40"/>
  <c r="P433" i="40" s="1"/>
  <c r="E433" i="40"/>
  <c r="B429" i="40"/>
  <c r="B426" i="40"/>
  <c r="B408" i="40"/>
  <c r="L408" i="40" s="1"/>
  <c r="D389" i="40"/>
  <c r="B389" i="40"/>
  <c r="E372" i="40"/>
  <c r="E204" i="40"/>
  <c r="B148" i="40"/>
  <c r="D148" i="40"/>
  <c r="E148" i="40"/>
  <c r="L81" i="40"/>
  <c r="B424" i="40"/>
  <c r="D424" i="40"/>
  <c r="L431" i="40"/>
  <c r="D472" i="40"/>
  <c r="E464" i="40"/>
  <c r="D454" i="40"/>
  <c r="G431" i="40"/>
  <c r="D416" i="40"/>
  <c r="B416" i="40"/>
  <c r="D413" i="40"/>
  <c r="E405" i="40"/>
  <c r="E364" i="40"/>
  <c r="B352" i="40"/>
  <c r="E347" i="40"/>
  <c r="D320" i="40"/>
  <c r="E320" i="40"/>
  <c r="J211" i="40"/>
  <c r="F211" i="40"/>
  <c r="G211" i="40"/>
  <c r="E159" i="40"/>
  <c r="D159" i="40"/>
  <c r="D144" i="40"/>
  <c r="E144" i="40"/>
  <c r="B144" i="40"/>
  <c r="D118" i="40"/>
  <c r="L110" i="40"/>
  <c r="M110" i="40"/>
  <c r="J110" i="40"/>
  <c r="O100" i="40"/>
  <c r="I75" i="40"/>
  <c r="D70" i="40"/>
  <c r="E37" i="40"/>
  <c r="E533" i="40"/>
  <c r="C489" i="40"/>
  <c r="D481" i="40"/>
  <c r="L465" i="40"/>
  <c r="E431" i="40"/>
  <c r="E373" i="40"/>
  <c r="D347" i="40"/>
  <c r="E336" i="40"/>
  <c r="E333" i="40"/>
  <c r="B333" i="40"/>
  <c r="I316" i="40"/>
  <c r="J316" i="40"/>
  <c r="E307" i="40"/>
  <c r="D302" i="40"/>
  <c r="J205" i="40"/>
  <c r="D197" i="40"/>
  <c r="D165" i="40"/>
  <c r="E165" i="40"/>
  <c r="L162" i="40"/>
  <c r="M162" i="40"/>
  <c r="I162" i="40"/>
  <c r="B131" i="40"/>
  <c r="E103" i="40"/>
  <c r="B70" i="40"/>
  <c r="D396" i="40"/>
  <c r="E356" i="40"/>
  <c r="D315" i="40"/>
  <c r="G314" i="40"/>
  <c r="D292" i="40"/>
  <c r="P200" i="40"/>
  <c r="F200" i="40"/>
  <c r="B188" i="40"/>
  <c r="F188" i="40" s="1"/>
  <c r="E173" i="40"/>
  <c r="E172" i="40"/>
  <c r="L135" i="40"/>
  <c r="E130" i="40"/>
  <c r="P124" i="40"/>
  <c r="D124" i="40"/>
  <c r="D97" i="40"/>
  <c r="D86" i="40"/>
  <c r="L58" i="40"/>
  <c r="D47" i="40"/>
  <c r="D41" i="40"/>
  <c r="D36" i="40"/>
  <c r="O124" i="40"/>
  <c r="B104" i="40"/>
  <c r="B97" i="40"/>
  <c r="B74" i="40"/>
  <c r="I74" i="40" s="1"/>
  <c r="E50" i="40"/>
  <c r="F34" i="40"/>
  <c r="F349" i="40"/>
  <c r="I349" i="40"/>
  <c r="M511" i="40"/>
  <c r="F511" i="40"/>
  <c r="L511" i="40"/>
  <c r="J511" i="40"/>
  <c r="G504" i="40"/>
  <c r="L504" i="40"/>
  <c r="M504" i="40"/>
  <c r="I447" i="40"/>
  <c r="O447" i="40"/>
  <c r="P447" i="40"/>
  <c r="G447" i="40"/>
  <c r="M447" i="40"/>
  <c r="F447" i="40"/>
  <c r="M357" i="40"/>
  <c r="J357" i="40"/>
  <c r="I357" i="40"/>
  <c r="M519" i="40"/>
  <c r="F519" i="40"/>
  <c r="J519" i="40"/>
  <c r="L519" i="40"/>
  <c r="I502" i="40"/>
  <c r="O502" i="40"/>
  <c r="F502" i="40"/>
  <c r="L502" i="40"/>
  <c r="M502" i="40"/>
  <c r="G502" i="40"/>
  <c r="F344" i="40"/>
  <c r="E477" i="40"/>
  <c r="C534" i="40"/>
  <c r="C526" i="40"/>
  <c r="D509" i="40"/>
  <c r="C506" i="40"/>
  <c r="D494" i="40"/>
  <c r="D487" i="40"/>
  <c r="F486" i="40"/>
  <c r="C485" i="40"/>
  <c r="D479" i="40"/>
  <c r="C477" i="40"/>
  <c r="D471" i="40"/>
  <c r="C469" i="40"/>
  <c r="D463" i="40"/>
  <c r="C461" i="40"/>
  <c r="B458" i="40"/>
  <c r="I458" i="40" s="1"/>
  <c r="M456" i="40"/>
  <c r="E455" i="40"/>
  <c r="E453" i="40"/>
  <c r="B450" i="40"/>
  <c r="D446" i="40"/>
  <c r="D445" i="40"/>
  <c r="B439" i="40"/>
  <c r="C435" i="40"/>
  <c r="D430" i="40"/>
  <c r="E426" i="40"/>
  <c r="E422" i="40"/>
  <c r="G421" i="40"/>
  <c r="E416" i="40"/>
  <c r="E414" i="40"/>
  <c r="G413" i="40"/>
  <c r="D409" i="40"/>
  <c r="E400" i="40"/>
  <c r="B386" i="40"/>
  <c r="D384" i="40"/>
  <c r="D371" i="40"/>
  <c r="E368" i="40"/>
  <c r="B367" i="40"/>
  <c r="E365" i="40"/>
  <c r="D335" i="40"/>
  <c r="E321" i="40"/>
  <c r="D280" i="40"/>
  <c r="G258" i="40"/>
  <c r="E201" i="40"/>
  <c r="B201" i="40"/>
  <c r="B534" i="40"/>
  <c r="B531" i="40"/>
  <c r="B526" i="40"/>
  <c r="C509" i="40"/>
  <c r="B506" i="40"/>
  <c r="B499" i="40"/>
  <c r="G499" i="40" s="1"/>
  <c r="C494" i="40"/>
  <c r="C487" i="40"/>
  <c r="C479" i="40"/>
  <c r="C471" i="40"/>
  <c r="C463" i="40"/>
  <c r="D455" i="40"/>
  <c r="C453" i="40"/>
  <c r="B445" i="40"/>
  <c r="P445" i="40" s="1"/>
  <c r="D441" i="40"/>
  <c r="E434" i="40"/>
  <c r="E424" i="40"/>
  <c r="F421" i="40"/>
  <c r="F413" i="40"/>
  <c r="B412" i="40"/>
  <c r="B411" i="40"/>
  <c r="F411" i="40" s="1"/>
  <c r="B409" i="40"/>
  <c r="D400" i="40"/>
  <c r="B397" i="40"/>
  <c r="E395" i="40"/>
  <c r="E379" i="40"/>
  <c r="E359" i="40"/>
  <c r="B359" i="40"/>
  <c r="B339" i="40"/>
  <c r="D339" i="40"/>
  <c r="D312" i="40"/>
  <c r="E312" i="40"/>
  <c r="B309" i="40"/>
  <c r="E309" i="40"/>
  <c r="I133" i="40"/>
  <c r="O133" i="40"/>
  <c r="B430" i="40"/>
  <c r="E430" i="40"/>
  <c r="E390" i="40"/>
  <c r="B384" i="40"/>
  <c r="L373" i="40"/>
  <c r="F373" i="40"/>
  <c r="B371" i="40"/>
  <c r="J371" i="40" s="1"/>
  <c r="B368" i="40"/>
  <c r="B365" i="40"/>
  <c r="D344" i="40"/>
  <c r="E344" i="40"/>
  <c r="O329" i="40"/>
  <c r="B321" i="40"/>
  <c r="B299" i="40"/>
  <c r="D299" i="40"/>
  <c r="E299" i="40"/>
  <c r="E293" i="40"/>
  <c r="B293" i="40"/>
  <c r="D265" i="40"/>
  <c r="E265" i="40"/>
  <c r="B265" i="40"/>
  <c r="O258" i="40"/>
  <c r="M258" i="40"/>
  <c r="B207" i="40"/>
  <c r="D207" i="40"/>
  <c r="E207" i="40"/>
  <c r="P400" i="40"/>
  <c r="G400" i="40"/>
  <c r="B395" i="40"/>
  <c r="I395" i="40" s="1"/>
  <c r="E357" i="40"/>
  <c r="D357" i="40"/>
  <c r="O332" i="40"/>
  <c r="L332" i="40"/>
  <c r="I332" i="40"/>
  <c r="E308" i="40"/>
  <c r="B308" i="40"/>
  <c r="J308" i="40" s="1"/>
  <c r="F286" i="40"/>
  <c r="L257" i="40"/>
  <c r="J257" i="40"/>
  <c r="F257" i="40"/>
  <c r="G257" i="40"/>
  <c r="P257" i="40"/>
  <c r="M257" i="40"/>
  <c r="O257" i="40"/>
  <c r="M421" i="40"/>
  <c r="M372" i="40"/>
  <c r="F372" i="40"/>
  <c r="L372" i="40"/>
  <c r="I358" i="40"/>
  <c r="G358" i="40"/>
  <c r="L355" i="40"/>
  <c r="E351" i="40"/>
  <c r="E341" i="40"/>
  <c r="B341" i="40"/>
  <c r="O341" i="40" s="1"/>
  <c r="D332" i="40"/>
  <c r="E332" i="40"/>
  <c r="E311" i="40"/>
  <c r="D311" i="40"/>
  <c r="B311" i="40"/>
  <c r="D257" i="40"/>
  <c r="E257" i="40"/>
  <c r="O413" i="40"/>
  <c r="O400" i="40"/>
  <c r="M478" i="40"/>
  <c r="M462" i="40"/>
  <c r="G446" i="40"/>
  <c r="E382" i="40"/>
  <c r="I373" i="40"/>
  <c r="O372" i="40"/>
  <c r="E367" i="40"/>
  <c r="B345" i="40"/>
  <c r="B305" i="40"/>
  <c r="P509" i="40"/>
  <c r="M486" i="40"/>
  <c r="E439" i="40"/>
  <c r="E526" i="40"/>
  <c r="L496" i="40"/>
  <c r="L486" i="40"/>
  <c r="E485" i="40"/>
  <c r="E469" i="40"/>
  <c r="F446" i="40"/>
  <c r="M413" i="40"/>
  <c r="E411" i="40"/>
  <c r="J400" i="40"/>
  <c r="E398" i="40"/>
  <c r="D367" i="40"/>
  <c r="M355" i="40"/>
  <c r="B348" i="40"/>
  <c r="E348" i="40"/>
  <c r="E337" i="40"/>
  <c r="B337" i="40"/>
  <c r="L337" i="40" s="1"/>
  <c r="J325" i="40"/>
  <c r="L325" i="40"/>
  <c r="P325" i="40"/>
  <c r="D301" i="40"/>
  <c r="O268" i="40"/>
  <c r="M268" i="40"/>
  <c r="D421" i="40"/>
  <c r="E421" i="40"/>
  <c r="E534" i="40"/>
  <c r="D439" i="40"/>
  <c r="B438" i="40"/>
  <c r="C438" i="40"/>
  <c r="E425" i="40"/>
  <c r="D425" i="40"/>
  <c r="I421" i="40"/>
  <c r="C517" i="40"/>
  <c r="E509" i="40"/>
  <c r="B505" i="40"/>
  <c r="C495" i="40"/>
  <c r="C493" i="40"/>
  <c r="B490" i="40"/>
  <c r="I490" i="40" s="1"/>
  <c r="E487" i="40"/>
  <c r="G486" i="40"/>
  <c r="D485" i="40"/>
  <c r="B482" i="40"/>
  <c r="E479" i="40"/>
  <c r="D477" i="40"/>
  <c r="B474" i="40"/>
  <c r="J474" i="40" s="1"/>
  <c r="E471" i="40"/>
  <c r="D469" i="40"/>
  <c r="B466" i="40"/>
  <c r="E463" i="40"/>
  <c r="E461" i="40"/>
  <c r="C458" i="40"/>
  <c r="E446" i="40"/>
  <c r="E445" i="40"/>
  <c r="C433" i="40"/>
  <c r="I413" i="40"/>
  <c r="D412" i="40"/>
  <c r="F400" i="40"/>
  <c r="E397" i="40"/>
  <c r="E388" i="40"/>
  <c r="B388" i="40"/>
  <c r="B380" i="40"/>
  <c r="B377" i="40"/>
  <c r="G373" i="40"/>
  <c r="B301" i="40"/>
  <c r="D272" i="40"/>
  <c r="D268" i="40"/>
  <c r="E268" i="40"/>
  <c r="D350" i="40"/>
  <c r="B350" i="40"/>
  <c r="B322" i="40"/>
  <c r="D322" i="40"/>
  <c r="D276" i="40"/>
  <c r="E276" i="40"/>
  <c r="B276" i="40"/>
  <c r="B250" i="40"/>
  <c r="B194" i="40"/>
  <c r="D194" i="40"/>
  <c r="E194" i="40"/>
  <c r="D289" i="40"/>
  <c r="B289" i="40"/>
  <c r="E289" i="40"/>
  <c r="B266" i="40"/>
  <c r="E266" i="40"/>
  <c r="D266" i="40"/>
  <c r="F254" i="40"/>
  <c r="D329" i="40"/>
  <c r="E329" i="40"/>
  <c r="B313" i="40"/>
  <c r="D313" i="40"/>
  <c r="E313" i="40"/>
  <c r="D212" i="40"/>
  <c r="B212" i="40"/>
  <c r="O331" i="40"/>
  <c r="B251" i="40"/>
  <c r="D251" i="40"/>
  <c r="E251" i="40"/>
  <c r="L205" i="40"/>
  <c r="G356" i="40"/>
  <c r="J356" i="40"/>
  <c r="B330" i="40"/>
  <c r="E330" i="40"/>
  <c r="F323" i="40"/>
  <c r="B278" i="40"/>
  <c r="G278" i="40" s="1"/>
  <c r="E278" i="40"/>
  <c r="E253" i="40"/>
  <c r="D253" i="40"/>
  <c r="D210" i="40"/>
  <c r="E210" i="40"/>
  <c r="B210" i="40"/>
  <c r="E261" i="40"/>
  <c r="D261" i="40"/>
  <c r="B184" i="40"/>
  <c r="D184" i="40"/>
  <c r="J180" i="40"/>
  <c r="E169" i="40"/>
  <c r="B169" i="40"/>
  <c r="I167" i="40"/>
  <c r="P145" i="40"/>
  <c r="D119" i="40"/>
  <c r="E137" i="40"/>
  <c r="B137" i="40"/>
  <c r="D117" i="40"/>
  <c r="D106" i="40"/>
  <c r="E106" i="40"/>
  <c r="B106" i="40"/>
  <c r="D174" i="40"/>
  <c r="I165" i="40"/>
  <c r="L165" i="40"/>
  <c r="P165" i="40"/>
  <c r="F165" i="40"/>
  <c r="D138" i="40"/>
  <c r="E138" i="40"/>
  <c r="B138" i="40"/>
  <c r="D109" i="40"/>
  <c r="B99" i="40"/>
  <c r="D99" i="40"/>
  <c r="E99" i="40"/>
  <c r="O59" i="40"/>
  <c r="F59" i="40"/>
  <c r="L59" i="40"/>
  <c r="I59" i="40"/>
  <c r="P147" i="40"/>
  <c r="E117" i="40"/>
  <c r="B117" i="40"/>
  <c r="E98" i="40"/>
  <c r="D182" i="40"/>
  <c r="B182" i="40"/>
  <c r="E182" i="40"/>
  <c r="J179" i="40"/>
  <c r="L179" i="40"/>
  <c r="D158" i="40"/>
  <c r="E158" i="40"/>
  <c r="E153" i="40"/>
  <c r="B153" i="40"/>
  <c r="L145" i="40"/>
  <c r="E133" i="40"/>
  <c r="D133" i="40"/>
  <c r="B92" i="40"/>
  <c r="E92" i="40"/>
  <c r="D92" i="40"/>
  <c r="D294" i="40"/>
  <c r="E284" i="40"/>
  <c r="E258" i="40"/>
  <c r="E206" i="40"/>
  <c r="D205" i="40"/>
  <c r="M204" i="40"/>
  <c r="G204" i="40"/>
  <c r="I202" i="40"/>
  <c r="E185" i="40"/>
  <c r="D185" i="40"/>
  <c r="B168" i="40"/>
  <c r="D168" i="40"/>
  <c r="E168" i="40"/>
  <c r="M165" i="40"/>
  <c r="D145" i="40"/>
  <c r="E145" i="40"/>
  <c r="E132" i="40"/>
  <c r="B129" i="40"/>
  <c r="D129" i="40"/>
  <c r="E115" i="40"/>
  <c r="D115" i="40"/>
  <c r="B115" i="40"/>
  <c r="L113" i="40"/>
  <c r="O103" i="40"/>
  <c r="L103" i="40"/>
  <c r="P88" i="40"/>
  <c r="M314" i="40"/>
  <c r="B297" i="40"/>
  <c r="B292" i="40"/>
  <c r="D284" i="40"/>
  <c r="D281" i="40"/>
  <c r="B281" i="40"/>
  <c r="E274" i="40"/>
  <c r="I196" i="40"/>
  <c r="B189" i="40"/>
  <c r="D189" i="40"/>
  <c r="E184" i="40"/>
  <c r="E171" i="40"/>
  <c r="D169" i="40"/>
  <c r="G165" i="40"/>
  <c r="O162" i="40"/>
  <c r="G162" i="40"/>
  <c r="D135" i="40"/>
  <c r="L80" i="40"/>
  <c r="O80" i="40"/>
  <c r="E296" i="40"/>
  <c r="B294" i="40"/>
  <c r="D258" i="40"/>
  <c r="E195" i="40"/>
  <c r="I180" i="40"/>
  <c r="B155" i="40"/>
  <c r="D155" i="40"/>
  <c r="F149" i="40"/>
  <c r="D141" i="40"/>
  <c r="O135" i="40"/>
  <c r="E95" i="40"/>
  <c r="D95" i="40"/>
  <c r="E83" i="40"/>
  <c r="D83" i="40"/>
  <c r="I73" i="40"/>
  <c r="F73" i="40"/>
  <c r="O73" i="40"/>
  <c r="O51" i="40"/>
  <c r="G51" i="40"/>
  <c r="I51" i="40"/>
  <c r="E80" i="40"/>
  <c r="D80" i="40"/>
  <c r="F55" i="40"/>
  <c r="D39" i="40"/>
  <c r="E39" i="40"/>
  <c r="B39" i="40"/>
  <c r="D63" i="40"/>
  <c r="E63" i="40"/>
  <c r="B63" i="40"/>
  <c r="I181" i="40"/>
  <c r="L181" i="40"/>
  <c r="D173" i="40"/>
  <c r="D130" i="40"/>
  <c r="B130" i="40"/>
  <c r="I91" i="40"/>
  <c r="J91" i="40"/>
  <c r="L73" i="40"/>
  <c r="B72" i="40"/>
  <c r="E72" i="40"/>
  <c r="E59" i="40"/>
  <c r="D59" i="40"/>
  <c r="M200" i="40"/>
  <c r="D200" i="40"/>
  <c r="E190" i="40"/>
  <c r="D179" i="40"/>
  <c r="D172" i="40"/>
  <c r="B154" i="40"/>
  <c r="B151" i="40"/>
  <c r="O128" i="40"/>
  <c r="I122" i="40"/>
  <c r="O121" i="40"/>
  <c r="G110" i="40"/>
  <c r="D87" i="40"/>
  <c r="B87" i="40"/>
  <c r="B76" i="40"/>
  <c r="D76" i="40"/>
  <c r="E76" i="40"/>
  <c r="L55" i="40"/>
  <c r="D50" i="40"/>
  <c r="L159" i="40"/>
  <c r="E127" i="40"/>
  <c r="B127" i="40"/>
  <c r="L45" i="40"/>
  <c r="F45" i="40"/>
  <c r="F181" i="40"/>
  <c r="P175" i="40"/>
  <c r="O172" i="40"/>
  <c r="E131" i="40"/>
  <c r="D110" i="40"/>
  <c r="E110" i="40"/>
  <c r="I89" i="40"/>
  <c r="F89" i="40"/>
  <c r="P89" i="40"/>
  <c r="B83" i="40"/>
  <c r="E77" i="40"/>
  <c r="D77" i="40"/>
  <c r="J51" i="40"/>
  <c r="F50" i="40"/>
  <c r="B42" i="40"/>
  <c r="D42" i="40"/>
  <c r="E42" i="40"/>
  <c r="E34" i="40"/>
  <c r="L105" i="40"/>
  <c r="D100" i="40"/>
  <c r="D34" i="40"/>
  <c r="P186" i="40"/>
  <c r="G186" i="40"/>
  <c r="F186" i="40"/>
  <c r="O186" i="40"/>
  <c r="M186" i="40"/>
  <c r="I186" i="40"/>
  <c r="J186" i="40"/>
  <c r="L186" i="40"/>
  <c r="G183" i="40"/>
  <c r="O183" i="40"/>
  <c r="M183" i="40"/>
  <c r="F183" i="40"/>
  <c r="P183" i="40"/>
  <c r="L183" i="40"/>
  <c r="I183" i="40"/>
  <c r="J183" i="40"/>
  <c r="D209" i="40"/>
  <c r="I205" i="40"/>
  <c r="F205" i="40"/>
  <c r="O205" i="40"/>
  <c r="M205" i="40"/>
  <c r="D201" i="40"/>
  <c r="B166" i="40"/>
  <c r="D164" i="40"/>
  <c r="E164" i="40"/>
  <c r="D163" i="40"/>
  <c r="B150" i="40"/>
  <c r="D150" i="40"/>
  <c r="E150" i="40"/>
  <c r="F143" i="40"/>
  <c r="O143" i="40"/>
  <c r="L143" i="40"/>
  <c r="I143" i="40"/>
  <c r="E193" i="40"/>
  <c r="D193" i="40"/>
  <c r="B193" i="40"/>
  <c r="E186" i="40"/>
  <c r="D186" i="40"/>
  <c r="I173" i="40"/>
  <c r="F173" i="40"/>
  <c r="O173" i="40"/>
  <c r="G173" i="40"/>
  <c r="P173" i="40"/>
  <c r="M173" i="40"/>
  <c r="G163" i="40"/>
  <c r="P163" i="40"/>
  <c r="I163" i="40"/>
  <c r="F163" i="40"/>
  <c r="O163" i="40"/>
  <c r="E161" i="40"/>
  <c r="D161" i="40"/>
  <c r="B161" i="40"/>
  <c r="M185" i="40"/>
  <c r="J185" i="40"/>
  <c r="I185" i="40"/>
  <c r="G185" i="40"/>
  <c r="P185" i="40"/>
  <c r="L173" i="40"/>
  <c r="F196" i="40"/>
  <c r="M196" i="40"/>
  <c r="O196" i="40"/>
  <c r="L196" i="40"/>
  <c r="O185" i="40"/>
  <c r="P170" i="40"/>
  <c r="F170" i="40"/>
  <c r="O170" i="40"/>
  <c r="G170" i="40"/>
  <c r="M170" i="40"/>
  <c r="B160" i="40"/>
  <c r="E160" i="40"/>
  <c r="F180" i="40"/>
  <c r="M180" i="40"/>
  <c r="G180" i="40"/>
  <c r="P180" i="40"/>
  <c r="O180" i="40"/>
  <c r="L180" i="40"/>
  <c r="J173" i="40"/>
  <c r="E170" i="40"/>
  <c r="D170" i="40"/>
  <c r="M163" i="40"/>
  <c r="O204" i="40"/>
  <c r="G199" i="40"/>
  <c r="O199" i="40"/>
  <c r="M199" i="40"/>
  <c r="L199" i="40"/>
  <c r="P196" i="40"/>
  <c r="B192" i="40"/>
  <c r="E192" i="40"/>
  <c r="L185" i="40"/>
  <c r="D180" i="40"/>
  <c r="E180" i="40"/>
  <c r="E177" i="40"/>
  <c r="D177" i="40"/>
  <c r="B177" i="40"/>
  <c r="L163" i="40"/>
  <c r="D196" i="40"/>
  <c r="E196" i="40"/>
  <c r="D183" i="40"/>
  <c r="E183" i="40"/>
  <c r="L211" i="40"/>
  <c r="M211" i="40"/>
  <c r="E212" i="40"/>
  <c r="O211" i="40"/>
  <c r="P202" i="40"/>
  <c r="O202" i="40"/>
  <c r="F202" i="40"/>
  <c r="M202" i="40"/>
  <c r="D199" i="40"/>
  <c r="E199" i="40"/>
  <c r="D195" i="40"/>
  <c r="G179" i="40"/>
  <c r="P179" i="40"/>
  <c r="I179" i="40"/>
  <c r="F179" i="40"/>
  <c r="O179" i="40"/>
  <c r="L170" i="40"/>
  <c r="G167" i="40"/>
  <c r="O167" i="40"/>
  <c r="M167" i="40"/>
  <c r="F167" i="40"/>
  <c r="P167" i="40"/>
  <c r="L167" i="40"/>
  <c r="E166" i="40"/>
  <c r="J163" i="40"/>
  <c r="B152" i="40"/>
  <c r="D152" i="40"/>
  <c r="E152" i="40"/>
  <c r="P211" i="40"/>
  <c r="F204" i="40"/>
  <c r="I204" i="40"/>
  <c r="J204" i="40"/>
  <c r="D211" i="40"/>
  <c r="E211" i="40"/>
  <c r="D208" i="40"/>
  <c r="B208" i="40"/>
  <c r="P205" i="40"/>
  <c r="L204" i="40"/>
  <c r="E202" i="40"/>
  <c r="D202" i="40"/>
  <c r="P199" i="40"/>
  <c r="E198" i="40"/>
  <c r="J196" i="40"/>
  <c r="B195" i="40"/>
  <c r="F185" i="40"/>
  <c r="B176" i="40"/>
  <c r="E176" i="40"/>
  <c r="D167" i="40"/>
  <c r="E167" i="40"/>
  <c r="B164" i="40"/>
  <c r="E163" i="40"/>
  <c r="E155" i="40"/>
  <c r="G175" i="40"/>
  <c r="O175" i="40"/>
  <c r="E154" i="40"/>
  <c r="D153" i="40"/>
  <c r="I145" i="40"/>
  <c r="F145" i="40"/>
  <c r="O145" i="40"/>
  <c r="B142" i="40"/>
  <c r="D123" i="40"/>
  <c r="B123" i="40"/>
  <c r="I121" i="40"/>
  <c r="J121" i="40"/>
  <c r="G121" i="40"/>
  <c r="P121" i="40"/>
  <c r="F121" i="40"/>
  <c r="L121" i="40"/>
  <c r="D146" i="40"/>
  <c r="P125" i="40"/>
  <c r="F125" i="40"/>
  <c r="O125" i="40"/>
  <c r="I125" i="40"/>
  <c r="B108" i="40"/>
  <c r="E108" i="40"/>
  <c r="D108" i="40"/>
  <c r="E94" i="40"/>
  <c r="B94" i="40"/>
  <c r="D94" i="40"/>
  <c r="G147" i="40"/>
  <c r="O147" i="40"/>
  <c r="L147" i="40"/>
  <c r="B139" i="40"/>
  <c r="F133" i="40"/>
  <c r="E125" i="40"/>
  <c r="D125" i="40"/>
  <c r="D143" i="40"/>
  <c r="E143" i="40"/>
  <c r="B132" i="40"/>
  <c r="D132" i="40"/>
  <c r="F172" i="40"/>
  <c r="G159" i="40"/>
  <c r="O159" i="40"/>
  <c r="I147" i="40"/>
  <c r="E142" i="40"/>
  <c r="B136" i="40"/>
  <c r="E136" i="40"/>
  <c r="D126" i="40"/>
  <c r="F119" i="40"/>
  <c r="O119" i="40"/>
  <c r="G119" i="40"/>
  <c r="P119" i="40"/>
  <c r="I119" i="40"/>
  <c r="J119" i="40"/>
  <c r="L119" i="40"/>
  <c r="J175" i="40"/>
  <c r="J172" i="40"/>
  <c r="P162" i="40"/>
  <c r="J159" i="40"/>
  <c r="P149" i="40"/>
  <c r="D142" i="40"/>
  <c r="F135" i="40"/>
  <c r="L133" i="40"/>
  <c r="E119" i="40"/>
  <c r="B116" i="40"/>
  <c r="E116" i="40"/>
  <c r="D116" i="40"/>
  <c r="E101" i="40"/>
  <c r="D101" i="40"/>
  <c r="B101" i="40"/>
  <c r="B206" i="40"/>
  <c r="B203" i="40"/>
  <c r="B190" i="40"/>
  <c r="B187" i="40"/>
  <c r="J181" i="40"/>
  <c r="I175" i="40"/>
  <c r="B174" i="40"/>
  <c r="I172" i="40"/>
  <c r="B171" i="40"/>
  <c r="J165" i="40"/>
  <c r="J162" i="40"/>
  <c r="I159" i="40"/>
  <c r="B158" i="40"/>
  <c r="L149" i="40"/>
  <c r="E149" i="40"/>
  <c r="D149" i="40"/>
  <c r="F147" i="40"/>
  <c r="B140" i="40"/>
  <c r="D140" i="40"/>
  <c r="E140" i="40"/>
  <c r="E135" i="40"/>
  <c r="D134" i="40"/>
  <c r="F128" i="40"/>
  <c r="G128" i="40"/>
  <c r="L128" i="40"/>
  <c r="I128" i="40"/>
  <c r="L125" i="40"/>
  <c r="E123" i="40"/>
  <c r="E107" i="40"/>
  <c r="D107" i="40"/>
  <c r="B107" i="40"/>
  <c r="B141" i="40"/>
  <c r="I113" i="40"/>
  <c r="F113" i="40"/>
  <c r="O113" i="40"/>
  <c r="D111" i="40"/>
  <c r="E111" i="40"/>
  <c r="B111" i="40"/>
  <c r="I103" i="40"/>
  <c r="F103" i="40"/>
  <c r="P103" i="40"/>
  <c r="L122" i="40"/>
  <c r="F122" i="40"/>
  <c r="O122" i="40"/>
  <c r="G122" i="40"/>
  <c r="P122" i="40"/>
  <c r="F112" i="40"/>
  <c r="J112" i="40"/>
  <c r="L112" i="40"/>
  <c r="G112" i="40"/>
  <c r="P112" i="40"/>
  <c r="L71" i="40"/>
  <c r="O71" i="40"/>
  <c r="I71" i="40"/>
  <c r="P71" i="40"/>
  <c r="F71" i="40"/>
  <c r="D122" i="40"/>
  <c r="E122" i="40"/>
  <c r="D120" i="40"/>
  <c r="B120" i="40"/>
  <c r="O112" i="40"/>
  <c r="B96" i="40"/>
  <c r="D96" i="40"/>
  <c r="I77" i="40"/>
  <c r="L77" i="40"/>
  <c r="O77" i="40"/>
  <c r="F77" i="40"/>
  <c r="B65" i="40"/>
  <c r="E65" i="40"/>
  <c r="D40" i="40"/>
  <c r="B40" i="40"/>
  <c r="E40" i="40"/>
  <c r="D114" i="40"/>
  <c r="E109" i="40"/>
  <c r="B109" i="40"/>
  <c r="B102" i="40"/>
  <c r="D102" i="40"/>
  <c r="J100" i="40"/>
  <c r="G100" i="40"/>
  <c r="P100" i="40"/>
  <c r="I100" i="40"/>
  <c r="G91" i="40"/>
  <c r="O91" i="40"/>
  <c r="M91" i="40"/>
  <c r="P91" i="40"/>
  <c r="F91" i="40"/>
  <c r="L90" i="40"/>
  <c r="P90" i="40"/>
  <c r="O90" i="40"/>
  <c r="F90" i="40"/>
  <c r="E87" i="40"/>
  <c r="M100" i="40"/>
  <c r="D91" i="40"/>
  <c r="E91" i="40"/>
  <c r="D90" i="40"/>
  <c r="E90" i="40"/>
  <c r="F78" i="40"/>
  <c r="O78" i="40"/>
  <c r="I78" i="40"/>
  <c r="L78" i="40"/>
  <c r="I124" i="40"/>
  <c r="P110" i="40"/>
  <c r="F110" i="40"/>
  <c r="O110" i="40"/>
  <c r="I110" i="40"/>
  <c r="L100" i="40"/>
  <c r="B84" i="40"/>
  <c r="E84" i="40"/>
  <c r="D84" i="40"/>
  <c r="E78" i="40"/>
  <c r="D78" i="40"/>
  <c r="E69" i="40"/>
  <c r="D69" i="40"/>
  <c r="B69" i="40"/>
  <c r="B66" i="40"/>
  <c r="D66" i="40"/>
  <c r="E66" i="40"/>
  <c r="E54" i="40"/>
  <c r="D54" i="40"/>
  <c r="B54" i="40"/>
  <c r="O75" i="40"/>
  <c r="F75" i="40"/>
  <c r="L75" i="40"/>
  <c r="E61" i="40"/>
  <c r="B61" i="40"/>
  <c r="D98" i="40"/>
  <c r="B98" i="40"/>
  <c r="D93" i="40"/>
  <c r="E85" i="40"/>
  <c r="D85" i="40"/>
  <c r="B85" i="40"/>
  <c r="D75" i="40"/>
  <c r="E75" i="40"/>
  <c r="O44" i="40"/>
  <c r="P44" i="40"/>
  <c r="F44" i="40"/>
  <c r="L44" i="40"/>
  <c r="I44" i="40"/>
  <c r="F88" i="40"/>
  <c r="O88" i="40"/>
  <c r="L88" i="40"/>
  <c r="B68" i="40"/>
  <c r="E68" i="40"/>
  <c r="D68" i="40"/>
  <c r="L35" i="40"/>
  <c r="F35" i="40"/>
  <c r="O35" i="40"/>
  <c r="I35" i="40"/>
  <c r="B95" i="40"/>
  <c r="B93" i="40"/>
  <c r="D88" i="40"/>
  <c r="E88" i="40"/>
  <c r="I81" i="40"/>
  <c r="F81" i="40"/>
  <c r="O81" i="40"/>
  <c r="L56" i="40"/>
  <c r="O56" i="40"/>
  <c r="F56" i="40"/>
  <c r="M56" i="40"/>
  <c r="I56" i="40"/>
  <c r="B62" i="40"/>
  <c r="D57" i="40"/>
  <c r="E57" i="40"/>
  <c r="B57" i="40"/>
  <c r="D43" i="40"/>
  <c r="E43" i="40"/>
  <c r="B43" i="40"/>
  <c r="F80" i="40"/>
  <c r="E67" i="40"/>
  <c r="D60" i="40"/>
  <c r="E46" i="40"/>
  <c r="D46" i="40"/>
  <c r="B46" i="40"/>
  <c r="F38" i="40"/>
  <c r="O38" i="40"/>
  <c r="L38" i="40"/>
  <c r="I38" i="40"/>
  <c r="D79" i="40"/>
  <c r="E62" i="40"/>
  <c r="D52" i="40"/>
  <c r="E52" i="40"/>
  <c r="B52" i="40"/>
  <c r="E38" i="40"/>
  <c r="D38" i="40"/>
  <c r="D35" i="40"/>
  <c r="E35" i="40"/>
  <c r="B82" i="40"/>
  <c r="I80" i="40"/>
  <c r="B79" i="40"/>
  <c r="D71" i="40"/>
  <c r="D64" i="40"/>
  <c r="E64" i="40"/>
  <c r="B64" i="40"/>
  <c r="D62" i="40"/>
  <c r="B60" i="40"/>
  <c r="D49" i="40"/>
  <c r="E49" i="40"/>
  <c r="B49" i="40"/>
  <c r="P47" i="40"/>
  <c r="I47" i="40"/>
  <c r="O47" i="40"/>
  <c r="F47" i="40"/>
  <c r="D56" i="40"/>
  <c r="I55" i="40"/>
  <c r="B53" i="40"/>
  <c r="D51" i="40"/>
  <c r="E51" i="40"/>
  <c r="I50" i="40"/>
  <c r="O55" i="40"/>
  <c r="P51" i="40"/>
  <c r="F51" i="40"/>
  <c r="O50" i="40"/>
  <c r="D48" i="40"/>
  <c r="B48" i="40"/>
  <c r="L37" i="40"/>
  <c r="I37" i="40"/>
  <c r="E56" i="40"/>
  <c r="E53" i="40"/>
  <c r="I45" i="40"/>
  <c r="O37" i="40"/>
  <c r="L51" i="40"/>
  <c r="M51" i="40"/>
  <c r="I34" i="40"/>
  <c r="D37" i="40"/>
  <c r="C532" i="40"/>
  <c r="D532" i="40"/>
  <c r="E532" i="40"/>
  <c r="B532" i="40"/>
  <c r="C524" i="40"/>
  <c r="D524" i="40"/>
  <c r="E524" i="40"/>
  <c r="B524" i="40"/>
  <c r="C492" i="40"/>
  <c r="D492" i="40"/>
  <c r="E492" i="40"/>
  <c r="B492" i="40"/>
  <c r="P479" i="40"/>
  <c r="I479" i="40"/>
  <c r="J479" i="40"/>
  <c r="L479" i="40"/>
  <c r="M479" i="40"/>
  <c r="G479" i="40"/>
  <c r="O479" i="40"/>
  <c r="F479" i="40"/>
  <c r="J469" i="40"/>
  <c r="G469" i="40"/>
  <c r="L469" i="40"/>
  <c r="M469" i="40"/>
  <c r="F469" i="40"/>
  <c r="P469" i="40"/>
  <c r="I469" i="40"/>
  <c r="O469" i="40"/>
  <c r="J461" i="40"/>
  <c r="L461" i="40"/>
  <c r="M461" i="40"/>
  <c r="O461" i="40"/>
  <c r="F461" i="40"/>
  <c r="P461" i="40"/>
  <c r="I461" i="40"/>
  <c r="G461" i="40"/>
  <c r="C508" i="40"/>
  <c r="D508" i="40"/>
  <c r="E508" i="40"/>
  <c r="B508" i="40"/>
  <c r="P455" i="40"/>
  <c r="I455" i="40"/>
  <c r="L455" i="40"/>
  <c r="J455" i="40"/>
  <c r="M455" i="40"/>
  <c r="F455" i="40"/>
  <c r="G455" i="40"/>
  <c r="O455" i="40"/>
  <c r="P463" i="40"/>
  <c r="I463" i="40"/>
  <c r="J463" i="40"/>
  <c r="L463" i="40"/>
  <c r="M463" i="40"/>
  <c r="F463" i="40"/>
  <c r="G463" i="40"/>
  <c r="O463" i="40"/>
  <c r="J517" i="40"/>
  <c r="G517" i="40"/>
  <c r="O517" i="40"/>
  <c r="L517" i="40"/>
  <c r="M517" i="40"/>
  <c r="I517" i="40"/>
  <c r="F517" i="40"/>
  <c r="P448" i="40"/>
  <c r="L448" i="40"/>
  <c r="M448" i="40"/>
  <c r="F448" i="40"/>
  <c r="O448" i="40"/>
  <c r="G448" i="40"/>
  <c r="I448" i="40"/>
  <c r="J448" i="40"/>
  <c r="J533" i="40"/>
  <c r="L533" i="40"/>
  <c r="M533" i="40"/>
  <c r="G533" i="40"/>
  <c r="O533" i="40"/>
  <c r="F533" i="40"/>
  <c r="I533" i="40"/>
  <c r="O483" i="40"/>
  <c r="P401" i="40"/>
  <c r="F401" i="40"/>
  <c r="O401" i="40"/>
  <c r="M401" i="40"/>
  <c r="J401" i="40"/>
  <c r="L401" i="40"/>
  <c r="G401" i="40"/>
  <c r="I401" i="40"/>
  <c r="O507" i="40"/>
  <c r="F507" i="40"/>
  <c r="I507" i="40"/>
  <c r="J485" i="40"/>
  <c r="L485" i="40"/>
  <c r="M485" i="40"/>
  <c r="G485" i="40"/>
  <c r="O485" i="40"/>
  <c r="I485" i="40"/>
  <c r="F485" i="40"/>
  <c r="J525" i="40"/>
  <c r="M525" i="40"/>
  <c r="F525" i="40"/>
  <c r="G525" i="40"/>
  <c r="O525" i="40"/>
  <c r="I525" i="40"/>
  <c r="L525" i="40"/>
  <c r="P517" i="40"/>
  <c r="P503" i="40"/>
  <c r="L503" i="40"/>
  <c r="I503" i="40"/>
  <c r="M503" i="40"/>
  <c r="J503" i="40"/>
  <c r="G503" i="40"/>
  <c r="O503" i="40"/>
  <c r="J493" i="40"/>
  <c r="F493" i="40"/>
  <c r="L493" i="40"/>
  <c r="M493" i="40"/>
  <c r="G493" i="40"/>
  <c r="O493" i="40"/>
  <c r="I493" i="40"/>
  <c r="F419" i="40"/>
  <c r="I419" i="40"/>
  <c r="M419" i="40"/>
  <c r="O419" i="40"/>
  <c r="P419" i="40"/>
  <c r="G419" i="40"/>
  <c r="J419" i="40"/>
  <c r="L419" i="40"/>
  <c r="C500" i="40"/>
  <c r="D500" i="40"/>
  <c r="E500" i="40"/>
  <c r="B500" i="40"/>
  <c r="P487" i="40"/>
  <c r="I487" i="40"/>
  <c r="L487" i="40"/>
  <c r="J487" i="40"/>
  <c r="M487" i="40"/>
  <c r="G487" i="40"/>
  <c r="O487" i="40"/>
  <c r="P495" i="40"/>
  <c r="I495" i="40"/>
  <c r="J495" i="40"/>
  <c r="M495" i="40"/>
  <c r="G495" i="40"/>
  <c r="O495" i="40"/>
  <c r="L495" i="40"/>
  <c r="C516" i="40"/>
  <c r="D516" i="40"/>
  <c r="E516" i="40"/>
  <c r="B516" i="40"/>
  <c r="J501" i="40"/>
  <c r="M501" i="40"/>
  <c r="F501" i="40"/>
  <c r="L501" i="40"/>
  <c r="G501" i="40"/>
  <c r="O501" i="40"/>
  <c r="I501" i="40"/>
  <c r="P471" i="40"/>
  <c r="I471" i="40"/>
  <c r="J471" i="40"/>
  <c r="L471" i="40"/>
  <c r="M471" i="40"/>
  <c r="F471" i="40"/>
  <c r="G471" i="40"/>
  <c r="O471" i="40"/>
  <c r="J453" i="40"/>
  <c r="M453" i="40"/>
  <c r="L453" i="40"/>
  <c r="F453" i="40"/>
  <c r="G453" i="40"/>
  <c r="O453" i="40"/>
  <c r="P453" i="40"/>
  <c r="I453" i="40"/>
  <c r="J509" i="40"/>
  <c r="L509" i="40"/>
  <c r="F509" i="40"/>
  <c r="O509" i="40"/>
  <c r="I509" i="40"/>
  <c r="M509" i="40"/>
  <c r="G509" i="40"/>
  <c r="F487" i="40"/>
  <c r="P485" i="40"/>
  <c r="C484" i="40"/>
  <c r="D484" i="40"/>
  <c r="E484" i="40"/>
  <c r="B484" i="40"/>
  <c r="J477" i="40"/>
  <c r="F477" i="40"/>
  <c r="O477" i="40"/>
  <c r="L477" i="40"/>
  <c r="M477" i="40"/>
  <c r="G477" i="40"/>
  <c r="I477" i="40"/>
  <c r="P477" i="40"/>
  <c r="G402" i="40"/>
  <c r="O402" i="40"/>
  <c r="F402" i="40"/>
  <c r="P402" i="40"/>
  <c r="I402" i="40"/>
  <c r="J402" i="40"/>
  <c r="L402" i="40"/>
  <c r="M402" i="40"/>
  <c r="I535" i="40"/>
  <c r="E531" i="40"/>
  <c r="E515" i="40"/>
  <c r="I511" i="40"/>
  <c r="O535" i="40"/>
  <c r="G535" i="40"/>
  <c r="C531" i="40"/>
  <c r="L530" i="40"/>
  <c r="D530" i="40"/>
  <c r="C523" i="40"/>
  <c r="D522" i="40"/>
  <c r="O519" i="40"/>
  <c r="G519" i="40"/>
  <c r="C515" i="40"/>
  <c r="L514" i="40"/>
  <c r="D514" i="40"/>
  <c r="O511" i="40"/>
  <c r="G511" i="40"/>
  <c r="P510" i="40"/>
  <c r="C507" i="40"/>
  <c r="D506" i="40"/>
  <c r="F504" i="40"/>
  <c r="P502" i="40"/>
  <c r="C499" i="40"/>
  <c r="D498" i="40"/>
  <c r="F496" i="40"/>
  <c r="C491" i="40"/>
  <c r="D490" i="40"/>
  <c r="P486" i="40"/>
  <c r="C483" i="40"/>
  <c r="D482" i="40"/>
  <c r="B476" i="40"/>
  <c r="C475" i="40"/>
  <c r="D474" i="40"/>
  <c r="B468" i="40"/>
  <c r="C467" i="40"/>
  <c r="D466" i="40"/>
  <c r="M465" i="40"/>
  <c r="B460" i="40"/>
  <c r="C459" i="40"/>
  <c r="D458" i="40"/>
  <c r="F456" i="40"/>
  <c r="B452" i="40"/>
  <c r="C451" i="40"/>
  <c r="C450" i="40"/>
  <c r="B449" i="40"/>
  <c r="E443" i="40"/>
  <c r="B443" i="40"/>
  <c r="B440" i="40"/>
  <c r="E438" i="40"/>
  <c r="C437" i="40"/>
  <c r="E437" i="40"/>
  <c r="D432" i="40"/>
  <c r="E418" i="40"/>
  <c r="G396" i="40"/>
  <c r="E402" i="40"/>
  <c r="E378" i="40"/>
  <c r="B378" i="40"/>
  <c r="D378" i="40"/>
  <c r="E435" i="40"/>
  <c r="B435" i="40"/>
  <c r="P432" i="40"/>
  <c r="C429" i="40"/>
  <c r="E429" i="40"/>
  <c r="G418" i="40"/>
  <c r="O418" i="40"/>
  <c r="F418" i="40"/>
  <c r="P418" i="40"/>
  <c r="E393" i="40"/>
  <c r="D393" i="40"/>
  <c r="B393" i="40"/>
  <c r="F370" i="40"/>
  <c r="G370" i="40"/>
  <c r="O370" i="40"/>
  <c r="P370" i="40"/>
  <c r="I370" i="40"/>
  <c r="J370" i="40"/>
  <c r="L370" i="40"/>
  <c r="M370" i="40"/>
  <c r="D444" i="40"/>
  <c r="C444" i="40"/>
  <c r="B422" i="40"/>
  <c r="L418" i="40"/>
  <c r="J528" i="40"/>
  <c r="I465" i="40"/>
  <c r="E427" i="40"/>
  <c r="B427" i="40"/>
  <c r="E420" i="40"/>
  <c r="B420" i="40"/>
  <c r="D403" i="40"/>
  <c r="E403" i="40"/>
  <c r="B403" i="40"/>
  <c r="J530" i="40"/>
  <c r="I530" i="40"/>
  <c r="J521" i="40"/>
  <c r="J465" i="40"/>
  <c r="J456" i="40"/>
  <c r="J535" i="40"/>
  <c r="I528" i="40"/>
  <c r="P521" i="40"/>
  <c r="I504" i="40"/>
  <c r="E476" i="40"/>
  <c r="E468" i="40"/>
  <c r="P465" i="40"/>
  <c r="D461" i="40"/>
  <c r="E460" i="40"/>
  <c r="I456" i="40"/>
  <c r="D453" i="40"/>
  <c r="E452" i="40"/>
  <c r="E449" i="40"/>
  <c r="D448" i="40"/>
  <c r="L447" i="40"/>
  <c r="L446" i="40"/>
  <c r="C446" i="40"/>
  <c r="E440" i="40"/>
  <c r="D436" i="40"/>
  <c r="C436" i="40"/>
  <c r="B425" i="40"/>
  <c r="D419" i="40"/>
  <c r="J418" i="40"/>
  <c r="E410" i="40"/>
  <c r="F387" i="40"/>
  <c r="I387" i="40"/>
  <c r="J387" i="40"/>
  <c r="G387" i="40"/>
  <c r="P387" i="40"/>
  <c r="O387" i="40"/>
  <c r="I497" i="40"/>
  <c r="J496" i="40"/>
  <c r="O530" i="40"/>
  <c r="P528" i="40"/>
  <c r="E523" i="40"/>
  <c r="O521" i="40"/>
  <c r="I519" i="40"/>
  <c r="E507" i="40"/>
  <c r="P504" i="40"/>
  <c r="J502" i="40"/>
  <c r="E499" i="40"/>
  <c r="E483" i="40"/>
  <c r="D476" i="40"/>
  <c r="E475" i="40"/>
  <c r="E467" i="40"/>
  <c r="G465" i="40"/>
  <c r="D460" i="40"/>
  <c r="E459" i="40"/>
  <c r="P456" i="40"/>
  <c r="D452" i="40"/>
  <c r="E451" i="40"/>
  <c r="E450" i="40"/>
  <c r="D449" i="40"/>
  <c r="D440" i="40"/>
  <c r="I418" i="40"/>
  <c r="E401" i="40"/>
  <c r="D401" i="40"/>
  <c r="J504" i="40"/>
  <c r="O497" i="40"/>
  <c r="E491" i="40"/>
  <c r="J486" i="40"/>
  <c r="D468" i="40"/>
  <c r="O465" i="40"/>
  <c r="P535" i="40"/>
  <c r="O528" i="40"/>
  <c r="P519" i="40"/>
  <c r="P511" i="40"/>
  <c r="O504" i="40"/>
  <c r="O456" i="40"/>
  <c r="J447" i="40"/>
  <c r="I446" i="40"/>
  <c r="C443" i="40"/>
  <c r="B437" i="40"/>
  <c r="I431" i="40"/>
  <c r="F431" i="40"/>
  <c r="O431" i="40"/>
  <c r="D428" i="40"/>
  <c r="L421" i="40"/>
  <c r="J421" i="40"/>
  <c r="O421" i="40"/>
  <c r="B415" i="40"/>
  <c r="D415" i="40"/>
  <c r="L413" i="40"/>
  <c r="J413" i="40"/>
  <c r="B410" i="40"/>
  <c r="D402" i="40"/>
  <c r="M387" i="40"/>
  <c r="E385" i="40"/>
  <c r="D385" i="40"/>
  <c r="B385" i="40"/>
  <c r="B423" i="40"/>
  <c r="D423" i="40"/>
  <c r="B414" i="40"/>
  <c r="B399" i="40"/>
  <c r="D399" i="40"/>
  <c r="E399" i="40"/>
  <c r="B383" i="40"/>
  <c r="D383" i="40"/>
  <c r="E383" i="40"/>
  <c r="E361" i="40"/>
  <c r="B361" i="40"/>
  <c r="D361" i="40"/>
  <c r="E377" i="40"/>
  <c r="D377" i="40"/>
  <c r="E363" i="40"/>
  <c r="D363" i="40"/>
  <c r="B363" i="40"/>
  <c r="B375" i="40"/>
  <c r="D375" i="40"/>
  <c r="E375" i="40"/>
  <c r="B407" i="40"/>
  <c r="D407" i="40"/>
  <c r="E407" i="40"/>
  <c r="B391" i="40"/>
  <c r="D391" i="40"/>
  <c r="E391" i="40"/>
  <c r="D386" i="40"/>
  <c r="M404" i="40"/>
  <c r="I404" i="40"/>
  <c r="J404" i="40"/>
  <c r="I400" i="40"/>
  <c r="M400" i="40"/>
  <c r="L400" i="40"/>
  <c r="E370" i="40"/>
  <c r="D370" i="40"/>
  <c r="B366" i="40"/>
  <c r="G357" i="40"/>
  <c r="O357" i="40"/>
  <c r="L357" i="40"/>
  <c r="I355" i="40"/>
  <c r="J355" i="40"/>
  <c r="G355" i="40"/>
  <c r="B342" i="40"/>
  <c r="E354" i="40"/>
  <c r="B346" i="40"/>
  <c r="E346" i="40"/>
  <c r="B354" i="40"/>
  <c r="O349" i="40"/>
  <c r="L349" i="40"/>
  <c r="L324" i="40"/>
  <c r="F324" i="40"/>
  <c r="O324" i="40"/>
  <c r="I324" i="40"/>
  <c r="F358" i="40"/>
  <c r="M358" i="40"/>
  <c r="P358" i="40"/>
  <c r="E349" i="40"/>
  <c r="D349" i="40"/>
  <c r="D369" i="40"/>
  <c r="L358" i="40"/>
  <c r="D358" i="40"/>
  <c r="E358" i="40"/>
  <c r="F357" i="40"/>
  <c r="B353" i="40"/>
  <c r="D406" i="40"/>
  <c r="D398" i="40"/>
  <c r="D390" i="40"/>
  <c r="D382" i="40"/>
  <c r="D374" i="40"/>
  <c r="J372" i="40"/>
  <c r="E366" i="40"/>
  <c r="D360" i="40"/>
  <c r="B360" i="40"/>
  <c r="P355" i="40"/>
  <c r="L344" i="40"/>
  <c r="G344" i="40"/>
  <c r="I344" i="40"/>
  <c r="D342" i="40"/>
  <c r="B406" i="40"/>
  <c r="B398" i="40"/>
  <c r="B390" i="40"/>
  <c r="B382" i="40"/>
  <c r="B374" i="40"/>
  <c r="J373" i="40"/>
  <c r="I372" i="40"/>
  <c r="B369" i="40"/>
  <c r="D366" i="40"/>
  <c r="D359" i="40"/>
  <c r="J358" i="40"/>
  <c r="P357" i="40"/>
  <c r="O355" i="40"/>
  <c r="D352" i="40"/>
  <c r="E352" i="40"/>
  <c r="D346" i="40"/>
  <c r="O344" i="40"/>
  <c r="D340" i="40"/>
  <c r="B340" i="40"/>
  <c r="E340" i="40"/>
  <c r="B338" i="40"/>
  <c r="E338" i="40"/>
  <c r="E343" i="40"/>
  <c r="I331" i="40"/>
  <c r="L331" i="40"/>
  <c r="E326" i="40"/>
  <c r="D326" i="40"/>
  <c r="B326" i="40"/>
  <c r="E324" i="40"/>
  <c r="E318" i="40"/>
  <c r="D318" i="40"/>
  <c r="B318" i="40"/>
  <c r="B306" i="40"/>
  <c r="E306" i="40"/>
  <c r="D306" i="40"/>
  <c r="D324" i="40"/>
  <c r="P356" i="40"/>
  <c r="D348" i="40"/>
  <c r="E335" i="40"/>
  <c r="B335" i="40"/>
  <c r="D334" i="40"/>
  <c r="D328" i="40"/>
  <c r="B328" i="40"/>
  <c r="F331" i="40"/>
  <c r="G325" i="40"/>
  <c r="O325" i="40"/>
  <c r="M325" i="40"/>
  <c r="F325" i="40"/>
  <c r="I325" i="40"/>
  <c r="F332" i="40"/>
  <c r="I329" i="40"/>
  <c r="F329" i="40"/>
  <c r="L329" i="40"/>
  <c r="D325" i="40"/>
  <c r="E325" i="40"/>
  <c r="D317" i="40"/>
  <c r="E317" i="40"/>
  <c r="F263" i="40"/>
  <c r="I263" i="40"/>
  <c r="L263" i="40"/>
  <c r="O263" i="40"/>
  <c r="E290" i="40"/>
  <c r="B290" i="40"/>
  <c r="F271" i="40"/>
  <c r="I271" i="40"/>
  <c r="L271" i="40"/>
  <c r="O271" i="40"/>
  <c r="F310" i="40"/>
  <c r="O310" i="40"/>
  <c r="I310" i="40"/>
  <c r="E287" i="40"/>
  <c r="D287" i="40"/>
  <c r="B287" i="40"/>
  <c r="E310" i="40"/>
  <c r="D310" i="40"/>
  <c r="P316" i="40"/>
  <c r="L316" i="40"/>
  <c r="M316" i="40"/>
  <c r="F316" i="40"/>
  <c r="O316" i="40"/>
  <c r="B317" i="40"/>
  <c r="D316" i="40"/>
  <c r="E316" i="40"/>
  <c r="L310" i="40"/>
  <c r="D308" i="40"/>
  <c r="D270" i="40"/>
  <c r="E270" i="40"/>
  <c r="B270" i="40"/>
  <c r="B267" i="40"/>
  <c r="D267" i="40"/>
  <c r="E267" i="40"/>
  <c r="I282" i="40"/>
  <c r="L282" i="40"/>
  <c r="F282" i="40"/>
  <c r="F279" i="40"/>
  <c r="L279" i="40"/>
  <c r="O279" i="40"/>
  <c r="I279" i="40"/>
  <c r="B275" i="40"/>
  <c r="D275" i="40"/>
  <c r="E275" i="40"/>
  <c r="E263" i="40"/>
  <c r="D263" i="40"/>
  <c r="B259" i="40"/>
  <c r="D259" i="40"/>
  <c r="E259" i="40"/>
  <c r="B298" i="40"/>
  <c r="E298" i="40"/>
  <c r="I284" i="40"/>
  <c r="F284" i="40"/>
  <c r="E322" i="40"/>
  <c r="B320" i="40"/>
  <c r="E314" i="40"/>
  <c r="B312" i="40"/>
  <c r="D309" i="40"/>
  <c r="E300" i="40"/>
  <c r="E285" i="40"/>
  <c r="D285" i="40"/>
  <c r="B285" i="40"/>
  <c r="O282" i="40"/>
  <c r="I268" i="40"/>
  <c r="F268" i="40"/>
  <c r="P268" i="40"/>
  <c r="J268" i="40"/>
  <c r="L268" i="40"/>
  <c r="D262" i="40"/>
  <c r="E262" i="40"/>
  <c r="B262" i="40"/>
  <c r="O284" i="40"/>
  <c r="E271" i="40"/>
  <c r="D271" i="40"/>
  <c r="L315" i="40"/>
  <c r="L314" i="40"/>
  <c r="B300" i="40"/>
  <c r="D293" i="40"/>
  <c r="O286" i="40"/>
  <c r="L286" i="40"/>
  <c r="I286" i="40"/>
  <c r="F260" i="40"/>
  <c r="D304" i="40"/>
  <c r="B304" i="40"/>
  <c r="L284" i="40"/>
  <c r="B283" i="40"/>
  <c r="E277" i="40"/>
  <c r="B277" i="40"/>
  <c r="O254" i="40"/>
  <c r="L254" i="40"/>
  <c r="I254" i="40"/>
  <c r="E305" i="40"/>
  <c r="B303" i="40"/>
  <c r="E297" i="40"/>
  <c r="B295" i="40"/>
  <c r="D291" i="40"/>
  <c r="D286" i="40"/>
  <c r="E254" i="40"/>
  <c r="D254" i="40"/>
  <c r="D305" i="40"/>
  <c r="D297" i="40"/>
  <c r="B296" i="40"/>
  <c r="E283" i="40"/>
  <c r="D278" i="40"/>
  <c r="D277" i="40"/>
  <c r="D255" i="40"/>
  <c r="B255" i="40"/>
  <c r="E255" i="40"/>
  <c r="O252" i="40"/>
  <c r="I252" i="40"/>
  <c r="F252" i="40"/>
  <c r="P258" i="40"/>
  <c r="B269" i="40"/>
  <c r="B261" i="40"/>
  <c r="L258" i="40"/>
  <c r="E256" i="40"/>
  <c r="B256" i="40"/>
  <c r="B253" i="40"/>
  <c r="J258" i="40"/>
  <c r="E288" i="40"/>
  <c r="B288" i="40"/>
  <c r="E280" i="40"/>
  <c r="B280" i="40"/>
  <c r="E272" i="40"/>
  <c r="B272" i="40"/>
  <c r="E264" i="40"/>
  <c r="B264" i="40"/>
  <c r="I258" i="40"/>
  <c r="I257" i="40"/>
  <c r="K438" i="44"/>
  <c r="K439" i="44"/>
  <c r="H438" i="44"/>
  <c r="H439" i="44"/>
  <c r="D438" i="44"/>
  <c r="D439" i="44"/>
  <c r="N427" i="44"/>
  <c r="N428" i="44"/>
  <c r="K427" i="44"/>
  <c r="K428" i="44"/>
  <c r="H427" i="44"/>
  <c r="H428" i="44"/>
  <c r="D427" i="44"/>
  <c r="D428" i="44"/>
  <c r="T414" i="44"/>
  <c r="T415" i="44"/>
  <c r="R414" i="44"/>
  <c r="R415" i="44"/>
  <c r="P414" i="44"/>
  <c r="P415" i="44"/>
  <c r="K414" i="44"/>
  <c r="K415" i="44"/>
  <c r="G414" i="44"/>
  <c r="G415" i="44"/>
  <c r="E414" i="44"/>
  <c r="E415" i="44"/>
  <c r="D414" i="44"/>
  <c r="D415" i="44"/>
  <c r="B414" i="44"/>
  <c r="B415" i="44"/>
  <c r="T399" i="44"/>
  <c r="T400" i="44"/>
  <c r="T401" i="44"/>
  <c r="T402" i="44"/>
  <c r="T403" i="44"/>
  <c r="T404" i="44"/>
  <c r="T405" i="44"/>
  <c r="R399" i="44"/>
  <c r="R400" i="44"/>
  <c r="R401" i="44"/>
  <c r="R402" i="44"/>
  <c r="R403" i="44"/>
  <c r="R404" i="44"/>
  <c r="R405" i="44"/>
  <c r="P399" i="44"/>
  <c r="P400" i="44"/>
  <c r="P401" i="44"/>
  <c r="P402" i="44"/>
  <c r="P403" i="44"/>
  <c r="P404" i="44"/>
  <c r="P405" i="44"/>
  <c r="K399" i="44"/>
  <c r="K400" i="44"/>
  <c r="K401" i="44"/>
  <c r="K402" i="44"/>
  <c r="K403" i="44"/>
  <c r="K404" i="44"/>
  <c r="K405" i="44"/>
  <c r="B399" i="44"/>
  <c r="B400" i="44"/>
  <c r="B401" i="44"/>
  <c r="B402" i="44"/>
  <c r="B403" i="44"/>
  <c r="B404" i="44"/>
  <c r="B405" i="44"/>
  <c r="G399" i="44"/>
  <c r="G400" i="44"/>
  <c r="G401" i="44"/>
  <c r="G402" i="44"/>
  <c r="G403" i="44"/>
  <c r="G404" i="44"/>
  <c r="G405" i="44"/>
  <c r="E399" i="44"/>
  <c r="E400" i="44"/>
  <c r="E401" i="44"/>
  <c r="E402" i="44"/>
  <c r="E403" i="44"/>
  <c r="E404" i="44"/>
  <c r="E405" i="44"/>
  <c r="D399" i="44"/>
  <c r="D400" i="44"/>
  <c r="D401" i="44"/>
  <c r="D402" i="44"/>
  <c r="D403" i="44"/>
  <c r="D404" i="44"/>
  <c r="D405" i="44"/>
  <c r="K2" i="44"/>
  <c r="A2" i="44"/>
  <c r="A1" i="44"/>
  <c r="A249" i="40"/>
  <c r="E249" i="40" s="1"/>
  <c r="J6" i="22"/>
  <c r="J6" i="13"/>
  <c r="K428" i="42"/>
  <c r="K429" i="42"/>
  <c r="H428" i="42"/>
  <c r="H429" i="42"/>
  <c r="D428" i="42"/>
  <c r="D429" i="42"/>
  <c r="A2" i="42"/>
  <c r="K2" i="42"/>
  <c r="E2" i="29"/>
  <c r="E442" i="29" s="1"/>
  <c r="B4" i="27"/>
  <c r="I260" i="40" l="1"/>
  <c r="J514" i="40"/>
  <c r="P497" i="40"/>
  <c r="P514" i="40"/>
  <c r="O529" i="40"/>
  <c r="I521" i="40"/>
  <c r="I514" i="40"/>
  <c r="G514" i="40"/>
  <c r="I529" i="40"/>
  <c r="M521" i="40"/>
  <c r="L260" i="40"/>
  <c r="G497" i="40"/>
  <c r="O514" i="40"/>
  <c r="P529" i="40"/>
  <c r="G521" i="40"/>
  <c r="J497" i="40"/>
  <c r="J529" i="40"/>
  <c r="M529" i="40"/>
  <c r="G529" i="40"/>
  <c r="I433" i="40"/>
  <c r="G381" i="40"/>
  <c r="G347" i="40"/>
  <c r="J381" i="40"/>
  <c r="P464" i="40"/>
  <c r="G432" i="40"/>
  <c r="L323" i="40"/>
  <c r="P507" i="40"/>
  <c r="O496" i="40"/>
  <c r="M507" i="40"/>
  <c r="O432" i="40"/>
  <c r="P496" i="40"/>
  <c r="I432" i="40"/>
  <c r="G507" i="40"/>
  <c r="I323" i="40"/>
  <c r="F432" i="40"/>
  <c r="I496" i="40"/>
  <c r="J432" i="40"/>
  <c r="I498" i="40"/>
  <c r="L274" i="40"/>
  <c r="I481" i="40"/>
  <c r="L498" i="40"/>
  <c r="M396" i="40"/>
  <c r="L67" i="40"/>
  <c r="J478" i="40"/>
  <c r="I513" i="40"/>
  <c r="F396" i="40"/>
  <c r="P513" i="40"/>
  <c r="I520" i="40"/>
  <c r="P520" i="40"/>
  <c r="O520" i="40"/>
  <c r="J520" i="40"/>
  <c r="J513" i="40"/>
  <c r="I396" i="40"/>
  <c r="G513" i="40"/>
  <c r="L513" i="40"/>
  <c r="I483" i="40"/>
  <c r="I488" i="40"/>
  <c r="I198" i="40"/>
  <c r="O433" i="40"/>
  <c r="G433" i="40"/>
  <c r="F433" i="40"/>
  <c r="P381" i="40"/>
  <c r="L381" i="40"/>
  <c r="F462" i="40"/>
  <c r="P404" i="40"/>
  <c r="J462" i="40"/>
  <c r="O404" i="40"/>
  <c r="F535" i="40"/>
  <c r="P530" i="40"/>
  <c r="G530" i="40"/>
  <c r="L462" i="40"/>
  <c r="J441" i="40"/>
  <c r="P462" i="40"/>
  <c r="F528" i="40"/>
  <c r="L535" i="40"/>
  <c r="L528" i="40"/>
  <c r="O462" i="40"/>
  <c r="J188" i="40"/>
  <c r="I441" i="40"/>
  <c r="L515" i="40"/>
  <c r="O510" i="40"/>
  <c r="J510" i="40"/>
  <c r="F441" i="40"/>
  <c r="F467" i="40"/>
  <c r="O441" i="40"/>
  <c r="G441" i="40"/>
  <c r="M510" i="40"/>
  <c r="L488" i="40"/>
  <c r="I36" i="40"/>
  <c r="L510" i="40"/>
  <c r="F510" i="40"/>
  <c r="G371" i="40"/>
  <c r="L302" i="40"/>
  <c r="O428" i="40"/>
  <c r="I464" i="40"/>
  <c r="P467" i="40"/>
  <c r="M515" i="40"/>
  <c r="O464" i="40"/>
  <c r="M428" i="40"/>
  <c r="J467" i="40"/>
  <c r="J428" i="40"/>
  <c r="P515" i="40"/>
  <c r="L417" i="40"/>
  <c r="L428" i="40"/>
  <c r="J464" i="40"/>
  <c r="I467" i="40"/>
  <c r="F515" i="40"/>
  <c r="O315" i="40"/>
  <c r="I428" i="40"/>
  <c r="L464" i="40"/>
  <c r="G467" i="40"/>
  <c r="G515" i="40"/>
  <c r="M467" i="40"/>
  <c r="P417" i="40"/>
  <c r="I515" i="40"/>
  <c r="I134" i="40"/>
  <c r="J396" i="40"/>
  <c r="M513" i="40"/>
  <c r="L520" i="40"/>
  <c r="L478" i="40"/>
  <c r="M497" i="40"/>
  <c r="G478" i="40"/>
  <c r="P478" i="40"/>
  <c r="F520" i="40"/>
  <c r="O395" i="40"/>
  <c r="L470" i="40"/>
  <c r="F470" i="40"/>
  <c r="N406" i="40"/>
  <c r="K406" i="40"/>
  <c r="H406" i="40"/>
  <c r="L330" i="40"/>
  <c r="M426" i="40"/>
  <c r="K426" i="40"/>
  <c r="N426" i="40"/>
  <c r="H426" i="40"/>
  <c r="M434" i="40"/>
  <c r="K434" i="40"/>
  <c r="H434" i="40"/>
  <c r="N434" i="40"/>
  <c r="L475" i="40"/>
  <c r="K475" i="40"/>
  <c r="H475" i="40"/>
  <c r="N475" i="40"/>
  <c r="N449" i="40"/>
  <c r="H449" i="40"/>
  <c r="K449" i="40"/>
  <c r="H139" i="40"/>
  <c r="N139" i="40"/>
  <c r="K139" i="40"/>
  <c r="L265" i="40"/>
  <c r="J526" i="40"/>
  <c r="N526" i="40"/>
  <c r="K526" i="40"/>
  <c r="H526" i="40"/>
  <c r="G376" i="40"/>
  <c r="N376" i="40"/>
  <c r="H376" i="40"/>
  <c r="K376" i="40"/>
  <c r="M498" i="40"/>
  <c r="K498" i="40"/>
  <c r="H498" i="40"/>
  <c r="N498" i="40"/>
  <c r="N484" i="40"/>
  <c r="K484" i="40"/>
  <c r="H484" i="40"/>
  <c r="N508" i="40"/>
  <c r="K508" i="40"/>
  <c r="H508" i="40"/>
  <c r="N524" i="40"/>
  <c r="K524" i="40"/>
  <c r="H524" i="40"/>
  <c r="N52" i="40"/>
  <c r="H52" i="40"/>
  <c r="K52" i="40"/>
  <c r="N109" i="40"/>
  <c r="H109" i="40"/>
  <c r="K109" i="40"/>
  <c r="J198" i="40"/>
  <c r="O198" i="40"/>
  <c r="O72" i="40"/>
  <c r="J155" i="40"/>
  <c r="N155" i="40"/>
  <c r="H155" i="40"/>
  <c r="K155" i="40"/>
  <c r="J129" i="40"/>
  <c r="K129" i="40"/>
  <c r="H129" i="40"/>
  <c r="P505" i="40"/>
  <c r="N505" i="40"/>
  <c r="H505" i="40"/>
  <c r="K505" i="40"/>
  <c r="N348" i="40"/>
  <c r="K348" i="40"/>
  <c r="H348" i="40"/>
  <c r="M308" i="40"/>
  <c r="N308" i="40"/>
  <c r="K308" i="40"/>
  <c r="H308" i="40"/>
  <c r="I384" i="40"/>
  <c r="H384" i="40"/>
  <c r="K384" i="40"/>
  <c r="N384" i="40"/>
  <c r="J531" i="40"/>
  <c r="K531" i="40"/>
  <c r="H531" i="40"/>
  <c r="N531" i="40"/>
  <c r="L458" i="40"/>
  <c r="K458" i="40"/>
  <c r="N458" i="40"/>
  <c r="H458" i="40"/>
  <c r="M470" i="40"/>
  <c r="L144" i="40"/>
  <c r="H416" i="40"/>
  <c r="K416" i="40"/>
  <c r="N416" i="40"/>
  <c r="I148" i="40"/>
  <c r="K148" i="40"/>
  <c r="O302" i="40"/>
  <c r="N381" i="40"/>
  <c r="K381" i="40"/>
  <c r="H381" i="40"/>
  <c r="G496" i="40"/>
  <c r="H496" i="40"/>
  <c r="N496" i="40"/>
  <c r="K496" i="40"/>
  <c r="J507" i="40"/>
  <c r="K507" i="40"/>
  <c r="H507" i="40"/>
  <c r="N507" i="40"/>
  <c r="M432" i="40"/>
  <c r="H432" i="40"/>
  <c r="K432" i="40"/>
  <c r="N432" i="40"/>
  <c r="K277" i="40"/>
  <c r="N369" i="40"/>
  <c r="H369" i="40"/>
  <c r="K369" i="40"/>
  <c r="G154" i="40"/>
  <c r="N154" i="40"/>
  <c r="H154" i="40"/>
  <c r="K154" i="40"/>
  <c r="P156" i="40"/>
  <c r="N156" i="40"/>
  <c r="K156" i="40"/>
  <c r="H156" i="40"/>
  <c r="K338" i="40"/>
  <c r="H338" i="40"/>
  <c r="N338" i="40"/>
  <c r="K407" i="40"/>
  <c r="N407" i="40"/>
  <c r="H407" i="40"/>
  <c r="K168" i="40"/>
  <c r="H168" i="40"/>
  <c r="N168" i="40"/>
  <c r="N276" i="40"/>
  <c r="K276" i="40"/>
  <c r="H276" i="40"/>
  <c r="K466" i="40"/>
  <c r="H466" i="40"/>
  <c r="N466" i="40"/>
  <c r="L454" i="40"/>
  <c r="N454" i="40"/>
  <c r="K454" i="40"/>
  <c r="H454" i="40"/>
  <c r="J483" i="40"/>
  <c r="K483" i="40"/>
  <c r="H483" i="40"/>
  <c r="N483" i="40"/>
  <c r="F481" i="40"/>
  <c r="N481" i="40"/>
  <c r="H481" i="40"/>
  <c r="K481" i="40"/>
  <c r="N174" i="40"/>
  <c r="H174" i="40"/>
  <c r="K174" i="40"/>
  <c r="K160" i="40"/>
  <c r="N160" i="40"/>
  <c r="H160" i="40"/>
  <c r="F198" i="40"/>
  <c r="O83" i="40"/>
  <c r="L63" i="40"/>
  <c r="L292" i="40"/>
  <c r="I99" i="40"/>
  <c r="K184" i="40"/>
  <c r="N184" i="40"/>
  <c r="H184" i="40"/>
  <c r="M212" i="40"/>
  <c r="N212" i="40"/>
  <c r="K212" i="40"/>
  <c r="H212" i="40"/>
  <c r="G470" i="40"/>
  <c r="H345" i="40"/>
  <c r="K345" i="40"/>
  <c r="J397" i="40"/>
  <c r="N397" i="40"/>
  <c r="K397" i="40"/>
  <c r="H397" i="40"/>
  <c r="P534" i="40"/>
  <c r="N534" i="40"/>
  <c r="K534" i="40"/>
  <c r="H534" i="40"/>
  <c r="I439" i="40"/>
  <c r="K439" i="40"/>
  <c r="N439" i="40"/>
  <c r="H439" i="40"/>
  <c r="J131" i="40"/>
  <c r="H131" i="40"/>
  <c r="N131" i="40"/>
  <c r="K131" i="40"/>
  <c r="J433" i="40"/>
  <c r="N433" i="40"/>
  <c r="H433" i="40"/>
  <c r="K433" i="40"/>
  <c r="G405" i="40"/>
  <c r="N405" i="40"/>
  <c r="H405" i="40"/>
  <c r="K405" i="40"/>
  <c r="O396" i="40"/>
  <c r="N396" i="40"/>
  <c r="K396" i="40"/>
  <c r="H396" i="40"/>
  <c r="F513" i="40"/>
  <c r="N513" i="40"/>
  <c r="K513" i="40"/>
  <c r="H513" i="40"/>
  <c r="L362" i="40"/>
  <c r="I478" i="40"/>
  <c r="N478" i="40"/>
  <c r="K478" i="40"/>
  <c r="H478" i="40"/>
  <c r="G520" i="40"/>
  <c r="N520" i="40"/>
  <c r="H520" i="40"/>
  <c r="K520" i="40"/>
  <c r="F497" i="40"/>
  <c r="N497" i="40"/>
  <c r="H497" i="40"/>
  <c r="K497" i="40"/>
  <c r="M514" i="40"/>
  <c r="K514" i="40"/>
  <c r="H514" i="40"/>
  <c r="N514" i="40"/>
  <c r="F521" i="40"/>
  <c r="N521" i="40"/>
  <c r="H521" i="40"/>
  <c r="K521" i="40"/>
  <c r="O260" i="40"/>
  <c r="F529" i="40"/>
  <c r="N529" i="40"/>
  <c r="K529" i="40"/>
  <c r="H529" i="40"/>
  <c r="F364" i="40"/>
  <c r="K364" i="40"/>
  <c r="N157" i="40"/>
  <c r="H157" i="40"/>
  <c r="K157" i="40"/>
  <c r="N272" i="40"/>
  <c r="J336" i="40"/>
  <c r="K336" i="40"/>
  <c r="N336" i="40"/>
  <c r="H336" i="40"/>
  <c r="G488" i="40"/>
  <c r="K488" i="40"/>
  <c r="N488" i="40"/>
  <c r="H488" i="40"/>
  <c r="I274" i="40"/>
  <c r="K435" i="40"/>
  <c r="H435" i="40"/>
  <c r="N435" i="40"/>
  <c r="N374" i="40"/>
  <c r="K374" i="40"/>
  <c r="H374" i="40"/>
  <c r="K410" i="40"/>
  <c r="N410" i="40"/>
  <c r="H410" i="40"/>
  <c r="F498" i="40"/>
  <c r="N60" i="40"/>
  <c r="H60" i="40"/>
  <c r="K60" i="40"/>
  <c r="K335" i="40"/>
  <c r="H335" i="40"/>
  <c r="N335" i="40"/>
  <c r="K375" i="40"/>
  <c r="N375" i="40"/>
  <c r="H375" i="40"/>
  <c r="J488" i="40"/>
  <c r="O498" i="40"/>
  <c r="J466" i="40"/>
  <c r="N452" i="40"/>
  <c r="K452" i="40"/>
  <c r="H452" i="40"/>
  <c r="N476" i="40"/>
  <c r="K476" i="40"/>
  <c r="H476" i="40"/>
  <c r="M483" i="40"/>
  <c r="K123" i="40"/>
  <c r="K176" i="40"/>
  <c r="N176" i="40"/>
  <c r="H176" i="40"/>
  <c r="P198" i="40"/>
  <c r="N182" i="40"/>
  <c r="K182" i="40"/>
  <c r="H182" i="40"/>
  <c r="O278" i="40"/>
  <c r="N278" i="40"/>
  <c r="H278" i="40"/>
  <c r="K278" i="40"/>
  <c r="P194" i="40"/>
  <c r="N194" i="40"/>
  <c r="K194" i="40"/>
  <c r="H194" i="40"/>
  <c r="N201" i="40"/>
  <c r="K201" i="40"/>
  <c r="H201" i="40"/>
  <c r="O424" i="40"/>
  <c r="N424" i="40"/>
  <c r="H424" i="40"/>
  <c r="K424" i="40"/>
  <c r="F436" i="40"/>
  <c r="N436" i="40"/>
  <c r="K436" i="40"/>
  <c r="H436" i="40"/>
  <c r="L481" i="40"/>
  <c r="F392" i="40"/>
  <c r="N392" i="40"/>
  <c r="H392" i="40"/>
  <c r="K392" i="40"/>
  <c r="J191" i="40"/>
  <c r="N191" i="40"/>
  <c r="K191" i="40"/>
  <c r="H191" i="40"/>
  <c r="N472" i="40"/>
  <c r="H472" i="40"/>
  <c r="K472" i="40"/>
  <c r="G512" i="40"/>
  <c r="H512" i="40"/>
  <c r="N512" i="40"/>
  <c r="K512" i="40"/>
  <c r="P441" i="40"/>
  <c r="N441" i="40"/>
  <c r="H441" i="40"/>
  <c r="K441" i="40"/>
  <c r="I510" i="40"/>
  <c r="N510" i="40"/>
  <c r="K510" i="40"/>
  <c r="H510" i="40"/>
  <c r="F404" i="40"/>
  <c r="N404" i="40"/>
  <c r="K404" i="40"/>
  <c r="H404" i="40"/>
  <c r="M530" i="40"/>
  <c r="K530" i="40"/>
  <c r="H530" i="40"/>
  <c r="N530" i="40"/>
  <c r="I462" i="40"/>
  <c r="N462" i="40"/>
  <c r="K462" i="40"/>
  <c r="H462" i="40"/>
  <c r="G528" i="40"/>
  <c r="Q528" i="40" s="1"/>
  <c r="S528" i="40" s="1"/>
  <c r="K528" i="40"/>
  <c r="H528" i="40"/>
  <c r="N528" i="40"/>
  <c r="F465" i="40"/>
  <c r="N465" i="40"/>
  <c r="H465" i="40"/>
  <c r="K465" i="40"/>
  <c r="N535" i="40"/>
  <c r="H535" i="40"/>
  <c r="K535" i="40"/>
  <c r="H342" i="40"/>
  <c r="K342" i="40"/>
  <c r="K61" i="40"/>
  <c r="N140" i="40"/>
  <c r="H140" i="40"/>
  <c r="K140" i="40"/>
  <c r="N192" i="40"/>
  <c r="K192" i="40"/>
  <c r="H192" i="40"/>
  <c r="J380" i="40"/>
  <c r="N380" i="40"/>
  <c r="K380" i="40"/>
  <c r="H380" i="40"/>
  <c r="I299" i="40"/>
  <c r="L209" i="40"/>
  <c r="N209" i="40"/>
  <c r="K209" i="40"/>
  <c r="H209" i="40"/>
  <c r="K527" i="40"/>
  <c r="H527" i="40"/>
  <c r="N527" i="40"/>
  <c r="P86" i="40"/>
  <c r="H171" i="40"/>
  <c r="K171" i="40"/>
  <c r="N171" i="40"/>
  <c r="L87" i="40"/>
  <c r="N388" i="40"/>
  <c r="K388" i="40"/>
  <c r="H388" i="40"/>
  <c r="K395" i="40"/>
  <c r="N395" i="40"/>
  <c r="H395" i="40"/>
  <c r="L70" i="40"/>
  <c r="G536" i="40"/>
  <c r="N536" i="40"/>
  <c r="H536" i="40"/>
  <c r="K536" i="40"/>
  <c r="I494" i="40"/>
  <c r="N494" i="40"/>
  <c r="K494" i="40"/>
  <c r="H494" i="40"/>
  <c r="F457" i="40"/>
  <c r="N457" i="40"/>
  <c r="H457" i="40"/>
  <c r="K457" i="40"/>
  <c r="G481" i="40"/>
  <c r="P466" i="40"/>
  <c r="K427" i="40"/>
  <c r="N427" i="40"/>
  <c r="H427" i="40"/>
  <c r="K267" i="40"/>
  <c r="H267" i="40"/>
  <c r="N267" i="40"/>
  <c r="P488" i="40"/>
  <c r="F395" i="40"/>
  <c r="G498" i="40"/>
  <c r="J498" i="40"/>
  <c r="J457" i="40"/>
  <c r="G527" i="40"/>
  <c r="F483" i="40"/>
  <c r="N382" i="40"/>
  <c r="K382" i="40"/>
  <c r="H382" i="40"/>
  <c r="K423" i="40"/>
  <c r="N423" i="40"/>
  <c r="H423" i="40"/>
  <c r="G457" i="40"/>
  <c r="O475" i="40"/>
  <c r="P457" i="40"/>
  <c r="F475" i="40"/>
  <c r="K403" i="40"/>
  <c r="H403" i="40"/>
  <c r="N403" i="40"/>
  <c r="I457" i="40"/>
  <c r="N422" i="40"/>
  <c r="K422" i="40"/>
  <c r="H422" i="40"/>
  <c r="I475" i="40"/>
  <c r="N440" i="40"/>
  <c r="H440" i="40"/>
  <c r="K440" i="40"/>
  <c r="N516" i="40"/>
  <c r="K516" i="40"/>
  <c r="H516" i="40"/>
  <c r="P483" i="40"/>
  <c r="N62" i="40"/>
  <c r="H62" i="40"/>
  <c r="K62" i="40"/>
  <c r="N120" i="40"/>
  <c r="K120" i="40"/>
  <c r="H120" i="40"/>
  <c r="N158" i="40"/>
  <c r="H158" i="40"/>
  <c r="K158" i="40"/>
  <c r="P209" i="40"/>
  <c r="N166" i="40"/>
  <c r="K166" i="40"/>
  <c r="H166" i="40"/>
  <c r="L42" i="40"/>
  <c r="N42" i="40"/>
  <c r="K42" i="40"/>
  <c r="H42" i="40"/>
  <c r="F189" i="40"/>
  <c r="H189" i="40"/>
  <c r="N189" i="40"/>
  <c r="K189" i="40"/>
  <c r="J153" i="40"/>
  <c r="N153" i="40"/>
  <c r="K153" i="40"/>
  <c r="H153" i="40"/>
  <c r="I138" i="40"/>
  <c r="L106" i="40"/>
  <c r="I301" i="40"/>
  <c r="I474" i="40"/>
  <c r="K474" i="40"/>
  <c r="N474" i="40"/>
  <c r="H474" i="40"/>
  <c r="M488" i="40"/>
  <c r="G438" i="40"/>
  <c r="N438" i="40"/>
  <c r="K438" i="40"/>
  <c r="H438" i="40"/>
  <c r="L365" i="40"/>
  <c r="I430" i="40"/>
  <c r="N430" i="40"/>
  <c r="K430" i="40"/>
  <c r="H430" i="40"/>
  <c r="N409" i="40"/>
  <c r="H409" i="40"/>
  <c r="K409" i="40"/>
  <c r="I445" i="40"/>
  <c r="N445" i="40"/>
  <c r="K445" i="40"/>
  <c r="H445" i="40"/>
  <c r="J499" i="40"/>
  <c r="K499" i="40"/>
  <c r="H499" i="40"/>
  <c r="N499" i="40"/>
  <c r="F352" i="40"/>
  <c r="J389" i="40"/>
  <c r="N389" i="40"/>
  <c r="K389" i="40"/>
  <c r="H389" i="40"/>
  <c r="O379" i="40"/>
  <c r="K379" i="40"/>
  <c r="H379" i="40"/>
  <c r="N379" i="40"/>
  <c r="P146" i="40"/>
  <c r="G307" i="40"/>
  <c r="K307" i="40"/>
  <c r="H307" i="40"/>
  <c r="N307" i="40"/>
  <c r="K178" i="40"/>
  <c r="N178" i="40"/>
  <c r="H178" i="40"/>
  <c r="F197" i="40"/>
  <c r="N197" i="40"/>
  <c r="K197" i="40"/>
  <c r="H197" i="40"/>
  <c r="F41" i="40"/>
  <c r="N41" i="40"/>
  <c r="K41" i="40"/>
  <c r="H41" i="40"/>
  <c r="I518" i="40"/>
  <c r="N518" i="40"/>
  <c r="K518" i="40"/>
  <c r="H518" i="40"/>
  <c r="F473" i="40"/>
  <c r="N473" i="40"/>
  <c r="H473" i="40"/>
  <c r="K473" i="40"/>
  <c r="N326" i="40"/>
  <c r="H326" i="40"/>
  <c r="K326" i="40"/>
  <c r="N420" i="40"/>
  <c r="K420" i="40"/>
  <c r="H420" i="40"/>
  <c r="N111" i="40"/>
  <c r="K111" i="40"/>
  <c r="H111" i="40"/>
  <c r="F350" i="40"/>
  <c r="K491" i="40"/>
  <c r="N491" i="40"/>
  <c r="H491" i="40"/>
  <c r="G480" i="40"/>
  <c r="H480" i="40"/>
  <c r="N480" i="40"/>
  <c r="K480" i="40"/>
  <c r="K327" i="40"/>
  <c r="N327" i="40"/>
  <c r="H327" i="40"/>
  <c r="I86" i="40"/>
  <c r="K127" i="40"/>
  <c r="H127" i="40"/>
  <c r="K482" i="40"/>
  <c r="H482" i="40"/>
  <c r="N482" i="40"/>
  <c r="N198" i="40"/>
  <c r="K198" i="40"/>
  <c r="H198" i="40"/>
  <c r="F274" i="40"/>
  <c r="G327" i="40"/>
  <c r="K399" i="40"/>
  <c r="H399" i="40"/>
  <c r="N399" i="40"/>
  <c r="O488" i="40"/>
  <c r="L273" i="40"/>
  <c r="O481" i="40"/>
  <c r="O274" i="40"/>
  <c r="I311" i="40"/>
  <c r="N390" i="40"/>
  <c r="K390" i="40"/>
  <c r="H390" i="40"/>
  <c r="K346" i="40"/>
  <c r="N346" i="40"/>
  <c r="H346" i="40"/>
  <c r="K391" i="40"/>
  <c r="N391" i="40"/>
  <c r="H391" i="40"/>
  <c r="N385" i="40"/>
  <c r="H385" i="40"/>
  <c r="K385" i="40"/>
  <c r="O457" i="40"/>
  <c r="N425" i="40"/>
  <c r="H425" i="40"/>
  <c r="K425" i="40"/>
  <c r="N393" i="40"/>
  <c r="H393" i="40"/>
  <c r="K393" i="40"/>
  <c r="K443" i="40"/>
  <c r="H443" i="40"/>
  <c r="N443" i="40"/>
  <c r="M457" i="40"/>
  <c r="L466" i="40"/>
  <c r="M481" i="40"/>
  <c r="L483" i="40"/>
  <c r="N492" i="40"/>
  <c r="K492" i="40"/>
  <c r="H492" i="40"/>
  <c r="N532" i="40"/>
  <c r="K532" i="40"/>
  <c r="H532" i="40"/>
  <c r="I70" i="40"/>
  <c r="K98" i="40"/>
  <c r="N98" i="40"/>
  <c r="H98" i="40"/>
  <c r="H187" i="40"/>
  <c r="N187" i="40"/>
  <c r="K187" i="40"/>
  <c r="H142" i="40"/>
  <c r="N142" i="40"/>
  <c r="K142" i="40"/>
  <c r="N195" i="40"/>
  <c r="K195" i="40"/>
  <c r="H195" i="40"/>
  <c r="K208" i="40"/>
  <c r="H208" i="40"/>
  <c r="N208" i="40"/>
  <c r="M198" i="40"/>
  <c r="I157" i="40"/>
  <c r="L198" i="40"/>
  <c r="O130" i="40"/>
  <c r="K130" i="40"/>
  <c r="N130" i="40"/>
  <c r="H130" i="40"/>
  <c r="O39" i="40"/>
  <c r="J210" i="40"/>
  <c r="N210" i="40"/>
  <c r="K210" i="40"/>
  <c r="H210" i="40"/>
  <c r="O266" i="40"/>
  <c r="L490" i="40"/>
  <c r="K490" i="40"/>
  <c r="N490" i="40"/>
  <c r="H490" i="40"/>
  <c r="K207" i="40"/>
  <c r="N207" i="40"/>
  <c r="H207" i="40"/>
  <c r="I339" i="40"/>
  <c r="K339" i="40"/>
  <c r="K411" i="40"/>
  <c r="H411" i="40"/>
  <c r="N411" i="40"/>
  <c r="F506" i="40"/>
  <c r="K506" i="40"/>
  <c r="N506" i="40"/>
  <c r="H506" i="40"/>
  <c r="I450" i="40"/>
  <c r="K450" i="40"/>
  <c r="H450" i="40"/>
  <c r="N450" i="40"/>
  <c r="I188" i="40"/>
  <c r="N188" i="40"/>
  <c r="K188" i="40"/>
  <c r="H188" i="40"/>
  <c r="I523" i="40"/>
  <c r="K523" i="40"/>
  <c r="N523" i="40"/>
  <c r="H523" i="40"/>
  <c r="K343" i="40"/>
  <c r="H343" i="40"/>
  <c r="L457" i="40"/>
  <c r="L459" i="40"/>
  <c r="K459" i="40"/>
  <c r="N459" i="40"/>
  <c r="H459" i="40"/>
  <c r="M522" i="40"/>
  <c r="K522" i="40"/>
  <c r="N522" i="40"/>
  <c r="H522" i="40"/>
  <c r="L134" i="40"/>
  <c r="K442" i="40"/>
  <c r="N442" i="40"/>
  <c r="H442" i="40"/>
  <c r="N468" i="40"/>
  <c r="K468" i="40"/>
  <c r="H468" i="40"/>
  <c r="N141" i="40"/>
  <c r="H141" i="40"/>
  <c r="K141" i="40"/>
  <c r="N203" i="40"/>
  <c r="H203" i="40"/>
  <c r="K203" i="40"/>
  <c r="N164" i="40"/>
  <c r="K164" i="40"/>
  <c r="H164" i="40"/>
  <c r="I281" i="40"/>
  <c r="L289" i="40"/>
  <c r="I470" i="40"/>
  <c r="N470" i="40"/>
  <c r="K470" i="40"/>
  <c r="H470" i="40"/>
  <c r="N328" i="40"/>
  <c r="K328" i="40"/>
  <c r="H328" i="40"/>
  <c r="J434" i="40"/>
  <c r="J527" i="40"/>
  <c r="P480" i="40"/>
  <c r="N460" i="40"/>
  <c r="K460" i="40"/>
  <c r="H460" i="40"/>
  <c r="P470" i="40"/>
  <c r="N206" i="40"/>
  <c r="H206" i="40"/>
  <c r="K206" i="40"/>
  <c r="N177" i="40"/>
  <c r="K177" i="40"/>
  <c r="H177" i="40"/>
  <c r="J429" i="40"/>
  <c r="N429" i="40"/>
  <c r="K429" i="40"/>
  <c r="H429" i="40"/>
  <c r="I394" i="40"/>
  <c r="K394" i="40"/>
  <c r="N394" i="40"/>
  <c r="H394" i="40"/>
  <c r="N437" i="40"/>
  <c r="H437" i="40"/>
  <c r="K437" i="40"/>
  <c r="G466" i="40"/>
  <c r="N414" i="40"/>
  <c r="K414" i="40"/>
  <c r="H414" i="40"/>
  <c r="J480" i="40"/>
  <c r="G276" i="40"/>
  <c r="N398" i="40"/>
  <c r="K398" i="40"/>
  <c r="H398" i="40"/>
  <c r="K383" i="40"/>
  <c r="H383" i="40"/>
  <c r="N383" i="40"/>
  <c r="K415" i="40"/>
  <c r="H415" i="40"/>
  <c r="N415" i="40"/>
  <c r="P481" i="40"/>
  <c r="G475" i="40"/>
  <c r="K378" i="40"/>
  <c r="N378" i="40"/>
  <c r="H378" i="40"/>
  <c r="J536" i="40"/>
  <c r="N500" i="40"/>
  <c r="K500" i="40"/>
  <c r="H500" i="40"/>
  <c r="H190" i="40"/>
  <c r="N190" i="40"/>
  <c r="K190" i="40"/>
  <c r="N132" i="40"/>
  <c r="H132" i="40"/>
  <c r="K132" i="40"/>
  <c r="G209" i="40"/>
  <c r="N161" i="40"/>
  <c r="K161" i="40"/>
  <c r="H161" i="40"/>
  <c r="N193" i="40"/>
  <c r="K193" i="40"/>
  <c r="H193" i="40"/>
  <c r="L151" i="40"/>
  <c r="N92" i="40"/>
  <c r="H92" i="40"/>
  <c r="K92" i="40"/>
  <c r="M169" i="40"/>
  <c r="N169" i="40"/>
  <c r="K169" i="40"/>
  <c r="H169" i="40"/>
  <c r="I377" i="40"/>
  <c r="N377" i="40"/>
  <c r="H377" i="40"/>
  <c r="K377" i="40"/>
  <c r="N337" i="40"/>
  <c r="H337" i="40"/>
  <c r="K337" i="40"/>
  <c r="P371" i="40"/>
  <c r="K371" i="40"/>
  <c r="H371" i="40"/>
  <c r="N371" i="40"/>
  <c r="O359" i="40"/>
  <c r="M412" i="40"/>
  <c r="N412" i="40"/>
  <c r="K412" i="40"/>
  <c r="H412" i="40"/>
  <c r="M386" i="40"/>
  <c r="K386" i="40"/>
  <c r="H386" i="40"/>
  <c r="N386" i="40"/>
  <c r="P408" i="40"/>
  <c r="N408" i="40"/>
  <c r="H408" i="40"/>
  <c r="K408" i="40"/>
  <c r="P451" i="40"/>
  <c r="K451" i="40"/>
  <c r="H451" i="40"/>
  <c r="N451" i="40"/>
  <c r="O323" i="40"/>
  <c r="H126" i="40"/>
  <c r="K126" i="40"/>
  <c r="K347" i="40"/>
  <c r="H347" i="40"/>
  <c r="N347" i="40"/>
  <c r="N444" i="40"/>
  <c r="K444" i="40"/>
  <c r="H444" i="40"/>
  <c r="M489" i="40"/>
  <c r="N489" i="40"/>
  <c r="K489" i="40"/>
  <c r="H489" i="40"/>
  <c r="O470" i="40"/>
  <c r="F417" i="40"/>
  <c r="N417" i="40"/>
  <c r="H417" i="40"/>
  <c r="K417" i="40"/>
  <c r="L467" i="40"/>
  <c r="K467" i="40"/>
  <c r="H467" i="40"/>
  <c r="N467" i="40"/>
  <c r="G464" i="40"/>
  <c r="H464" i="40"/>
  <c r="K464" i="40"/>
  <c r="N464" i="40"/>
  <c r="J515" i="40"/>
  <c r="K515" i="40"/>
  <c r="H515" i="40"/>
  <c r="N515" i="40"/>
  <c r="F428" i="40"/>
  <c r="N428" i="40"/>
  <c r="K428" i="40"/>
  <c r="H428" i="40"/>
  <c r="O409" i="40"/>
  <c r="F490" i="40"/>
  <c r="P473" i="40"/>
  <c r="M416" i="40"/>
  <c r="F499" i="40"/>
  <c r="G490" i="40"/>
  <c r="J197" i="40"/>
  <c r="L266" i="40"/>
  <c r="I197" i="40"/>
  <c r="O490" i="40"/>
  <c r="I266" i="40"/>
  <c r="P490" i="40"/>
  <c r="J490" i="40"/>
  <c r="G445" i="40"/>
  <c r="I499" i="40"/>
  <c r="L41" i="40"/>
  <c r="F309" i="40"/>
  <c r="I351" i="40"/>
  <c r="M442" i="40"/>
  <c r="O442" i="40"/>
  <c r="J41" i="40"/>
  <c r="O351" i="40"/>
  <c r="I131" i="40"/>
  <c r="I334" i="40"/>
  <c r="F522" i="40"/>
  <c r="G451" i="40"/>
  <c r="G41" i="40"/>
  <c r="F104" i="40"/>
  <c r="F131" i="40"/>
  <c r="M417" i="40"/>
  <c r="F86" i="40"/>
  <c r="M178" i="40"/>
  <c r="P459" i="40"/>
  <c r="O134" i="40"/>
  <c r="I336" i="40"/>
  <c r="J178" i="40"/>
  <c r="I309" i="40"/>
  <c r="O334" i="40"/>
  <c r="I473" i="40"/>
  <c r="J442" i="40"/>
  <c r="L104" i="40"/>
  <c r="P197" i="40"/>
  <c r="P428" i="40"/>
  <c r="G417" i="40"/>
  <c r="G442" i="40"/>
  <c r="J522" i="40"/>
  <c r="M41" i="40"/>
  <c r="J518" i="40"/>
  <c r="G459" i="40"/>
  <c r="I522" i="40"/>
  <c r="L522" i="40"/>
  <c r="J489" i="40"/>
  <c r="M464" i="40"/>
  <c r="O417" i="40"/>
  <c r="O86" i="40"/>
  <c r="P442" i="40"/>
  <c r="L334" i="40"/>
  <c r="M459" i="40"/>
  <c r="F459" i="40"/>
  <c r="M473" i="40"/>
  <c r="F351" i="40"/>
  <c r="O41" i="40"/>
  <c r="I319" i="40"/>
  <c r="F379" i="40"/>
  <c r="I442" i="40"/>
  <c r="P522" i="40"/>
  <c r="F442" i="40"/>
  <c r="G522" i="40"/>
  <c r="O459" i="40"/>
  <c r="P518" i="40"/>
  <c r="P41" i="40"/>
  <c r="I191" i="40"/>
  <c r="F315" i="40"/>
  <c r="L442" i="40"/>
  <c r="L86" i="40"/>
  <c r="L281" i="40"/>
  <c r="G473" i="40"/>
  <c r="J473" i="40"/>
  <c r="P178" i="40"/>
  <c r="O97" i="40"/>
  <c r="O518" i="40"/>
  <c r="O197" i="40"/>
  <c r="M197" i="40"/>
  <c r="F178" i="40"/>
  <c r="L197" i="40"/>
  <c r="L518" i="40"/>
  <c r="L178" i="40"/>
  <c r="G197" i="40"/>
  <c r="L473" i="40"/>
  <c r="F466" i="40"/>
  <c r="I178" i="40"/>
  <c r="F518" i="40"/>
  <c r="M518" i="40"/>
  <c r="I381" i="40"/>
  <c r="L341" i="40"/>
  <c r="O466" i="40"/>
  <c r="I466" i="40"/>
  <c r="L336" i="40"/>
  <c r="O473" i="40"/>
  <c r="I41" i="40"/>
  <c r="O178" i="40"/>
  <c r="G518" i="40"/>
  <c r="L351" i="40"/>
  <c r="O381" i="40"/>
  <c r="D18" i="40"/>
  <c r="N235" i="40"/>
  <c r="B235" i="40"/>
  <c r="A214" i="40"/>
  <c r="G214" i="40"/>
  <c r="I18" i="40"/>
  <c r="L441" i="40"/>
  <c r="L131" i="40"/>
  <c r="L191" i="40"/>
  <c r="P131" i="40"/>
  <c r="P191" i="40"/>
  <c r="I417" i="40"/>
  <c r="P201" i="40"/>
  <c r="M327" i="40"/>
  <c r="P475" i="40"/>
  <c r="F480" i="40"/>
  <c r="F36" i="40"/>
  <c r="L146" i="40"/>
  <c r="O209" i="40"/>
  <c r="M157" i="40"/>
  <c r="M480" i="40"/>
  <c r="F527" i="40"/>
  <c r="L527" i="40"/>
  <c r="O434" i="40"/>
  <c r="L480" i="40"/>
  <c r="F209" i="40"/>
  <c r="P157" i="40"/>
  <c r="F156" i="40"/>
  <c r="J209" i="40"/>
  <c r="J157" i="40"/>
  <c r="L434" i="40"/>
  <c r="G434" i="40"/>
  <c r="G157" i="40"/>
  <c r="F273" i="40"/>
  <c r="J327" i="40"/>
  <c r="P527" i="40"/>
  <c r="J475" i="40"/>
  <c r="O36" i="40"/>
  <c r="F201" i="40"/>
  <c r="G201" i="40"/>
  <c r="O157" i="40"/>
  <c r="L36" i="40"/>
  <c r="L424" i="40"/>
  <c r="I434" i="40"/>
  <c r="I327" i="40"/>
  <c r="I362" i="40"/>
  <c r="O527" i="40"/>
  <c r="O273" i="40"/>
  <c r="F434" i="40"/>
  <c r="M475" i="40"/>
  <c r="I209" i="40"/>
  <c r="J169" i="40"/>
  <c r="L157" i="40"/>
  <c r="F157" i="40"/>
  <c r="F327" i="40"/>
  <c r="O362" i="40"/>
  <c r="O478" i="40"/>
  <c r="I273" i="40"/>
  <c r="P327" i="40"/>
  <c r="I480" i="40"/>
  <c r="I531" i="40"/>
  <c r="J194" i="40"/>
  <c r="M209" i="40"/>
  <c r="M527" i="40"/>
  <c r="L327" i="40"/>
  <c r="O327" i="40"/>
  <c r="P434" i="40"/>
  <c r="O207" i="40"/>
  <c r="G188" i="40"/>
  <c r="P396" i="40"/>
  <c r="G404" i="40"/>
  <c r="J459" i="40"/>
  <c r="G178" i="40"/>
  <c r="J506" i="40"/>
  <c r="L426" i="40"/>
  <c r="I307" i="40"/>
  <c r="F451" i="40"/>
  <c r="P148" i="40"/>
  <c r="G308" i="40"/>
  <c r="O301" i="40"/>
  <c r="O299" i="40"/>
  <c r="O308" i="40"/>
  <c r="O376" i="40"/>
  <c r="L411" i="40"/>
  <c r="P489" i="40"/>
  <c r="L506" i="40"/>
  <c r="L148" i="40"/>
  <c r="L339" i="40"/>
  <c r="I308" i="40"/>
  <c r="J339" i="40"/>
  <c r="P308" i="40"/>
  <c r="O352" i="40"/>
  <c r="P506" i="40"/>
  <c r="O451" i="40"/>
  <c r="L299" i="40"/>
  <c r="L376" i="40"/>
  <c r="M411" i="40"/>
  <c r="F299" i="40"/>
  <c r="F308" i="40"/>
  <c r="F376" i="40"/>
  <c r="G444" i="40"/>
  <c r="I411" i="40"/>
  <c r="I444" i="40"/>
  <c r="J424" i="40"/>
  <c r="J148" i="40"/>
  <c r="F444" i="40"/>
  <c r="F424" i="40"/>
  <c r="G506" i="40"/>
  <c r="I424" i="40"/>
  <c r="J408" i="40"/>
  <c r="L308" i="40"/>
  <c r="J376" i="40"/>
  <c r="P424" i="40"/>
  <c r="P444" i="40"/>
  <c r="F307" i="40"/>
  <c r="O426" i="40"/>
  <c r="P426" i="40"/>
  <c r="I451" i="40"/>
  <c r="O408" i="40"/>
  <c r="F118" i="40"/>
  <c r="F148" i="40"/>
  <c r="J364" i="40"/>
  <c r="O472" i="40"/>
  <c r="J472" i="40"/>
  <c r="I436" i="40"/>
  <c r="O144" i="40"/>
  <c r="I352" i="40"/>
  <c r="I364" i="40"/>
  <c r="M394" i="40"/>
  <c r="F394" i="40"/>
  <c r="M376" i="40"/>
  <c r="L384" i="40"/>
  <c r="M450" i="40"/>
  <c r="M451" i="40"/>
  <c r="G424" i="40"/>
  <c r="I426" i="40"/>
  <c r="M408" i="40"/>
  <c r="F512" i="40"/>
  <c r="G146" i="40"/>
  <c r="J156" i="40"/>
  <c r="O118" i="40"/>
  <c r="O156" i="40"/>
  <c r="P376" i="40"/>
  <c r="L311" i="40"/>
  <c r="O512" i="40"/>
  <c r="L389" i="40"/>
  <c r="L364" i="40"/>
  <c r="F367" i="40"/>
  <c r="I376" i="40"/>
  <c r="O384" i="40"/>
  <c r="I472" i="40"/>
  <c r="I512" i="40"/>
  <c r="J426" i="40"/>
  <c r="F472" i="40"/>
  <c r="P526" i="40"/>
  <c r="O146" i="40"/>
  <c r="I156" i="40"/>
  <c r="L156" i="40"/>
  <c r="L512" i="40"/>
  <c r="M389" i="40"/>
  <c r="L472" i="40"/>
  <c r="L412" i="40"/>
  <c r="F359" i="40"/>
  <c r="M436" i="40"/>
  <c r="L293" i="40"/>
  <c r="O367" i="40"/>
  <c r="F384" i="40"/>
  <c r="G489" i="40"/>
  <c r="O505" i="40"/>
  <c r="G426" i="40"/>
  <c r="I118" i="40"/>
  <c r="F114" i="40"/>
  <c r="F146" i="40"/>
  <c r="G156" i="40"/>
  <c r="M156" i="40"/>
  <c r="I144" i="40"/>
  <c r="O114" i="40"/>
  <c r="P472" i="40"/>
  <c r="I114" i="40"/>
  <c r="I146" i="40"/>
  <c r="P144" i="40"/>
  <c r="M472" i="40"/>
  <c r="P394" i="40"/>
  <c r="L436" i="40"/>
  <c r="O307" i="40"/>
  <c r="L352" i="40"/>
  <c r="L367" i="40"/>
  <c r="J436" i="40"/>
  <c r="O489" i="40"/>
  <c r="G450" i="40"/>
  <c r="I489" i="40"/>
  <c r="M424" i="40"/>
  <c r="F426" i="40"/>
  <c r="P512" i="40"/>
  <c r="I505" i="40"/>
  <c r="F144" i="40"/>
  <c r="L114" i="40"/>
  <c r="L118" i="40"/>
  <c r="M512" i="40"/>
  <c r="L130" i="40"/>
  <c r="Q204" i="40"/>
  <c r="S204" i="40" s="1"/>
  <c r="I153" i="40"/>
  <c r="G155" i="40"/>
  <c r="M381" i="40"/>
  <c r="J348" i="40"/>
  <c r="I371" i="40"/>
  <c r="J409" i="40"/>
  <c r="J395" i="40"/>
  <c r="J494" i="40"/>
  <c r="I201" i="40"/>
  <c r="M494" i="40"/>
  <c r="Q446" i="40"/>
  <c r="U446" i="40" s="1"/>
  <c r="J534" i="40"/>
  <c r="F409" i="40"/>
  <c r="P348" i="40"/>
  <c r="F371" i="40"/>
  <c r="L395" i="40"/>
  <c r="O439" i="40"/>
  <c r="L392" i="40"/>
  <c r="O499" i="40"/>
  <c r="L201" i="40"/>
  <c r="P499" i="40"/>
  <c r="J201" i="40"/>
  <c r="O281" i="40"/>
  <c r="F341" i="40"/>
  <c r="I337" i="40"/>
  <c r="P409" i="40"/>
  <c r="P395" i="40"/>
  <c r="O430" i="40"/>
  <c r="F439" i="40"/>
  <c r="J445" i="40"/>
  <c r="M499" i="40"/>
  <c r="O201" i="40"/>
  <c r="J212" i="40"/>
  <c r="F494" i="40"/>
  <c r="J439" i="40"/>
  <c r="M395" i="40"/>
  <c r="I438" i="40"/>
  <c r="M201" i="40"/>
  <c r="G395" i="40"/>
  <c r="J430" i="40"/>
  <c r="L499" i="40"/>
  <c r="F70" i="40"/>
  <c r="I115" i="40"/>
  <c r="Q431" i="40"/>
  <c r="R431" i="40" s="1"/>
  <c r="I130" i="40"/>
  <c r="L322" i="40"/>
  <c r="O450" i="40"/>
  <c r="I416" i="40"/>
  <c r="L450" i="40"/>
  <c r="Q172" i="40"/>
  <c r="S172" i="40" s="1"/>
  <c r="G207" i="40"/>
  <c r="P531" i="40"/>
  <c r="O251" i="40"/>
  <c r="I368" i="40"/>
  <c r="J416" i="40"/>
  <c r="F430" i="40"/>
  <c r="J444" i="40"/>
  <c r="F408" i="40"/>
  <c r="O444" i="40"/>
  <c r="O531" i="40"/>
  <c r="P72" i="40"/>
  <c r="I207" i="40"/>
  <c r="L207" i="40"/>
  <c r="P207" i="40"/>
  <c r="O394" i="40"/>
  <c r="J450" i="40"/>
  <c r="I408" i="40"/>
  <c r="F531" i="40"/>
  <c r="P450" i="40"/>
  <c r="M531" i="40"/>
  <c r="G531" i="40"/>
  <c r="I251" i="40"/>
  <c r="J337" i="40"/>
  <c r="G394" i="40"/>
  <c r="P377" i="40"/>
  <c r="L531" i="40"/>
  <c r="M207" i="40"/>
  <c r="G212" i="40"/>
  <c r="P307" i="40"/>
  <c r="L251" i="40"/>
  <c r="I365" i="40"/>
  <c r="F416" i="40"/>
  <c r="Q447" i="40"/>
  <c r="U447" i="40" s="1"/>
  <c r="G408" i="40"/>
  <c r="G416" i="40"/>
  <c r="L212" i="40"/>
  <c r="J307" i="40"/>
  <c r="F87" i="40"/>
  <c r="G129" i="40"/>
  <c r="P87" i="40"/>
  <c r="J388" i="40"/>
  <c r="I388" i="40"/>
  <c r="O99" i="40"/>
  <c r="O293" i="40"/>
  <c r="Q504" i="40"/>
  <c r="R504" i="40" s="1"/>
  <c r="I189" i="40"/>
  <c r="P169" i="40"/>
  <c r="Q257" i="40"/>
  <c r="T257" i="40" s="1"/>
  <c r="F72" i="40"/>
  <c r="O115" i="40"/>
  <c r="J130" i="40"/>
  <c r="L153" i="40"/>
  <c r="J394" i="40"/>
  <c r="L416" i="40"/>
  <c r="P416" i="40"/>
  <c r="I212" i="40"/>
  <c r="F155" i="40"/>
  <c r="I169" i="40"/>
  <c r="O416" i="40"/>
  <c r="L72" i="40"/>
  <c r="I155" i="40"/>
  <c r="F212" i="40"/>
  <c r="O153" i="40"/>
  <c r="M307" i="40"/>
  <c r="L138" i="40"/>
  <c r="L115" i="40"/>
  <c r="P212" i="40"/>
  <c r="G153" i="40"/>
  <c r="L307" i="40"/>
  <c r="F126" i="40"/>
  <c r="I126" i="40"/>
  <c r="J126" i="40"/>
  <c r="O126" i="40"/>
  <c r="G126" i="40"/>
  <c r="L126" i="40"/>
  <c r="O482" i="40"/>
  <c r="F482" i="40"/>
  <c r="J482" i="40"/>
  <c r="G482" i="40"/>
  <c r="P482" i="40"/>
  <c r="I482" i="40"/>
  <c r="L333" i="40"/>
  <c r="I333" i="40"/>
  <c r="F333" i="40"/>
  <c r="J386" i="40"/>
  <c r="P386" i="40"/>
  <c r="G386" i="40"/>
  <c r="O386" i="40"/>
  <c r="I386" i="40"/>
  <c r="F386" i="40"/>
  <c r="L482" i="40"/>
  <c r="O506" i="40"/>
  <c r="I506" i="40"/>
  <c r="F343" i="40"/>
  <c r="L343" i="40"/>
  <c r="J343" i="40"/>
  <c r="J454" i="40"/>
  <c r="M454" i="40"/>
  <c r="P454" i="40"/>
  <c r="J491" i="40"/>
  <c r="L491" i="40"/>
  <c r="M491" i="40"/>
  <c r="P491" i="40"/>
  <c r="I491" i="40"/>
  <c r="G491" i="40"/>
  <c r="F491" i="40"/>
  <c r="O491" i="40"/>
  <c r="O289" i="40"/>
  <c r="F289" i="40"/>
  <c r="I289" i="40"/>
  <c r="O333" i="40"/>
  <c r="J276" i="40"/>
  <c r="M276" i="40"/>
  <c r="P276" i="40"/>
  <c r="I276" i="40"/>
  <c r="F276" i="40"/>
  <c r="L350" i="40"/>
  <c r="I350" i="40"/>
  <c r="O350" i="40"/>
  <c r="I265" i="40"/>
  <c r="O265" i="40"/>
  <c r="F265" i="40"/>
  <c r="I321" i="40"/>
  <c r="I359" i="40"/>
  <c r="L359" i="40"/>
  <c r="I412" i="40"/>
  <c r="F412" i="40"/>
  <c r="J412" i="40"/>
  <c r="P412" i="40"/>
  <c r="G429" i="40"/>
  <c r="F429" i="40"/>
  <c r="L429" i="40"/>
  <c r="I429" i="40"/>
  <c r="P429" i="40"/>
  <c r="J523" i="40"/>
  <c r="F523" i="40"/>
  <c r="G523" i="40"/>
  <c r="O523" i="40"/>
  <c r="L523" i="40"/>
  <c r="P523" i="40"/>
  <c r="M523" i="40"/>
  <c r="I127" i="40"/>
  <c r="F154" i="40"/>
  <c r="I154" i="40"/>
  <c r="J154" i="40"/>
  <c r="L182" i="40"/>
  <c r="P182" i="40"/>
  <c r="G182" i="40"/>
  <c r="I182" i="40"/>
  <c r="J377" i="40"/>
  <c r="F278" i="40"/>
  <c r="I294" i="40"/>
  <c r="I293" i="40"/>
  <c r="L309" i="40"/>
  <c r="I380" i="40"/>
  <c r="J405" i="40"/>
  <c r="P379" i="40"/>
  <c r="G377" i="40"/>
  <c r="M384" i="40"/>
  <c r="F458" i="40"/>
  <c r="J392" i="40"/>
  <c r="P458" i="40"/>
  <c r="F438" i="40"/>
  <c r="P392" i="40"/>
  <c r="F536" i="40"/>
  <c r="P536" i="40"/>
  <c r="Q509" i="40"/>
  <c r="S509" i="40" s="1"/>
  <c r="M433" i="40"/>
  <c r="P42" i="40"/>
  <c r="L74" i="40"/>
  <c r="P104" i="40"/>
  <c r="L99" i="40"/>
  <c r="M131" i="40"/>
  <c r="Q181" i="40"/>
  <c r="R181" i="40" s="1"/>
  <c r="O131" i="40"/>
  <c r="O347" i="40"/>
  <c r="M536" i="40"/>
  <c r="P278" i="40"/>
  <c r="Q373" i="40"/>
  <c r="U373" i="40" s="1"/>
  <c r="G458" i="40"/>
  <c r="P70" i="40"/>
  <c r="I347" i="40"/>
  <c r="I367" i="40"/>
  <c r="M377" i="40"/>
  <c r="J458" i="40"/>
  <c r="Q314" i="40"/>
  <c r="T314" i="40" s="1"/>
  <c r="I313" i="40"/>
  <c r="Q372" i="40"/>
  <c r="U372" i="40" s="1"/>
  <c r="G379" i="40"/>
  <c r="O377" i="40"/>
  <c r="Q413" i="40"/>
  <c r="U413" i="40" s="1"/>
  <c r="Q421" i="40"/>
  <c r="S421" i="40" s="1"/>
  <c r="P474" i="40"/>
  <c r="G474" i="40"/>
  <c r="I536" i="40"/>
  <c r="J438" i="40"/>
  <c r="L433" i="40"/>
  <c r="J42" i="40"/>
  <c r="O67" i="40"/>
  <c r="O191" i="40"/>
  <c r="G131" i="40"/>
  <c r="M191" i="40"/>
  <c r="J347" i="40"/>
  <c r="M392" i="40"/>
  <c r="O458" i="40"/>
  <c r="I97" i="40"/>
  <c r="M405" i="40"/>
  <c r="L278" i="40"/>
  <c r="I302" i="40"/>
  <c r="O294" i="40"/>
  <c r="O309" i="40"/>
  <c r="P347" i="40"/>
  <c r="L379" i="40"/>
  <c r="L377" i="40"/>
  <c r="J379" i="40"/>
  <c r="F377" i="40"/>
  <c r="O474" i="40"/>
  <c r="G392" i="40"/>
  <c r="L474" i="40"/>
  <c r="M505" i="40"/>
  <c r="J505" i="40"/>
  <c r="I42" i="40"/>
  <c r="O74" i="40"/>
  <c r="F67" i="40"/>
  <c r="Q110" i="40"/>
  <c r="S110" i="40" s="1"/>
  <c r="O104" i="40"/>
  <c r="G191" i="40"/>
  <c r="F129" i="40"/>
  <c r="O189" i="40"/>
  <c r="O169" i="40"/>
  <c r="M336" i="40"/>
  <c r="F191" i="40"/>
  <c r="L536" i="40"/>
  <c r="L347" i="40"/>
  <c r="O494" i="40"/>
  <c r="M278" i="40"/>
  <c r="O392" i="40"/>
  <c r="O438" i="40"/>
  <c r="I392" i="40"/>
  <c r="P494" i="40"/>
  <c r="L294" i="40"/>
  <c r="F294" i="40"/>
  <c r="F293" i="40"/>
  <c r="F347" i="40"/>
  <c r="Q400" i="40"/>
  <c r="T400" i="40" s="1"/>
  <c r="M379" i="40"/>
  <c r="I379" i="40"/>
  <c r="F474" i="40"/>
  <c r="G505" i="40"/>
  <c r="Q51" i="40"/>
  <c r="R51" i="40" s="1"/>
  <c r="O42" i="40"/>
  <c r="F74" i="40"/>
  <c r="O129" i="40"/>
  <c r="P189" i="40"/>
  <c r="G494" i="40"/>
  <c r="L494" i="40"/>
  <c r="Q200" i="40"/>
  <c r="R200" i="40" s="1"/>
  <c r="Q356" i="40"/>
  <c r="S356" i="40" s="1"/>
  <c r="Q525" i="40"/>
  <c r="T525" i="40" s="1"/>
  <c r="Q205" i="40"/>
  <c r="S205" i="40" s="1"/>
  <c r="G436" i="40"/>
  <c r="P436" i="40"/>
  <c r="O436" i="40"/>
  <c r="I454" i="40"/>
  <c r="F454" i="40"/>
  <c r="G454" i="40"/>
  <c r="O454" i="40"/>
  <c r="I67" i="40"/>
  <c r="I292" i="40"/>
  <c r="Q316" i="40"/>
  <c r="U316" i="40" s="1"/>
  <c r="I39" i="40"/>
  <c r="Q159" i="40"/>
  <c r="R159" i="40" s="1"/>
  <c r="G130" i="40"/>
  <c r="G169" i="40"/>
  <c r="F153" i="40"/>
  <c r="O364" i="40"/>
  <c r="I83" i="40"/>
  <c r="L451" i="40"/>
  <c r="J451" i="40"/>
  <c r="O70" i="40"/>
  <c r="O429" i="40"/>
  <c r="M429" i="40"/>
  <c r="L394" i="40"/>
  <c r="G472" i="40"/>
  <c r="P63" i="40"/>
  <c r="F292" i="40"/>
  <c r="Q511" i="40"/>
  <c r="U511" i="40" s="1"/>
  <c r="P210" i="40"/>
  <c r="Q202" i="40"/>
  <c r="R202" i="40" s="1"/>
  <c r="P153" i="40"/>
  <c r="M153" i="40"/>
  <c r="L97" i="40"/>
  <c r="F97" i="40"/>
  <c r="O319" i="40"/>
  <c r="F319" i="40"/>
  <c r="L319" i="40"/>
  <c r="O292" i="40"/>
  <c r="Q465" i="40"/>
  <c r="S465" i="40" s="1"/>
  <c r="F63" i="40"/>
  <c r="I63" i="40"/>
  <c r="Q162" i="40"/>
  <c r="S162" i="40" s="1"/>
  <c r="I104" i="40"/>
  <c r="P188" i="40"/>
  <c r="O188" i="40"/>
  <c r="M188" i="40"/>
  <c r="L188" i="40"/>
  <c r="O343" i="40"/>
  <c r="G343" i="40"/>
  <c r="I343" i="40"/>
  <c r="L444" i="40"/>
  <c r="M444" i="40"/>
  <c r="Q486" i="40"/>
  <c r="T486" i="40" s="1"/>
  <c r="Q456" i="40"/>
  <c r="S456" i="40" s="1"/>
  <c r="F115" i="40"/>
  <c r="O148" i="40"/>
  <c r="I389" i="40"/>
  <c r="P389" i="40"/>
  <c r="F389" i="40"/>
  <c r="O389" i="40"/>
  <c r="G389" i="40"/>
  <c r="F336" i="40"/>
  <c r="G336" i="40"/>
  <c r="O336" i="40"/>
  <c r="P336" i="40"/>
  <c r="I405" i="40"/>
  <c r="O405" i="40"/>
  <c r="F405" i="40"/>
  <c r="P405" i="40"/>
  <c r="F489" i="40"/>
  <c r="L489" i="40"/>
  <c r="M130" i="40"/>
  <c r="O313" i="40"/>
  <c r="F313" i="40"/>
  <c r="L313" i="40"/>
  <c r="F322" i="40"/>
  <c r="O322" i="40"/>
  <c r="I322" i="40"/>
  <c r="M482" i="40"/>
  <c r="L345" i="40"/>
  <c r="F345" i="40"/>
  <c r="G345" i="40"/>
  <c r="J345" i="40"/>
  <c r="O345" i="40"/>
  <c r="I345" i="40"/>
  <c r="P411" i="40"/>
  <c r="J411" i="40"/>
  <c r="G411" i="40"/>
  <c r="O411" i="40"/>
  <c r="P439" i="40"/>
  <c r="G439" i="40"/>
  <c r="L439" i="40"/>
  <c r="M439" i="40"/>
  <c r="Q358" i="40"/>
  <c r="R358" i="40" s="1"/>
  <c r="Q469" i="40"/>
  <c r="U469" i="40" s="1"/>
  <c r="L39" i="40"/>
  <c r="F39" i="40"/>
  <c r="O330" i="40"/>
  <c r="F330" i="40"/>
  <c r="I330" i="40"/>
  <c r="J207" i="40"/>
  <c r="F207" i="40"/>
  <c r="G430" i="40"/>
  <c r="M430" i="40"/>
  <c r="L430" i="40"/>
  <c r="P430" i="40"/>
  <c r="G412" i="40"/>
  <c r="O412" i="40"/>
  <c r="M506" i="40"/>
  <c r="O154" i="40"/>
  <c r="L154" i="40"/>
  <c r="M154" i="40"/>
  <c r="F281" i="40"/>
  <c r="J92" i="40"/>
  <c r="F92" i="40"/>
  <c r="O92" i="40"/>
  <c r="G92" i="40"/>
  <c r="P92" i="40"/>
  <c r="I92" i="40"/>
  <c r="M92" i="40"/>
  <c r="L92" i="40"/>
  <c r="J184" i="40"/>
  <c r="M184" i="40"/>
  <c r="F184" i="40"/>
  <c r="O184" i="40"/>
  <c r="P184" i="40"/>
  <c r="G184" i="40"/>
  <c r="I184" i="40"/>
  <c r="L184" i="40"/>
  <c r="F251" i="40"/>
  <c r="O276" i="40"/>
  <c r="L276" i="40"/>
  <c r="L301" i="40"/>
  <c r="F301" i="40"/>
  <c r="M380" i="40"/>
  <c r="L380" i="40"/>
  <c r="F380" i="40"/>
  <c r="G380" i="40"/>
  <c r="O380" i="40"/>
  <c r="P380" i="40"/>
  <c r="F505" i="40"/>
  <c r="L505" i="40"/>
  <c r="P438" i="40"/>
  <c r="L438" i="40"/>
  <c r="M438" i="40"/>
  <c r="M458" i="40"/>
  <c r="F151" i="40"/>
  <c r="F76" i="40"/>
  <c r="O76" i="40"/>
  <c r="L76" i="40"/>
  <c r="I76" i="40"/>
  <c r="L189" i="40"/>
  <c r="J189" i="40"/>
  <c r="M474" i="40"/>
  <c r="Q517" i="40"/>
  <c r="S517" i="40" s="1"/>
  <c r="P151" i="40"/>
  <c r="F42" i="40"/>
  <c r="G42" i="40"/>
  <c r="M42" i="40"/>
  <c r="L155" i="40"/>
  <c r="O155" i="40"/>
  <c r="J168" i="40"/>
  <c r="F168" i="40"/>
  <c r="O168" i="40"/>
  <c r="M168" i="40"/>
  <c r="P168" i="40"/>
  <c r="G168" i="40"/>
  <c r="I168" i="40"/>
  <c r="L168" i="40"/>
  <c r="M182" i="40"/>
  <c r="J182" i="40"/>
  <c r="I137" i="40"/>
  <c r="L137" i="40"/>
  <c r="F137" i="40"/>
  <c r="O137" i="40"/>
  <c r="I194" i="40"/>
  <c r="M194" i="40"/>
  <c r="F194" i="40"/>
  <c r="O194" i="40"/>
  <c r="G194" i="40"/>
  <c r="L194" i="40"/>
  <c r="M388" i="40"/>
  <c r="O388" i="40"/>
  <c r="P388" i="40"/>
  <c r="F388" i="40"/>
  <c r="G388" i="40"/>
  <c r="L388" i="40"/>
  <c r="O365" i="40"/>
  <c r="F365" i="40"/>
  <c r="G384" i="40"/>
  <c r="J384" i="40"/>
  <c r="P384" i="40"/>
  <c r="Q502" i="40"/>
  <c r="S502" i="40" s="1"/>
  <c r="Q165" i="40"/>
  <c r="R165" i="40" s="1"/>
  <c r="L129" i="40"/>
  <c r="P154" i="40"/>
  <c r="M155" i="40"/>
  <c r="Q211" i="40"/>
  <c r="S211" i="40" s="1"/>
  <c r="O212" i="40"/>
  <c r="I151" i="40"/>
  <c r="Q170" i="40"/>
  <c r="R170" i="40" s="1"/>
  <c r="Q185" i="40"/>
  <c r="S185" i="40" s="1"/>
  <c r="F83" i="40"/>
  <c r="L83" i="40"/>
  <c r="P83" i="40"/>
  <c r="O63" i="40"/>
  <c r="F138" i="40"/>
  <c r="O138" i="40"/>
  <c r="L169" i="40"/>
  <c r="F169" i="40"/>
  <c r="I278" i="40"/>
  <c r="J278" i="40"/>
  <c r="I250" i="40"/>
  <c r="L250" i="40"/>
  <c r="F250" i="40"/>
  <c r="O250" i="40"/>
  <c r="M490" i="40"/>
  <c r="O337" i="40"/>
  <c r="F337" i="40"/>
  <c r="M337" i="40"/>
  <c r="P337" i="40"/>
  <c r="G337" i="40"/>
  <c r="I348" i="40"/>
  <c r="L348" i="40"/>
  <c r="O348" i="40"/>
  <c r="F348" i="40"/>
  <c r="G348" i="40"/>
  <c r="M348" i="40"/>
  <c r="I341" i="40"/>
  <c r="O339" i="40"/>
  <c r="F339" i="40"/>
  <c r="L397" i="40"/>
  <c r="P397" i="40"/>
  <c r="F397" i="40"/>
  <c r="G397" i="40"/>
  <c r="I397" i="40"/>
  <c r="M397" i="40"/>
  <c r="O397" i="40"/>
  <c r="I526" i="40"/>
  <c r="O526" i="40"/>
  <c r="F526" i="40"/>
  <c r="L526" i="40"/>
  <c r="M526" i="40"/>
  <c r="G526" i="40"/>
  <c r="F450" i="40"/>
  <c r="Q401" i="40"/>
  <c r="U401" i="40" s="1"/>
  <c r="I87" i="40"/>
  <c r="I129" i="40"/>
  <c r="P130" i="40"/>
  <c r="G189" i="40"/>
  <c r="Q196" i="40"/>
  <c r="R196" i="40" s="1"/>
  <c r="O182" i="40"/>
  <c r="O151" i="40"/>
  <c r="I210" i="40"/>
  <c r="F210" i="40"/>
  <c r="O210" i="40"/>
  <c r="G210" i="40"/>
  <c r="L210" i="40"/>
  <c r="M210" i="40"/>
  <c r="F266" i="40"/>
  <c r="M466" i="40"/>
  <c r="I305" i="40"/>
  <c r="O305" i="40"/>
  <c r="F305" i="40"/>
  <c r="L305" i="40"/>
  <c r="L368" i="40"/>
  <c r="F368" i="40"/>
  <c r="O368" i="40"/>
  <c r="L386" i="40"/>
  <c r="Q501" i="40"/>
  <c r="R501" i="40" s="1"/>
  <c r="Q533" i="40"/>
  <c r="U533" i="40" s="1"/>
  <c r="O87" i="40"/>
  <c r="F130" i="40"/>
  <c r="M189" i="40"/>
  <c r="P155" i="40"/>
  <c r="F182" i="40"/>
  <c r="Q183" i="40"/>
  <c r="R183" i="40" s="1"/>
  <c r="Q186" i="40"/>
  <c r="S186" i="40" s="1"/>
  <c r="O127" i="40"/>
  <c r="P127" i="40"/>
  <c r="G127" i="40"/>
  <c r="F127" i="40"/>
  <c r="J127" i="40"/>
  <c r="L127" i="40"/>
  <c r="I72" i="40"/>
  <c r="F297" i="40"/>
  <c r="I297" i="40"/>
  <c r="L297" i="40"/>
  <c r="O297" i="40"/>
  <c r="F117" i="40"/>
  <c r="L117" i="40"/>
  <c r="O117" i="40"/>
  <c r="I117" i="40"/>
  <c r="F99" i="40"/>
  <c r="P106" i="40"/>
  <c r="I106" i="40"/>
  <c r="O106" i="40"/>
  <c r="G106" i="40"/>
  <c r="F106" i="40"/>
  <c r="F311" i="40"/>
  <c r="O311" i="40"/>
  <c r="F321" i="40"/>
  <c r="L321" i="40"/>
  <c r="O321" i="40"/>
  <c r="M371" i="40"/>
  <c r="O371" i="40"/>
  <c r="L371" i="40"/>
  <c r="M409" i="40"/>
  <c r="G409" i="40"/>
  <c r="L409" i="40"/>
  <c r="I409" i="40"/>
  <c r="M445" i="40"/>
  <c r="F445" i="40"/>
  <c r="L445" i="40"/>
  <c r="O445" i="40"/>
  <c r="I534" i="40"/>
  <c r="O534" i="40"/>
  <c r="L534" i="40"/>
  <c r="M534" i="40"/>
  <c r="F534" i="40"/>
  <c r="G534" i="40"/>
  <c r="P60" i="40"/>
  <c r="G60" i="40"/>
  <c r="I60" i="40"/>
  <c r="O60" i="40"/>
  <c r="M60" i="40"/>
  <c r="L60" i="40"/>
  <c r="J60" i="40"/>
  <c r="F60" i="40"/>
  <c r="M93" i="40"/>
  <c r="L93" i="40"/>
  <c r="O93" i="40"/>
  <c r="I93" i="40"/>
  <c r="F93" i="40"/>
  <c r="Q112" i="40"/>
  <c r="Q119" i="40"/>
  <c r="G139" i="40"/>
  <c r="O139" i="40"/>
  <c r="F139" i="40"/>
  <c r="P139" i="40"/>
  <c r="J139" i="40"/>
  <c r="L139" i="40"/>
  <c r="M139" i="40"/>
  <c r="I139" i="40"/>
  <c r="Q121" i="40"/>
  <c r="P142" i="40"/>
  <c r="F142" i="40"/>
  <c r="O142" i="40"/>
  <c r="G142" i="40"/>
  <c r="I142" i="40"/>
  <c r="J142" i="40"/>
  <c r="L142" i="40"/>
  <c r="M142" i="40"/>
  <c r="J160" i="40"/>
  <c r="F160" i="40"/>
  <c r="O160" i="40"/>
  <c r="G160" i="40"/>
  <c r="P160" i="40"/>
  <c r="L160" i="40"/>
  <c r="M160" i="40"/>
  <c r="I160" i="40"/>
  <c r="M193" i="40"/>
  <c r="L193" i="40"/>
  <c r="G193" i="40"/>
  <c r="J193" i="40"/>
  <c r="I193" i="40"/>
  <c r="O193" i="40"/>
  <c r="P193" i="40"/>
  <c r="F193" i="40"/>
  <c r="P150" i="40"/>
  <c r="F150" i="40"/>
  <c r="I150" i="40"/>
  <c r="O150" i="40"/>
  <c r="L150" i="40"/>
  <c r="L95" i="40"/>
  <c r="O95" i="40"/>
  <c r="F95" i="40"/>
  <c r="I95" i="40"/>
  <c r="I66" i="40"/>
  <c r="F66" i="40"/>
  <c r="O66" i="40"/>
  <c r="G66" i="40"/>
  <c r="P66" i="40"/>
  <c r="L66" i="40"/>
  <c r="J140" i="40"/>
  <c r="L140" i="40"/>
  <c r="M140" i="40"/>
  <c r="F140" i="40"/>
  <c r="G140" i="40"/>
  <c r="I140" i="40"/>
  <c r="O140" i="40"/>
  <c r="P140" i="40"/>
  <c r="L158" i="40"/>
  <c r="M158" i="40"/>
  <c r="F158" i="40"/>
  <c r="O158" i="40"/>
  <c r="J158" i="40"/>
  <c r="G158" i="40"/>
  <c r="I158" i="40"/>
  <c r="P158" i="40"/>
  <c r="L203" i="40"/>
  <c r="M203" i="40"/>
  <c r="J203" i="40"/>
  <c r="F203" i="40"/>
  <c r="G203" i="40"/>
  <c r="I203" i="40"/>
  <c r="O203" i="40"/>
  <c r="P203" i="40"/>
  <c r="F136" i="40"/>
  <c r="O136" i="40"/>
  <c r="L136" i="40"/>
  <c r="I136" i="40"/>
  <c r="L108" i="40"/>
  <c r="I108" i="40"/>
  <c r="F108" i="40"/>
  <c r="O108" i="40"/>
  <c r="P108" i="40"/>
  <c r="G195" i="40"/>
  <c r="P195" i="40"/>
  <c r="F195" i="40"/>
  <c r="O195" i="40"/>
  <c r="I195" i="40"/>
  <c r="L195" i="40"/>
  <c r="J195" i="40"/>
  <c r="M195" i="40"/>
  <c r="M177" i="40"/>
  <c r="L177" i="40"/>
  <c r="F177" i="40"/>
  <c r="O177" i="40"/>
  <c r="G177" i="40"/>
  <c r="I177" i="40"/>
  <c r="J177" i="40"/>
  <c r="P177" i="40"/>
  <c r="Q199" i="40"/>
  <c r="Q173" i="40"/>
  <c r="P68" i="40"/>
  <c r="F68" i="40"/>
  <c r="O68" i="40"/>
  <c r="I68" i="40"/>
  <c r="L68" i="40"/>
  <c r="F54" i="40"/>
  <c r="L54" i="40"/>
  <c r="O54" i="40"/>
  <c r="I54" i="40"/>
  <c r="M109" i="40"/>
  <c r="I109" i="40"/>
  <c r="J109" i="40"/>
  <c r="L109" i="40"/>
  <c r="G109" i="40"/>
  <c r="O109" i="40"/>
  <c r="P109" i="40"/>
  <c r="F109" i="40"/>
  <c r="M141" i="40"/>
  <c r="I141" i="40"/>
  <c r="J141" i="40"/>
  <c r="L141" i="40"/>
  <c r="O141" i="40"/>
  <c r="P141" i="40"/>
  <c r="F141" i="40"/>
  <c r="G141" i="40"/>
  <c r="L206" i="40"/>
  <c r="J206" i="40"/>
  <c r="M206" i="40"/>
  <c r="F206" i="40"/>
  <c r="G206" i="40"/>
  <c r="I206" i="40"/>
  <c r="O206" i="40"/>
  <c r="P206" i="40"/>
  <c r="J192" i="40"/>
  <c r="F192" i="40"/>
  <c r="O192" i="40"/>
  <c r="G192" i="40"/>
  <c r="P192" i="40"/>
  <c r="L192" i="40"/>
  <c r="M192" i="40"/>
  <c r="I192" i="40"/>
  <c r="L82" i="40"/>
  <c r="F82" i="40"/>
  <c r="O82" i="40"/>
  <c r="I82" i="40"/>
  <c r="Q91" i="40"/>
  <c r="L102" i="40"/>
  <c r="O102" i="40"/>
  <c r="F102" i="40"/>
  <c r="I102" i="40"/>
  <c r="L187" i="40"/>
  <c r="M187" i="40"/>
  <c r="J187" i="40"/>
  <c r="O187" i="40"/>
  <c r="P187" i="40"/>
  <c r="G187" i="40"/>
  <c r="F187" i="40"/>
  <c r="I187" i="40"/>
  <c r="L208" i="40"/>
  <c r="J208" i="40"/>
  <c r="O208" i="40"/>
  <c r="G208" i="40"/>
  <c r="M208" i="40"/>
  <c r="P208" i="40"/>
  <c r="F208" i="40"/>
  <c r="I208" i="40"/>
  <c r="L152" i="40"/>
  <c r="F152" i="40"/>
  <c r="P152" i="40"/>
  <c r="I152" i="40"/>
  <c r="O152" i="40"/>
  <c r="M161" i="40"/>
  <c r="L161" i="40"/>
  <c r="F161" i="40"/>
  <c r="O161" i="40"/>
  <c r="I161" i="40"/>
  <c r="J161" i="40"/>
  <c r="P161" i="40"/>
  <c r="G161" i="40"/>
  <c r="L64" i="40"/>
  <c r="F64" i="40"/>
  <c r="O64" i="40"/>
  <c r="P64" i="40"/>
  <c r="I64" i="40"/>
  <c r="O65" i="40"/>
  <c r="L65" i="40"/>
  <c r="I65" i="40"/>
  <c r="F65" i="40"/>
  <c r="P65" i="40"/>
  <c r="O107" i="40"/>
  <c r="P107" i="40"/>
  <c r="F107" i="40"/>
  <c r="I107" i="40"/>
  <c r="L107" i="40"/>
  <c r="L94" i="40"/>
  <c r="O94" i="40"/>
  <c r="I94" i="40"/>
  <c r="F94" i="40"/>
  <c r="G123" i="40"/>
  <c r="O123" i="40"/>
  <c r="L123" i="40"/>
  <c r="I123" i="40"/>
  <c r="J123" i="40"/>
  <c r="F123" i="40"/>
  <c r="P123" i="40"/>
  <c r="Q163" i="40"/>
  <c r="G52" i="40"/>
  <c r="O52" i="40"/>
  <c r="P52" i="40"/>
  <c r="M52" i="40"/>
  <c r="L52" i="40"/>
  <c r="F52" i="40"/>
  <c r="I52" i="40"/>
  <c r="J52" i="40"/>
  <c r="F69" i="40"/>
  <c r="I69" i="40"/>
  <c r="L69" i="40"/>
  <c r="O69" i="40"/>
  <c r="P69" i="40"/>
  <c r="F96" i="40"/>
  <c r="I96" i="40"/>
  <c r="L96" i="40"/>
  <c r="O96" i="40"/>
  <c r="O53" i="40"/>
  <c r="F53" i="40"/>
  <c r="L53" i="40"/>
  <c r="I53" i="40"/>
  <c r="F46" i="40"/>
  <c r="L46" i="40"/>
  <c r="G46" i="40"/>
  <c r="P46" i="40"/>
  <c r="I46" i="40"/>
  <c r="O46" i="40"/>
  <c r="J46" i="40"/>
  <c r="L98" i="40"/>
  <c r="I98" i="40"/>
  <c r="J98" i="40"/>
  <c r="M98" i="40"/>
  <c r="G98" i="40"/>
  <c r="F98" i="40"/>
  <c r="P98" i="40"/>
  <c r="O98" i="40"/>
  <c r="F120" i="40"/>
  <c r="L120" i="40"/>
  <c r="M120" i="40"/>
  <c r="G120" i="40"/>
  <c r="P120" i="40"/>
  <c r="I120" i="40"/>
  <c r="J120" i="40"/>
  <c r="O120" i="40"/>
  <c r="M111" i="40"/>
  <c r="F111" i="40"/>
  <c r="O111" i="40"/>
  <c r="G111" i="40"/>
  <c r="P111" i="40"/>
  <c r="J111" i="40"/>
  <c r="L111" i="40"/>
  <c r="I111" i="40"/>
  <c r="L171" i="40"/>
  <c r="M171" i="40"/>
  <c r="J171" i="40"/>
  <c r="F171" i="40"/>
  <c r="G171" i="40"/>
  <c r="I171" i="40"/>
  <c r="O171" i="40"/>
  <c r="P171" i="40"/>
  <c r="L190" i="40"/>
  <c r="M190" i="40"/>
  <c r="J190" i="40"/>
  <c r="G190" i="40"/>
  <c r="I190" i="40"/>
  <c r="P190" i="40"/>
  <c r="F190" i="40"/>
  <c r="O190" i="40"/>
  <c r="F116" i="40"/>
  <c r="O116" i="40"/>
  <c r="I116" i="40"/>
  <c r="L116" i="40"/>
  <c r="Q167" i="40"/>
  <c r="Q179" i="40"/>
  <c r="Q180" i="40"/>
  <c r="L48" i="40"/>
  <c r="O48" i="40"/>
  <c r="I48" i="40"/>
  <c r="F48" i="40"/>
  <c r="P48" i="40"/>
  <c r="F84" i="40"/>
  <c r="O84" i="40"/>
  <c r="P84" i="40"/>
  <c r="I84" i="40"/>
  <c r="L84" i="40"/>
  <c r="F101" i="40"/>
  <c r="O101" i="40"/>
  <c r="P101" i="40"/>
  <c r="I101" i="40"/>
  <c r="L101" i="40"/>
  <c r="J132" i="40"/>
  <c r="M132" i="40"/>
  <c r="G132" i="40"/>
  <c r="I132" i="40"/>
  <c r="F132" i="40"/>
  <c r="P132" i="40"/>
  <c r="O132" i="40"/>
  <c r="L132" i="40"/>
  <c r="F164" i="40"/>
  <c r="M164" i="40"/>
  <c r="O164" i="40"/>
  <c r="G164" i="40"/>
  <c r="P164" i="40"/>
  <c r="L164" i="40"/>
  <c r="I164" i="40"/>
  <c r="J164" i="40"/>
  <c r="J176" i="40"/>
  <c r="F176" i="40"/>
  <c r="O176" i="40"/>
  <c r="G176" i="40"/>
  <c r="P176" i="40"/>
  <c r="I176" i="40"/>
  <c r="L176" i="40"/>
  <c r="M176" i="40"/>
  <c r="L166" i="40"/>
  <c r="G166" i="40"/>
  <c r="P166" i="40"/>
  <c r="I166" i="40"/>
  <c r="F166" i="40"/>
  <c r="O166" i="40"/>
  <c r="J166" i="40"/>
  <c r="M166" i="40"/>
  <c r="F49" i="40"/>
  <c r="O49" i="40"/>
  <c r="P49" i="40"/>
  <c r="L49" i="40"/>
  <c r="I49" i="40"/>
  <c r="F57" i="40"/>
  <c r="O57" i="40"/>
  <c r="L57" i="40"/>
  <c r="I57" i="40"/>
  <c r="L79" i="40"/>
  <c r="F79" i="40"/>
  <c r="I79" i="40"/>
  <c r="O79" i="40"/>
  <c r="L43" i="40"/>
  <c r="F43" i="40"/>
  <c r="I43" i="40"/>
  <c r="O43" i="40"/>
  <c r="F62" i="40"/>
  <c r="L62" i="40"/>
  <c r="I62" i="40"/>
  <c r="G62" i="40"/>
  <c r="P62" i="40"/>
  <c r="J62" i="40"/>
  <c r="M62" i="40"/>
  <c r="O62" i="40"/>
  <c r="L85" i="40"/>
  <c r="O85" i="40"/>
  <c r="P85" i="40"/>
  <c r="I85" i="40"/>
  <c r="F85" i="40"/>
  <c r="F61" i="40"/>
  <c r="O61" i="40"/>
  <c r="L61" i="40"/>
  <c r="I61" i="40"/>
  <c r="J61" i="40"/>
  <c r="P61" i="40"/>
  <c r="Q100" i="40"/>
  <c r="L40" i="40"/>
  <c r="F40" i="40"/>
  <c r="M40" i="40"/>
  <c r="O40" i="40"/>
  <c r="I40" i="40"/>
  <c r="Q122" i="40"/>
  <c r="L174" i="40"/>
  <c r="M174" i="40"/>
  <c r="J174" i="40"/>
  <c r="I174" i="40"/>
  <c r="O174" i="40"/>
  <c r="P174" i="40"/>
  <c r="F174" i="40"/>
  <c r="G174" i="40"/>
  <c r="Q175" i="40"/>
  <c r="F287" i="40"/>
  <c r="I287" i="40"/>
  <c r="L287" i="40"/>
  <c r="O287" i="40"/>
  <c r="L261" i="40"/>
  <c r="F261" i="40"/>
  <c r="I261" i="40"/>
  <c r="O261" i="40"/>
  <c r="P277" i="40"/>
  <c r="J277" i="40"/>
  <c r="L277" i="40"/>
  <c r="F277" i="40"/>
  <c r="O277" i="40"/>
  <c r="I277" i="40"/>
  <c r="L312" i="40"/>
  <c r="I312" i="40"/>
  <c r="F312" i="40"/>
  <c r="O312" i="40"/>
  <c r="O259" i="40"/>
  <c r="L259" i="40"/>
  <c r="I259" i="40"/>
  <c r="F259" i="40"/>
  <c r="O270" i="40"/>
  <c r="L270" i="40"/>
  <c r="F270" i="40"/>
  <c r="I270" i="40"/>
  <c r="M335" i="40"/>
  <c r="I335" i="40"/>
  <c r="L335" i="40"/>
  <c r="G335" i="40"/>
  <c r="O335" i="40"/>
  <c r="P335" i="40"/>
  <c r="F335" i="40"/>
  <c r="J335" i="40"/>
  <c r="G369" i="40"/>
  <c r="O369" i="40"/>
  <c r="L369" i="40"/>
  <c r="M369" i="40"/>
  <c r="P369" i="40"/>
  <c r="F369" i="40"/>
  <c r="I369" i="40"/>
  <c r="J369" i="40"/>
  <c r="L366" i="40"/>
  <c r="O366" i="40"/>
  <c r="F366" i="40"/>
  <c r="I366" i="40"/>
  <c r="J407" i="40"/>
  <c r="M407" i="40"/>
  <c r="L407" i="40"/>
  <c r="O407" i="40"/>
  <c r="I407" i="40"/>
  <c r="F407" i="40"/>
  <c r="G407" i="40"/>
  <c r="P407" i="40"/>
  <c r="J383" i="40"/>
  <c r="M383" i="40"/>
  <c r="F383" i="40"/>
  <c r="O383" i="40"/>
  <c r="L383" i="40"/>
  <c r="I383" i="40"/>
  <c r="G383" i="40"/>
  <c r="P383" i="40"/>
  <c r="M427" i="40"/>
  <c r="I427" i="40"/>
  <c r="J427" i="40"/>
  <c r="L427" i="40"/>
  <c r="O427" i="40"/>
  <c r="F427" i="40"/>
  <c r="P427" i="40"/>
  <c r="G427" i="40"/>
  <c r="Q370" i="40"/>
  <c r="L452" i="40"/>
  <c r="M452" i="40"/>
  <c r="F452" i="40"/>
  <c r="G452" i="40"/>
  <c r="O452" i="40"/>
  <c r="P452" i="40"/>
  <c r="I452" i="40"/>
  <c r="J452" i="40"/>
  <c r="Q479" i="40"/>
  <c r="O262" i="40"/>
  <c r="L262" i="40"/>
  <c r="F262" i="40"/>
  <c r="I262" i="40"/>
  <c r="L340" i="40"/>
  <c r="F340" i="40"/>
  <c r="I340" i="40"/>
  <c r="O340" i="40"/>
  <c r="L390" i="40"/>
  <c r="M390" i="40"/>
  <c r="J390" i="40"/>
  <c r="P390" i="40"/>
  <c r="F390" i="40"/>
  <c r="G390" i="40"/>
  <c r="I390" i="40"/>
  <c r="O390" i="40"/>
  <c r="L360" i="40"/>
  <c r="O360" i="40"/>
  <c r="F360" i="40"/>
  <c r="I360" i="40"/>
  <c r="I353" i="40"/>
  <c r="L353" i="40"/>
  <c r="O353" i="40"/>
  <c r="F353" i="40"/>
  <c r="I354" i="40"/>
  <c r="F354" i="40"/>
  <c r="L354" i="40"/>
  <c r="O354" i="40"/>
  <c r="P385" i="40"/>
  <c r="F385" i="40"/>
  <c r="O385" i="40"/>
  <c r="G385" i="40"/>
  <c r="M385" i="40"/>
  <c r="I385" i="40"/>
  <c r="J385" i="40"/>
  <c r="L385" i="40"/>
  <c r="M435" i="40"/>
  <c r="F435" i="40"/>
  <c r="P435" i="40"/>
  <c r="G435" i="40"/>
  <c r="I435" i="40"/>
  <c r="J435" i="40"/>
  <c r="L435" i="40"/>
  <c r="O435" i="40"/>
  <c r="F508" i="40"/>
  <c r="G508" i="40"/>
  <c r="L508" i="40"/>
  <c r="M508" i="40"/>
  <c r="O508" i="40"/>
  <c r="P508" i="40"/>
  <c r="J508" i="40"/>
  <c r="I508" i="40"/>
  <c r="L492" i="40"/>
  <c r="F492" i="40"/>
  <c r="M492" i="40"/>
  <c r="O492" i="40"/>
  <c r="P492" i="40"/>
  <c r="J492" i="40"/>
  <c r="G492" i="40"/>
  <c r="I492" i="40"/>
  <c r="J399" i="40"/>
  <c r="M399" i="40"/>
  <c r="L399" i="40"/>
  <c r="G399" i="40"/>
  <c r="I399" i="40"/>
  <c r="F399" i="40"/>
  <c r="O399" i="40"/>
  <c r="P399" i="40"/>
  <c r="G378" i="40"/>
  <c r="O378" i="40"/>
  <c r="F378" i="40"/>
  <c r="P378" i="40"/>
  <c r="I378" i="40"/>
  <c r="L378" i="40"/>
  <c r="M378" i="40"/>
  <c r="J378" i="40"/>
  <c r="P440" i="40"/>
  <c r="G440" i="40"/>
  <c r="M440" i="40"/>
  <c r="O440" i="40"/>
  <c r="F440" i="40"/>
  <c r="I440" i="40"/>
  <c r="J440" i="40"/>
  <c r="L440" i="40"/>
  <c r="L460" i="40"/>
  <c r="I460" i="40"/>
  <c r="P460" i="40"/>
  <c r="M460" i="40"/>
  <c r="F460" i="40"/>
  <c r="G460" i="40"/>
  <c r="O460" i="40"/>
  <c r="J460" i="40"/>
  <c r="F500" i="40"/>
  <c r="G500" i="40"/>
  <c r="M500" i="40"/>
  <c r="J500" i="40"/>
  <c r="L500" i="40"/>
  <c r="O500" i="40"/>
  <c r="P500" i="40"/>
  <c r="I500" i="40"/>
  <c r="Q419" i="40"/>
  <c r="Q448" i="40"/>
  <c r="L532" i="40"/>
  <c r="M532" i="40"/>
  <c r="G532" i="40"/>
  <c r="O532" i="40"/>
  <c r="P532" i="40"/>
  <c r="J532" i="40"/>
  <c r="F532" i="40"/>
  <c r="I532" i="40"/>
  <c r="L264" i="40"/>
  <c r="O264" i="40"/>
  <c r="F264" i="40"/>
  <c r="I264" i="40"/>
  <c r="L328" i="40"/>
  <c r="I328" i="40"/>
  <c r="M328" i="40"/>
  <c r="P328" i="40"/>
  <c r="J328" i="40"/>
  <c r="F328" i="40"/>
  <c r="G328" i="40"/>
  <c r="O328" i="40"/>
  <c r="F306" i="40"/>
  <c r="O306" i="40"/>
  <c r="I306" i="40"/>
  <c r="L306" i="40"/>
  <c r="L374" i="40"/>
  <c r="M374" i="40"/>
  <c r="J374" i="40"/>
  <c r="O374" i="40"/>
  <c r="P374" i="40"/>
  <c r="F374" i="40"/>
  <c r="G374" i="40"/>
  <c r="I374" i="40"/>
  <c r="L398" i="40"/>
  <c r="M398" i="40"/>
  <c r="J398" i="40"/>
  <c r="I398" i="40"/>
  <c r="F398" i="40"/>
  <c r="P398" i="40"/>
  <c r="G398" i="40"/>
  <c r="O398" i="40"/>
  <c r="F342" i="40"/>
  <c r="G342" i="40"/>
  <c r="J342" i="40"/>
  <c r="I342" i="40"/>
  <c r="L342" i="40"/>
  <c r="O342" i="40"/>
  <c r="O361" i="40"/>
  <c r="F361" i="40"/>
  <c r="I361" i="40"/>
  <c r="L361" i="40"/>
  <c r="M437" i="40"/>
  <c r="O437" i="40"/>
  <c r="F437" i="40"/>
  <c r="P437" i="40"/>
  <c r="G437" i="40"/>
  <c r="I437" i="40"/>
  <c r="J437" i="40"/>
  <c r="L437" i="40"/>
  <c r="P393" i="40"/>
  <c r="F393" i="40"/>
  <c r="O393" i="40"/>
  <c r="M393" i="40"/>
  <c r="G393" i="40"/>
  <c r="L393" i="40"/>
  <c r="I393" i="40"/>
  <c r="J393" i="40"/>
  <c r="M443" i="40"/>
  <c r="O443" i="40"/>
  <c r="F443" i="40"/>
  <c r="P443" i="40"/>
  <c r="G443" i="40"/>
  <c r="I443" i="40"/>
  <c r="J443" i="40"/>
  <c r="L443" i="40"/>
  <c r="G449" i="40"/>
  <c r="O449" i="40"/>
  <c r="L449" i="40"/>
  <c r="M449" i="40"/>
  <c r="F449" i="40"/>
  <c r="P449" i="40"/>
  <c r="I449" i="40"/>
  <c r="J449" i="40"/>
  <c r="Q519" i="40"/>
  <c r="Q477" i="40"/>
  <c r="F326" i="40"/>
  <c r="O326" i="40"/>
  <c r="G326" i="40"/>
  <c r="P326" i="40"/>
  <c r="I326" i="40"/>
  <c r="J326" i="40"/>
  <c r="L326" i="40"/>
  <c r="M326" i="40"/>
  <c r="J346" i="40"/>
  <c r="I346" i="40"/>
  <c r="F346" i="40"/>
  <c r="P346" i="40"/>
  <c r="O346" i="40"/>
  <c r="G346" i="40"/>
  <c r="L346" i="40"/>
  <c r="M346" i="40"/>
  <c r="J391" i="40"/>
  <c r="M391" i="40"/>
  <c r="L391" i="40"/>
  <c r="O391" i="40"/>
  <c r="P391" i="40"/>
  <c r="I391" i="40"/>
  <c r="F391" i="40"/>
  <c r="G391" i="40"/>
  <c r="O363" i="40"/>
  <c r="F363" i="40"/>
  <c r="L363" i="40"/>
  <c r="I363" i="40"/>
  <c r="L414" i="40"/>
  <c r="M414" i="40"/>
  <c r="G414" i="40"/>
  <c r="I414" i="40"/>
  <c r="J414" i="40"/>
  <c r="O414" i="40"/>
  <c r="P414" i="40"/>
  <c r="F414" i="40"/>
  <c r="J415" i="40"/>
  <c r="M415" i="40"/>
  <c r="F415" i="40"/>
  <c r="P415" i="40"/>
  <c r="O415" i="40"/>
  <c r="G415" i="40"/>
  <c r="I415" i="40"/>
  <c r="L415" i="40"/>
  <c r="M420" i="40"/>
  <c r="I420" i="40"/>
  <c r="L420" i="40"/>
  <c r="J420" i="40"/>
  <c r="O420" i="40"/>
  <c r="P420" i="40"/>
  <c r="F420" i="40"/>
  <c r="G420" i="40"/>
  <c r="M468" i="40"/>
  <c r="G468" i="40"/>
  <c r="O468" i="40"/>
  <c r="F468" i="40"/>
  <c r="I468" i="40"/>
  <c r="P468" i="40"/>
  <c r="J468" i="40"/>
  <c r="L468" i="40"/>
  <c r="L484" i="40"/>
  <c r="O484" i="40"/>
  <c r="M484" i="40"/>
  <c r="F484" i="40"/>
  <c r="P484" i="40"/>
  <c r="J484" i="40"/>
  <c r="G484" i="40"/>
  <c r="I484" i="40"/>
  <c r="Q453" i="40"/>
  <c r="Q471" i="40"/>
  <c r="M272" i="40"/>
  <c r="L272" i="40"/>
  <c r="O272" i="40"/>
  <c r="F272" i="40"/>
  <c r="I272" i="40"/>
  <c r="L269" i="40"/>
  <c r="F269" i="40"/>
  <c r="I269" i="40"/>
  <c r="O269" i="40"/>
  <c r="L320" i="40"/>
  <c r="I320" i="40"/>
  <c r="F320" i="40"/>
  <c r="O320" i="40"/>
  <c r="F298" i="40"/>
  <c r="O298" i="40"/>
  <c r="L298" i="40"/>
  <c r="I298" i="40"/>
  <c r="O317" i="40"/>
  <c r="F317" i="40"/>
  <c r="P317" i="40"/>
  <c r="I317" i="40"/>
  <c r="L317" i="40"/>
  <c r="L406" i="40"/>
  <c r="M406" i="40"/>
  <c r="J406" i="40"/>
  <c r="P406" i="40"/>
  <c r="F406" i="40"/>
  <c r="G406" i="40"/>
  <c r="I406" i="40"/>
  <c r="O406" i="40"/>
  <c r="Q357" i="40"/>
  <c r="J375" i="40"/>
  <c r="M375" i="40"/>
  <c r="F375" i="40"/>
  <c r="O375" i="40"/>
  <c r="L375" i="40"/>
  <c r="P375" i="40"/>
  <c r="G375" i="40"/>
  <c r="I375" i="40"/>
  <c r="G410" i="40"/>
  <c r="O410" i="40"/>
  <c r="F410" i="40"/>
  <c r="P410" i="40"/>
  <c r="I410" i="40"/>
  <c r="J410" i="40"/>
  <c r="L410" i="40"/>
  <c r="M410" i="40"/>
  <c r="F403" i="40"/>
  <c r="I403" i="40"/>
  <c r="G403" i="40"/>
  <c r="P403" i="40"/>
  <c r="J403" i="40"/>
  <c r="O403" i="40"/>
  <c r="L403" i="40"/>
  <c r="M403" i="40"/>
  <c r="Q463" i="40"/>
  <c r="Q455" i="40"/>
  <c r="M524" i="40"/>
  <c r="F524" i="40"/>
  <c r="P524" i="40"/>
  <c r="O524" i="40"/>
  <c r="J524" i="40"/>
  <c r="L524" i="40"/>
  <c r="G524" i="40"/>
  <c r="I524" i="40"/>
  <c r="L288" i="40"/>
  <c r="O288" i="40"/>
  <c r="I288" i="40"/>
  <c r="F288" i="40"/>
  <c r="L255" i="40"/>
  <c r="F255" i="40"/>
  <c r="I255" i="40"/>
  <c r="O255" i="40"/>
  <c r="F253" i="40"/>
  <c r="L253" i="40"/>
  <c r="O253" i="40"/>
  <c r="I253" i="40"/>
  <c r="O285" i="40"/>
  <c r="F285" i="40"/>
  <c r="I285" i="40"/>
  <c r="L285" i="40"/>
  <c r="Q325" i="40"/>
  <c r="F318" i="40"/>
  <c r="O318" i="40"/>
  <c r="I318" i="40"/>
  <c r="L318" i="40"/>
  <c r="L382" i="40"/>
  <c r="M382" i="40"/>
  <c r="J382" i="40"/>
  <c r="G382" i="40"/>
  <c r="I382" i="40"/>
  <c r="P382" i="40"/>
  <c r="F382" i="40"/>
  <c r="O382" i="40"/>
  <c r="Q387" i="40"/>
  <c r="P425" i="40"/>
  <c r="G425" i="40"/>
  <c r="L425" i="40"/>
  <c r="M425" i="40"/>
  <c r="O425" i="40"/>
  <c r="F425" i="40"/>
  <c r="I425" i="40"/>
  <c r="J425" i="40"/>
  <c r="Q418" i="40"/>
  <c r="L476" i="40"/>
  <c r="F476" i="40"/>
  <c r="G476" i="40"/>
  <c r="M476" i="40"/>
  <c r="I476" i="40"/>
  <c r="O476" i="40"/>
  <c r="P476" i="40"/>
  <c r="J476" i="40"/>
  <c r="Q402" i="40"/>
  <c r="M516" i="40"/>
  <c r="O516" i="40"/>
  <c r="F516" i="40"/>
  <c r="G516" i="40"/>
  <c r="P516" i="40"/>
  <c r="J516" i="40"/>
  <c r="L516" i="40"/>
  <c r="I516" i="40"/>
  <c r="Q495" i="40"/>
  <c r="L304" i="40"/>
  <c r="I304" i="40"/>
  <c r="F304" i="40"/>
  <c r="O304" i="40"/>
  <c r="O283" i="40"/>
  <c r="F283" i="40"/>
  <c r="I283" i="40"/>
  <c r="L283" i="40"/>
  <c r="Q258" i="40"/>
  <c r="I295" i="40"/>
  <c r="F295" i="40"/>
  <c r="L295" i="40"/>
  <c r="O295" i="40"/>
  <c r="L296" i="40"/>
  <c r="I296" i="40"/>
  <c r="F296" i="40"/>
  <c r="O296" i="40"/>
  <c r="L280" i="40"/>
  <c r="O280" i="40"/>
  <c r="F280" i="40"/>
  <c r="I280" i="40"/>
  <c r="L256" i="40"/>
  <c r="O256" i="40"/>
  <c r="F256" i="40"/>
  <c r="I256" i="40"/>
  <c r="F303" i="40"/>
  <c r="I303" i="40"/>
  <c r="L303" i="40"/>
  <c r="O303" i="40"/>
  <c r="F300" i="40"/>
  <c r="O300" i="40"/>
  <c r="I300" i="40"/>
  <c r="L300" i="40"/>
  <c r="O275" i="40"/>
  <c r="L275" i="40"/>
  <c r="I275" i="40"/>
  <c r="F275" i="40"/>
  <c r="J267" i="40"/>
  <c r="G267" i="40"/>
  <c r="O267" i="40"/>
  <c r="M267" i="40"/>
  <c r="P267" i="40"/>
  <c r="L267" i="40"/>
  <c r="I267" i="40"/>
  <c r="F267" i="40"/>
  <c r="F290" i="40"/>
  <c r="O290" i="40"/>
  <c r="I290" i="40"/>
  <c r="L290" i="40"/>
  <c r="J338" i="40"/>
  <c r="L338" i="40"/>
  <c r="G338" i="40"/>
  <c r="F338" i="40"/>
  <c r="I338" i="40"/>
  <c r="P338" i="40"/>
  <c r="M338" i="40"/>
  <c r="O338" i="40"/>
  <c r="Q355" i="40"/>
  <c r="J423" i="40"/>
  <c r="M423" i="40"/>
  <c r="L423" i="40"/>
  <c r="O423" i="40"/>
  <c r="P423" i="40"/>
  <c r="F423" i="40"/>
  <c r="G423" i="40"/>
  <c r="I423" i="40"/>
  <c r="L422" i="40"/>
  <c r="G422" i="40"/>
  <c r="I422" i="40"/>
  <c r="J422" i="40"/>
  <c r="M422" i="40"/>
  <c r="O422" i="40"/>
  <c r="P422" i="40"/>
  <c r="F422" i="40"/>
  <c r="Q535" i="40"/>
  <c r="Q487" i="40"/>
  <c r="Q493" i="40"/>
  <c r="Q503" i="40"/>
  <c r="Q485" i="40"/>
  <c r="Q461" i="40"/>
  <c r="E242" i="29"/>
  <c r="E282" i="29"/>
  <c r="E42" i="29"/>
  <c r="E82" i="29"/>
  <c r="E402" i="29"/>
  <c r="E322" i="29"/>
  <c r="E122" i="29"/>
  <c r="E162" i="29"/>
  <c r="E202" i="29"/>
  <c r="E362" i="29"/>
  <c r="B249" i="40"/>
  <c r="E293" i="21"/>
  <c r="E292" i="21"/>
  <c r="E291" i="21"/>
  <c r="E290" i="21"/>
  <c r="E289" i="21"/>
  <c r="E288" i="21"/>
  <c r="E287" i="21"/>
  <c r="E286" i="21"/>
  <c r="E285" i="21"/>
  <c r="E284" i="21"/>
  <c r="E283" i="21"/>
  <c r="E282" i="21"/>
  <c r="E281" i="21"/>
  <c r="E280" i="21"/>
  <c r="E279" i="21"/>
  <c r="E278" i="21"/>
  <c r="E277" i="21"/>
  <c r="E276" i="21"/>
  <c r="E275" i="21"/>
  <c r="E274" i="21"/>
  <c r="E273" i="21"/>
  <c r="E272" i="21"/>
  <c r="E271" i="21"/>
  <c r="E270" i="21"/>
  <c r="E269" i="21"/>
  <c r="E268" i="21"/>
  <c r="E267" i="21"/>
  <c r="E266" i="21"/>
  <c r="E265" i="21"/>
  <c r="E264" i="21"/>
  <c r="E263" i="21"/>
  <c r="E262" i="21"/>
  <c r="E261" i="21"/>
  <c r="E260" i="21"/>
  <c r="E259" i="21"/>
  <c r="E258" i="21"/>
  <c r="E257" i="21"/>
  <c r="E256" i="21"/>
  <c r="E255" i="21"/>
  <c r="E254" i="21"/>
  <c r="E253" i="21"/>
  <c r="E252" i="21"/>
  <c r="E251" i="21"/>
  <c r="E250" i="21"/>
  <c r="E249" i="21"/>
  <c r="E248" i="21"/>
  <c r="E247" i="21"/>
  <c r="E246" i="21"/>
  <c r="E245" i="21"/>
  <c r="E244" i="21"/>
  <c r="E243" i="21"/>
  <c r="E242" i="21"/>
  <c r="E241" i="21"/>
  <c r="E240" i="21"/>
  <c r="E239" i="21"/>
  <c r="E238" i="21"/>
  <c r="E237" i="21"/>
  <c r="E236" i="21"/>
  <c r="E235" i="21"/>
  <c r="E234" i="21"/>
  <c r="E233" i="21"/>
  <c r="E232" i="21"/>
  <c r="E231" i="21"/>
  <c r="E230" i="21"/>
  <c r="E229" i="21"/>
  <c r="E228" i="21"/>
  <c r="E227" i="21"/>
  <c r="E226" i="21"/>
  <c r="E225" i="21"/>
  <c r="E224" i="21"/>
  <c r="E223" i="21"/>
  <c r="E222" i="21"/>
  <c r="E221" i="21"/>
  <c r="E220" i="21"/>
  <c r="E219" i="21"/>
  <c r="E218" i="21"/>
  <c r="E217" i="21"/>
  <c r="E216" i="21"/>
  <c r="E215" i="21"/>
  <c r="E214" i="21"/>
  <c r="E213" i="21"/>
  <c r="E212" i="21"/>
  <c r="E211" i="21"/>
  <c r="E210" i="21"/>
  <c r="E209" i="21"/>
  <c r="E208" i="21"/>
  <c r="E207" i="21"/>
  <c r="E206" i="21"/>
  <c r="E205" i="21"/>
  <c r="E204" i="21"/>
  <c r="E203" i="21"/>
  <c r="E202" i="21"/>
  <c r="E201" i="21"/>
  <c r="E200" i="21"/>
  <c r="E199" i="21"/>
  <c r="E198" i="21"/>
  <c r="E197" i="21"/>
  <c r="E196" i="21"/>
  <c r="E195" i="21"/>
  <c r="E194" i="21"/>
  <c r="E193" i="21"/>
  <c r="E192" i="21"/>
  <c r="E191" i="21"/>
  <c r="E190" i="21"/>
  <c r="E189" i="21"/>
  <c r="E188" i="21"/>
  <c r="E187" i="21"/>
  <c r="E186" i="21"/>
  <c r="E185" i="21"/>
  <c r="E184" i="21"/>
  <c r="E183" i="21"/>
  <c r="E182" i="21"/>
  <c r="E181" i="21"/>
  <c r="E180" i="21"/>
  <c r="E179" i="21"/>
  <c r="E178" i="21"/>
  <c r="E177" i="21"/>
  <c r="E176" i="21"/>
  <c r="E175" i="21"/>
  <c r="E174" i="21"/>
  <c r="E173" i="21"/>
  <c r="E172" i="21"/>
  <c r="E171" i="21"/>
  <c r="E170" i="21"/>
  <c r="E169" i="21"/>
  <c r="E168" i="21"/>
  <c r="E167" i="21"/>
  <c r="E166" i="21"/>
  <c r="E165" i="21"/>
  <c r="E164" i="21"/>
  <c r="E163" i="21"/>
  <c r="E162" i="21"/>
  <c r="E161" i="21"/>
  <c r="E160" i="21"/>
  <c r="E159" i="21"/>
  <c r="E158" i="21"/>
  <c r="E157" i="21"/>
  <c r="E156" i="21"/>
  <c r="E155" i="21"/>
  <c r="E154" i="21"/>
  <c r="E153" i="21"/>
  <c r="E152" i="21"/>
  <c r="E151" i="21"/>
  <c r="E150" i="21"/>
  <c r="E149" i="21"/>
  <c r="E148" i="21"/>
  <c r="E147" i="21"/>
  <c r="E146" i="21"/>
  <c r="E145" i="21"/>
  <c r="E144" i="21"/>
  <c r="E143" i="21"/>
  <c r="E142" i="21"/>
  <c r="E141" i="21"/>
  <c r="E140" i="21"/>
  <c r="E139" i="21"/>
  <c r="E138" i="21"/>
  <c r="E137" i="21"/>
  <c r="E136" i="21"/>
  <c r="E135" i="21"/>
  <c r="E134" i="21"/>
  <c r="E133" i="21"/>
  <c r="E132" i="21"/>
  <c r="E131" i="21"/>
  <c r="E130" i="21"/>
  <c r="E129" i="21"/>
  <c r="E128" i="21"/>
  <c r="E127" i="21"/>
  <c r="E126" i="21"/>
  <c r="E125" i="21"/>
  <c r="E124" i="21"/>
  <c r="E123" i="21"/>
  <c r="E122" i="21"/>
  <c r="E121" i="21"/>
  <c r="E120" i="21"/>
  <c r="E119" i="21"/>
  <c r="E118" i="21"/>
  <c r="E117" i="21"/>
  <c r="E116" i="21"/>
  <c r="E115" i="21"/>
  <c r="E114" i="21"/>
  <c r="E113" i="21"/>
  <c r="E112" i="21"/>
  <c r="E111" i="21"/>
  <c r="E110" i="21"/>
  <c r="E109" i="21"/>
  <c r="E108" i="21"/>
  <c r="E107" i="21"/>
  <c r="E106" i="21"/>
  <c r="E105" i="21"/>
  <c r="E104" i="21"/>
  <c r="E103" i="21"/>
  <c r="E102" i="21"/>
  <c r="E101" i="21"/>
  <c r="E100" i="21"/>
  <c r="E99" i="21"/>
  <c r="E98" i="21"/>
  <c r="E97" i="21"/>
  <c r="E96" i="21"/>
  <c r="E95" i="21"/>
  <c r="E94" i="21"/>
  <c r="E93" i="21"/>
  <c r="E92" i="21"/>
  <c r="E91" i="21"/>
  <c r="E90" i="21"/>
  <c r="E89" i="21"/>
  <c r="E88" i="21"/>
  <c r="E87" i="21"/>
  <c r="E86" i="21"/>
  <c r="E85" i="21"/>
  <c r="E84" i="21"/>
  <c r="E83" i="21"/>
  <c r="E82" i="21"/>
  <c r="E81" i="21"/>
  <c r="E80" i="21"/>
  <c r="E79" i="21"/>
  <c r="E78" i="21"/>
  <c r="E77" i="21"/>
  <c r="E76" i="21"/>
  <c r="E75" i="21"/>
  <c r="E74" i="21"/>
  <c r="E73" i="21"/>
  <c r="E72" i="21"/>
  <c r="E71" i="21"/>
  <c r="E70" i="21"/>
  <c r="E69" i="21"/>
  <c r="E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9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E293" i="22"/>
  <c r="E292" i="22"/>
  <c r="E291" i="22"/>
  <c r="E290" i="22"/>
  <c r="E289" i="22"/>
  <c r="E288" i="22"/>
  <c r="E287" i="22"/>
  <c r="E286" i="22"/>
  <c r="E285" i="22"/>
  <c r="E284" i="22"/>
  <c r="E283" i="22"/>
  <c r="E282" i="22"/>
  <c r="E281" i="22"/>
  <c r="E280" i="22"/>
  <c r="E279" i="22"/>
  <c r="E278" i="22"/>
  <c r="E277" i="22"/>
  <c r="E276" i="22"/>
  <c r="E275" i="22"/>
  <c r="E274" i="22"/>
  <c r="E273" i="22"/>
  <c r="E272" i="22"/>
  <c r="E271" i="22"/>
  <c r="E270" i="22"/>
  <c r="E269" i="22"/>
  <c r="E268" i="22"/>
  <c r="E267" i="22"/>
  <c r="E266" i="22"/>
  <c r="E265" i="22"/>
  <c r="E264" i="22"/>
  <c r="E263" i="22"/>
  <c r="E262" i="22"/>
  <c r="E261" i="22"/>
  <c r="E260" i="22"/>
  <c r="E259" i="22"/>
  <c r="E258" i="22"/>
  <c r="E257" i="22"/>
  <c r="E256" i="22"/>
  <c r="E255" i="22"/>
  <c r="E254" i="22"/>
  <c r="E253" i="22"/>
  <c r="E252" i="22"/>
  <c r="E251" i="22"/>
  <c r="E250" i="22"/>
  <c r="E249" i="22"/>
  <c r="E248" i="22"/>
  <c r="E247" i="22"/>
  <c r="E246" i="22"/>
  <c r="E245" i="22"/>
  <c r="E244" i="22"/>
  <c r="E243" i="22"/>
  <c r="E242" i="22"/>
  <c r="E241" i="22"/>
  <c r="E240" i="22"/>
  <c r="E239" i="22"/>
  <c r="E238" i="22"/>
  <c r="E237" i="22"/>
  <c r="E236" i="22"/>
  <c r="E235" i="22"/>
  <c r="E234" i="22"/>
  <c r="E233" i="22"/>
  <c r="E232" i="22"/>
  <c r="E231" i="22"/>
  <c r="E230" i="22"/>
  <c r="E229" i="22"/>
  <c r="E228" i="22"/>
  <c r="E227" i="22"/>
  <c r="E226" i="22"/>
  <c r="E225" i="22"/>
  <c r="E224" i="22"/>
  <c r="E223" i="22"/>
  <c r="E222" i="22"/>
  <c r="E221" i="22"/>
  <c r="E220" i="22"/>
  <c r="E219" i="22"/>
  <c r="E218" i="22"/>
  <c r="E217" i="22"/>
  <c r="E216" i="22"/>
  <c r="E215" i="22"/>
  <c r="E214" i="22"/>
  <c r="E213" i="22"/>
  <c r="E212" i="22"/>
  <c r="E211" i="22"/>
  <c r="E210" i="22"/>
  <c r="E209" i="22"/>
  <c r="E208" i="22"/>
  <c r="E207" i="22"/>
  <c r="E206" i="22"/>
  <c r="E205" i="22"/>
  <c r="E204" i="22"/>
  <c r="E203" i="22"/>
  <c r="E202" i="22"/>
  <c r="E201" i="22"/>
  <c r="E200" i="22"/>
  <c r="E199" i="22"/>
  <c r="E198" i="22"/>
  <c r="E197" i="22"/>
  <c r="E196" i="22"/>
  <c r="E195" i="22"/>
  <c r="E194" i="22"/>
  <c r="E193" i="22"/>
  <c r="E192" i="22"/>
  <c r="E191" i="22"/>
  <c r="E190" i="22"/>
  <c r="E189" i="22"/>
  <c r="E188" i="22"/>
  <c r="E187" i="22"/>
  <c r="E186" i="22"/>
  <c r="E185" i="22"/>
  <c r="E184" i="22"/>
  <c r="E183" i="22"/>
  <c r="E182" i="22"/>
  <c r="E181" i="22"/>
  <c r="E180" i="22"/>
  <c r="E179" i="22"/>
  <c r="E178" i="22"/>
  <c r="E177" i="22"/>
  <c r="E176" i="22"/>
  <c r="E175" i="22"/>
  <c r="E174" i="22"/>
  <c r="E173" i="22"/>
  <c r="E172" i="22"/>
  <c r="E171" i="22"/>
  <c r="E170" i="22"/>
  <c r="E169" i="22"/>
  <c r="E168" i="22"/>
  <c r="E167" i="22"/>
  <c r="E166" i="22"/>
  <c r="E165" i="22"/>
  <c r="E164" i="22"/>
  <c r="E163" i="22"/>
  <c r="E162" i="22"/>
  <c r="E161" i="22"/>
  <c r="E160" i="22"/>
  <c r="E159" i="22"/>
  <c r="E158" i="22"/>
  <c r="E157" i="22"/>
  <c r="E156" i="22"/>
  <c r="E155" i="22"/>
  <c r="E154" i="22"/>
  <c r="E153" i="22"/>
  <c r="E152" i="22"/>
  <c r="E151" i="22"/>
  <c r="E150" i="22"/>
  <c r="E149" i="22"/>
  <c r="E148" i="22"/>
  <c r="E147" i="22"/>
  <c r="E146" i="22"/>
  <c r="E145" i="22"/>
  <c r="E144" i="22"/>
  <c r="E143" i="22"/>
  <c r="E142" i="22"/>
  <c r="E141" i="22"/>
  <c r="E140" i="22"/>
  <c r="E139" i="22"/>
  <c r="E138" i="22"/>
  <c r="E137" i="22"/>
  <c r="E136" i="22"/>
  <c r="E135" i="22"/>
  <c r="E134" i="22"/>
  <c r="E133" i="22"/>
  <c r="E132" i="22"/>
  <c r="E131" i="22"/>
  <c r="E130" i="22"/>
  <c r="E129" i="22"/>
  <c r="E128" i="22"/>
  <c r="E127" i="22"/>
  <c r="E126" i="22"/>
  <c r="E125" i="22"/>
  <c r="E124" i="22"/>
  <c r="E123" i="22"/>
  <c r="E122" i="22"/>
  <c r="E121" i="22"/>
  <c r="E120" i="22"/>
  <c r="E119" i="22"/>
  <c r="E118" i="22"/>
  <c r="E117" i="22"/>
  <c r="E116" i="22"/>
  <c r="E115" i="22"/>
  <c r="E114" i="22"/>
  <c r="E113" i="22"/>
  <c r="E112" i="22"/>
  <c r="E111" i="22"/>
  <c r="E110" i="22"/>
  <c r="E109" i="22"/>
  <c r="E108" i="22"/>
  <c r="E107" i="22"/>
  <c r="E106" i="22"/>
  <c r="E105" i="22"/>
  <c r="E104" i="22"/>
  <c r="E103" i="22"/>
  <c r="E102" i="22"/>
  <c r="E101" i="22"/>
  <c r="E100" i="22"/>
  <c r="E99" i="22"/>
  <c r="E98" i="22"/>
  <c r="E97" i="22"/>
  <c r="E96" i="22"/>
  <c r="E95" i="22"/>
  <c r="E94" i="22"/>
  <c r="E93" i="22"/>
  <c r="E92" i="22"/>
  <c r="E91" i="22"/>
  <c r="E90" i="22"/>
  <c r="E89" i="22"/>
  <c r="E88" i="22"/>
  <c r="E87" i="22"/>
  <c r="E86" i="22"/>
  <c r="E85" i="22"/>
  <c r="E84" i="22"/>
  <c r="E83" i="22"/>
  <c r="E82" i="22"/>
  <c r="E81" i="22"/>
  <c r="E80" i="22"/>
  <c r="E79" i="22"/>
  <c r="E78" i="22"/>
  <c r="E77" i="22"/>
  <c r="E76" i="22"/>
  <c r="E75" i="22"/>
  <c r="E74" i="22"/>
  <c r="E73" i="22"/>
  <c r="E72" i="22"/>
  <c r="E71" i="22"/>
  <c r="E70" i="22"/>
  <c r="E69" i="22"/>
  <c r="E68" i="22"/>
  <c r="E67" i="22"/>
  <c r="E66" i="22"/>
  <c r="E65" i="22"/>
  <c r="E64" i="22"/>
  <c r="E63" i="22"/>
  <c r="E62" i="22"/>
  <c r="E61" i="22"/>
  <c r="E60" i="22"/>
  <c r="E59" i="22"/>
  <c r="E58" i="22"/>
  <c r="E57" i="22"/>
  <c r="E56" i="22"/>
  <c r="E55" i="22"/>
  <c r="E54" i="22"/>
  <c r="E53" i="22"/>
  <c r="E52" i="22"/>
  <c r="E51" i="22"/>
  <c r="E50" i="22"/>
  <c r="E49" i="22"/>
  <c r="E48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293" i="20"/>
  <c r="E292" i="20"/>
  <c r="E291" i="20"/>
  <c r="E290" i="20"/>
  <c r="E289" i="20"/>
  <c r="E288" i="20"/>
  <c r="E287" i="20"/>
  <c r="E286" i="20"/>
  <c r="E285" i="20"/>
  <c r="E284" i="20"/>
  <c r="E283" i="20"/>
  <c r="E282" i="20"/>
  <c r="E281" i="20"/>
  <c r="E280" i="20"/>
  <c r="E279" i="20"/>
  <c r="E278" i="20"/>
  <c r="E277" i="20"/>
  <c r="E276" i="20"/>
  <c r="E275" i="20"/>
  <c r="E274" i="20"/>
  <c r="E273" i="20"/>
  <c r="E272" i="20"/>
  <c r="E271" i="20"/>
  <c r="E270" i="20"/>
  <c r="E269" i="20"/>
  <c r="E268" i="20"/>
  <c r="E267" i="20"/>
  <c r="E266" i="20"/>
  <c r="E265" i="20"/>
  <c r="E264" i="20"/>
  <c r="E263" i="20"/>
  <c r="E262" i="20"/>
  <c r="E261" i="20"/>
  <c r="E260" i="20"/>
  <c r="E259" i="20"/>
  <c r="E258" i="20"/>
  <c r="E257" i="20"/>
  <c r="E256" i="20"/>
  <c r="E255" i="20"/>
  <c r="E254" i="20"/>
  <c r="E253" i="20"/>
  <c r="E252" i="20"/>
  <c r="E251" i="20"/>
  <c r="E250" i="20"/>
  <c r="E249" i="20"/>
  <c r="E248" i="20"/>
  <c r="E247" i="20"/>
  <c r="E246" i="20"/>
  <c r="E245" i="20"/>
  <c r="E244" i="20"/>
  <c r="E243" i="20"/>
  <c r="E242" i="20"/>
  <c r="E241" i="20"/>
  <c r="E240" i="20"/>
  <c r="E239" i="20"/>
  <c r="E238" i="20"/>
  <c r="E237" i="20"/>
  <c r="E236" i="20"/>
  <c r="E235" i="20"/>
  <c r="E234" i="20"/>
  <c r="E233" i="20"/>
  <c r="E232" i="20"/>
  <c r="E231" i="20"/>
  <c r="E230" i="20"/>
  <c r="E229" i="20"/>
  <c r="E228" i="20"/>
  <c r="E227" i="20"/>
  <c r="E226" i="20"/>
  <c r="E225" i="20"/>
  <c r="E224" i="20"/>
  <c r="E223" i="20"/>
  <c r="E222" i="20"/>
  <c r="E221" i="20"/>
  <c r="E220" i="20"/>
  <c r="E219" i="20"/>
  <c r="E218" i="20"/>
  <c r="E217" i="20"/>
  <c r="E216" i="20"/>
  <c r="E215" i="20"/>
  <c r="E214" i="20"/>
  <c r="E213" i="20"/>
  <c r="E212" i="20"/>
  <c r="E211" i="20"/>
  <c r="E210" i="20"/>
  <c r="E209" i="20"/>
  <c r="E208" i="20"/>
  <c r="E207" i="20"/>
  <c r="E206" i="20"/>
  <c r="E205" i="20"/>
  <c r="E204" i="20"/>
  <c r="E203" i="20"/>
  <c r="E202" i="20"/>
  <c r="E201" i="20"/>
  <c r="E200" i="20"/>
  <c r="E199" i="20"/>
  <c r="E198" i="20"/>
  <c r="E197" i="20"/>
  <c r="E196" i="20"/>
  <c r="E195" i="20"/>
  <c r="E194" i="20"/>
  <c r="E193" i="20"/>
  <c r="E192" i="20"/>
  <c r="E191" i="20"/>
  <c r="E190" i="20"/>
  <c r="E189" i="20"/>
  <c r="E188" i="20"/>
  <c r="E187" i="20"/>
  <c r="E186" i="20"/>
  <c r="E185" i="20"/>
  <c r="E184" i="20"/>
  <c r="E183" i="20"/>
  <c r="E182" i="20"/>
  <c r="E181" i="20"/>
  <c r="E180" i="20"/>
  <c r="E179" i="20"/>
  <c r="E178" i="20"/>
  <c r="E177" i="20"/>
  <c r="E176" i="20"/>
  <c r="E175" i="20"/>
  <c r="E174" i="20"/>
  <c r="E173" i="20"/>
  <c r="E172" i="20"/>
  <c r="E171" i="20"/>
  <c r="E170" i="20"/>
  <c r="E169" i="20"/>
  <c r="E168" i="20"/>
  <c r="E167" i="20"/>
  <c r="E166" i="20"/>
  <c r="E165" i="20"/>
  <c r="E164" i="20"/>
  <c r="E163" i="20"/>
  <c r="E162" i="20"/>
  <c r="E161" i="20"/>
  <c r="E160" i="20"/>
  <c r="E159" i="20"/>
  <c r="E158" i="20"/>
  <c r="E157" i="20"/>
  <c r="E156" i="20"/>
  <c r="E155" i="20"/>
  <c r="E154" i="20"/>
  <c r="E153" i="20"/>
  <c r="E152" i="20"/>
  <c r="E151" i="20"/>
  <c r="E150" i="20"/>
  <c r="E149" i="20"/>
  <c r="E148" i="20"/>
  <c r="E147" i="20"/>
  <c r="E146" i="20"/>
  <c r="E145" i="20"/>
  <c r="E144" i="20"/>
  <c r="E143" i="20"/>
  <c r="E142" i="20"/>
  <c r="E141" i="20"/>
  <c r="E140" i="20"/>
  <c r="E139" i="20"/>
  <c r="E138" i="20"/>
  <c r="E137" i="20"/>
  <c r="E136" i="20"/>
  <c r="E135" i="20"/>
  <c r="E134" i="20"/>
  <c r="E133" i="20"/>
  <c r="E132" i="20"/>
  <c r="E131" i="20"/>
  <c r="E130" i="20"/>
  <c r="E129" i="20"/>
  <c r="E128" i="20"/>
  <c r="E127" i="20"/>
  <c r="E126" i="20"/>
  <c r="E125" i="20"/>
  <c r="E124" i="20"/>
  <c r="E123" i="20"/>
  <c r="E122" i="20"/>
  <c r="E121" i="20"/>
  <c r="E120" i="20"/>
  <c r="E119" i="20"/>
  <c r="E118" i="20"/>
  <c r="E117" i="20"/>
  <c r="E116" i="20"/>
  <c r="E115" i="20"/>
  <c r="E114" i="20"/>
  <c r="E113" i="20"/>
  <c r="E112" i="20"/>
  <c r="E111" i="20"/>
  <c r="E110" i="20"/>
  <c r="E109" i="20"/>
  <c r="E108" i="20"/>
  <c r="E107" i="20"/>
  <c r="E106" i="20"/>
  <c r="E105" i="20"/>
  <c r="E104" i="20"/>
  <c r="E103" i="20"/>
  <c r="E102" i="20"/>
  <c r="E101" i="20"/>
  <c r="E100" i="20"/>
  <c r="E99" i="20"/>
  <c r="E98" i="20"/>
  <c r="E97" i="20"/>
  <c r="E96" i="20"/>
  <c r="E95" i="20"/>
  <c r="E94" i="20"/>
  <c r="E93" i="20"/>
  <c r="E92" i="20"/>
  <c r="E91" i="20"/>
  <c r="E90" i="20"/>
  <c r="E89" i="20"/>
  <c r="E88" i="20"/>
  <c r="E87" i="20"/>
  <c r="E86" i="20"/>
  <c r="E85" i="20"/>
  <c r="E84" i="20"/>
  <c r="E83" i="20"/>
  <c r="E82" i="20"/>
  <c r="E81" i="20"/>
  <c r="E80" i="20"/>
  <c r="E79" i="20"/>
  <c r="E78" i="20"/>
  <c r="E77" i="20"/>
  <c r="E76" i="20"/>
  <c r="E75" i="20"/>
  <c r="E74" i="20"/>
  <c r="E73" i="20"/>
  <c r="E72" i="20"/>
  <c r="E71" i="20"/>
  <c r="E70" i="20"/>
  <c r="E69" i="20"/>
  <c r="E68" i="20"/>
  <c r="E67" i="20"/>
  <c r="E66" i="20"/>
  <c r="E65" i="20"/>
  <c r="E64" i="20"/>
  <c r="E63" i="20"/>
  <c r="E62" i="20"/>
  <c r="E61" i="20"/>
  <c r="E60" i="20"/>
  <c r="E59" i="20"/>
  <c r="E58" i="20"/>
  <c r="E57" i="20"/>
  <c r="E56" i="20"/>
  <c r="E55" i="20"/>
  <c r="E54" i="20"/>
  <c r="E53" i="20"/>
  <c r="E52" i="20"/>
  <c r="E51" i="20"/>
  <c r="E50" i="20"/>
  <c r="E49" i="20"/>
  <c r="E48" i="20"/>
  <c r="E47" i="20"/>
  <c r="E46" i="20"/>
  <c r="E45" i="20"/>
  <c r="E44" i="20"/>
  <c r="E43" i="20"/>
  <c r="E42" i="20"/>
  <c r="E41" i="20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174" i="13"/>
  <c r="E175" i="13"/>
  <c r="E176" i="13"/>
  <c r="E177" i="13"/>
  <c r="E178" i="13"/>
  <c r="E179" i="13"/>
  <c r="E180" i="13"/>
  <c r="E181" i="13"/>
  <c r="E182" i="13"/>
  <c r="E183" i="13"/>
  <c r="E184" i="13"/>
  <c r="E185" i="13"/>
  <c r="E186" i="13"/>
  <c r="E187" i="13"/>
  <c r="E188" i="13"/>
  <c r="E189" i="13"/>
  <c r="E190" i="13"/>
  <c r="E191" i="13"/>
  <c r="E192" i="13"/>
  <c r="E193" i="13"/>
  <c r="E194" i="13"/>
  <c r="E195" i="13"/>
  <c r="E196" i="13"/>
  <c r="E197" i="13"/>
  <c r="E198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32" i="13"/>
  <c r="E233" i="13"/>
  <c r="E234" i="13"/>
  <c r="E235" i="13"/>
  <c r="E236" i="13"/>
  <c r="E237" i="13"/>
  <c r="E238" i="13"/>
  <c r="E239" i="13"/>
  <c r="E240" i="13"/>
  <c r="E241" i="13"/>
  <c r="E242" i="13"/>
  <c r="E243" i="13"/>
  <c r="E244" i="13"/>
  <c r="E245" i="13"/>
  <c r="E246" i="13"/>
  <c r="E247" i="13"/>
  <c r="E248" i="13"/>
  <c r="E249" i="13"/>
  <c r="E250" i="13"/>
  <c r="E251" i="13"/>
  <c r="E252" i="13"/>
  <c r="E253" i="13"/>
  <c r="E254" i="13"/>
  <c r="E255" i="13"/>
  <c r="E256" i="13"/>
  <c r="E257" i="13"/>
  <c r="E258" i="13"/>
  <c r="E259" i="13"/>
  <c r="E260" i="13"/>
  <c r="E261" i="13"/>
  <c r="E262" i="13"/>
  <c r="E263" i="13"/>
  <c r="E264" i="13"/>
  <c r="E265" i="13"/>
  <c r="E266" i="13"/>
  <c r="E267" i="13"/>
  <c r="E268" i="13"/>
  <c r="E269" i="13"/>
  <c r="E270" i="13"/>
  <c r="E271" i="13"/>
  <c r="E272" i="13"/>
  <c r="E273" i="13"/>
  <c r="E274" i="13"/>
  <c r="E275" i="13"/>
  <c r="E276" i="13"/>
  <c r="E277" i="13"/>
  <c r="E278" i="13"/>
  <c r="E279" i="13"/>
  <c r="E280" i="13"/>
  <c r="E281" i="13"/>
  <c r="E282" i="13"/>
  <c r="E283" i="13"/>
  <c r="E284" i="13"/>
  <c r="E285" i="13"/>
  <c r="E286" i="13"/>
  <c r="E287" i="13"/>
  <c r="E288" i="13"/>
  <c r="E289" i="13"/>
  <c r="E290" i="13"/>
  <c r="E291" i="13"/>
  <c r="E292" i="13"/>
  <c r="E293" i="13"/>
  <c r="F2" i="21"/>
  <c r="F2" i="22"/>
  <c r="F2" i="20"/>
  <c r="F2" i="13"/>
  <c r="Q521" i="40" l="1"/>
  <c r="T521" i="40" s="1"/>
  <c r="Q529" i="40"/>
  <c r="U529" i="40" s="1"/>
  <c r="Q496" i="40"/>
  <c r="R496" i="40" s="1"/>
  <c r="Q404" i="40"/>
  <c r="R404" i="40" s="1"/>
  <c r="Q514" i="40"/>
  <c r="S514" i="40" s="1"/>
  <c r="Q497" i="40"/>
  <c r="S497" i="40" s="1"/>
  <c r="Q381" i="40"/>
  <c r="S381" i="40" s="1"/>
  <c r="Q507" i="40"/>
  <c r="T507" i="40" s="1"/>
  <c r="Q432" i="40"/>
  <c r="T432" i="40" s="1"/>
  <c r="Q520" i="40"/>
  <c r="U520" i="40" s="1"/>
  <c r="Q513" i="40"/>
  <c r="T513" i="40" s="1"/>
  <c r="Q462" i="40"/>
  <c r="S462" i="40" s="1"/>
  <c r="Q510" i="40"/>
  <c r="S510" i="40" s="1"/>
  <c r="Q441" i="40"/>
  <c r="S441" i="40" s="1"/>
  <c r="Q530" i="40"/>
  <c r="S530" i="40" s="1"/>
  <c r="Q396" i="40"/>
  <c r="R396" i="40" s="1"/>
  <c r="Q445" i="40"/>
  <c r="U445" i="40" s="1"/>
  <c r="Q515" i="40"/>
  <c r="R515" i="40" s="1"/>
  <c r="Q428" i="40"/>
  <c r="T428" i="40" s="1"/>
  <c r="Q467" i="40"/>
  <c r="T467" i="40" s="1"/>
  <c r="K272" i="13"/>
  <c r="L272" i="13" a="1"/>
  <c r="L272" i="13" s="1"/>
  <c r="K240" i="13"/>
  <c r="L240" i="13" a="1"/>
  <c r="L240" i="13" s="1"/>
  <c r="K200" i="13"/>
  <c r="L200" i="13" a="1"/>
  <c r="L200" i="13" s="1"/>
  <c r="K152" i="13"/>
  <c r="L152" i="13" a="1"/>
  <c r="L152" i="13" s="1"/>
  <c r="K104" i="13"/>
  <c r="L104" i="13" a="1"/>
  <c r="L104" i="13" s="1"/>
  <c r="K72" i="13"/>
  <c r="L72" i="13" a="1"/>
  <c r="L72" i="13" s="1"/>
  <c r="K24" i="13"/>
  <c r="L24" i="13" a="1"/>
  <c r="L24" i="13" s="1"/>
  <c r="K28" i="20"/>
  <c r="L28" i="20" a="1"/>
  <c r="L28" i="20" s="1"/>
  <c r="K60" i="20"/>
  <c r="L60" i="20" a="1"/>
  <c r="L60" i="20" s="1"/>
  <c r="K100" i="20"/>
  <c r="L100" i="20" a="1"/>
  <c r="L100" i="20" s="1"/>
  <c r="K148" i="20"/>
  <c r="L148" i="20" a="1"/>
  <c r="L148" i="20" s="1"/>
  <c r="K188" i="20"/>
  <c r="L188" i="20" a="1"/>
  <c r="L188" i="20" s="1"/>
  <c r="K228" i="20"/>
  <c r="L228" i="20" a="1"/>
  <c r="L228" i="20" s="1"/>
  <c r="K276" i="20"/>
  <c r="L276" i="20" a="1"/>
  <c r="L276" i="20" s="1"/>
  <c r="K28" i="22"/>
  <c r="L28" i="22" a="1"/>
  <c r="L28" i="22" s="1"/>
  <c r="K68" i="22"/>
  <c r="L68" i="22" a="1"/>
  <c r="L68" i="22" s="1"/>
  <c r="K108" i="22"/>
  <c r="L108" i="22" a="1"/>
  <c r="L108" i="22" s="1"/>
  <c r="K148" i="22"/>
  <c r="L148" i="22" a="1"/>
  <c r="L148" i="22" s="1"/>
  <c r="K188" i="22"/>
  <c r="L188" i="22" a="1"/>
  <c r="L188" i="22" s="1"/>
  <c r="K236" i="22"/>
  <c r="L236" i="22" a="1"/>
  <c r="L236" i="22" s="1"/>
  <c r="K276" i="22"/>
  <c r="L276" i="22" a="1"/>
  <c r="L276" i="22" s="1"/>
  <c r="K36" i="21"/>
  <c r="L36" i="21" a="1"/>
  <c r="L36" i="21" s="1"/>
  <c r="K68" i="21"/>
  <c r="L68" i="21" a="1"/>
  <c r="L68" i="21" s="1"/>
  <c r="K100" i="21"/>
  <c r="L100" i="21" a="1"/>
  <c r="L100" i="21" s="1"/>
  <c r="K148" i="21"/>
  <c r="L148" i="21" a="1"/>
  <c r="L148" i="21" s="1"/>
  <c r="K196" i="21"/>
  <c r="L196" i="21" a="1"/>
  <c r="L196" i="21" s="1"/>
  <c r="K244" i="21"/>
  <c r="L244" i="21" a="1"/>
  <c r="L244" i="21" s="1"/>
  <c r="K284" i="21"/>
  <c r="L284" i="21" a="1"/>
  <c r="L284" i="21" s="1"/>
  <c r="K271" i="13"/>
  <c r="L271" i="13" a="1"/>
  <c r="L271" i="13" s="1"/>
  <c r="K223" i="13"/>
  <c r="L223" i="13" a="1"/>
  <c r="L223" i="13" s="1"/>
  <c r="K175" i="13"/>
  <c r="L175" i="13" a="1"/>
  <c r="L175" i="13" s="1"/>
  <c r="K151" i="13"/>
  <c r="L151" i="13" a="1"/>
  <c r="L151" i="13" s="1"/>
  <c r="K119" i="13"/>
  <c r="L119" i="13" a="1"/>
  <c r="L119" i="13" s="1"/>
  <c r="K71" i="13"/>
  <c r="L71" i="13" a="1"/>
  <c r="L71" i="13" s="1"/>
  <c r="K23" i="13"/>
  <c r="L23" i="13" a="1"/>
  <c r="L23" i="13" s="1"/>
  <c r="K37" i="20"/>
  <c r="L37" i="20" a="1"/>
  <c r="L37" i="20" s="1"/>
  <c r="K69" i="20"/>
  <c r="L69" i="20" a="1"/>
  <c r="L69" i="20" s="1"/>
  <c r="K109" i="20"/>
  <c r="L109" i="20" a="1"/>
  <c r="L109" i="20" s="1"/>
  <c r="K157" i="20"/>
  <c r="L157" i="20" a="1"/>
  <c r="L157" i="20" s="1"/>
  <c r="K189" i="20"/>
  <c r="L189" i="20" a="1"/>
  <c r="L189" i="20" s="1"/>
  <c r="K237" i="20"/>
  <c r="L237" i="20" a="1"/>
  <c r="L237" i="20" s="1"/>
  <c r="K285" i="20"/>
  <c r="L285" i="20" a="1"/>
  <c r="L285" i="20" s="1"/>
  <c r="K45" i="22"/>
  <c r="L45" i="22" a="1"/>
  <c r="L45" i="22" s="1"/>
  <c r="K69" i="22"/>
  <c r="L69" i="22" a="1"/>
  <c r="L69" i="22" s="1"/>
  <c r="K117" i="22"/>
  <c r="L117" i="22" a="1"/>
  <c r="L117" i="22" s="1"/>
  <c r="K149" i="22"/>
  <c r="L149" i="22" a="1"/>
  <c r="L149" i="22" s="1"/>
  <c r="K189" i="22"/>
  <c r="L189" i="22" a="1"/>
  <c r="L189" i="22" s="1"/>
  <c r="K229" i="22"/>
  <c r="L229" i="22" a="1"/>
  <c r="L229" i="22" s="1"/>
  <c r="K253" i="22"/>
  <c r="L253" i="22" a="1"/>
  <c r="L253" i="22" s="1"/>
  <c r="K53" i="21"/>
  <c r="L53" i="21" a="1"/>
  <c r="L53" i="21" s="1"/>
  <c r="K85" i="21"/>
  <c r="L85" i="21" a="1"/>
  <c r="L85" i="21" s="1"/>
  <c r="K125" i="21"/>
  <c r="L125" i="21" a="1"/>
  <c r="L125" i="21" s="1"/>
  <c r="K149" i="21"/>
  <c r="L149" i="21" a="1"/>
  <c r="L149" i="21" s="1"/>
  <c r="K181" i="21"/>
  <c r="L181" i="21" a="1"/>
  <c r="L181" i="21" s="1"/>
  <c r="K221" i="21"/>
  <c r="L221" i="21" a="1"/>
  <c r="L221" i="21" s="1"/>
  <c r="K277" i="21"/>
  <c r="L277" i="21" a="1"/>
  <c r="L277" i="21" s="1"/>
  <c r="K286" i="13"/>
  <c r="L286" i="13" a="1"/>
  <c r="L286" i="13" s="1"/>
  <c r="K278" i="13"/>
  <c r="L278" i="13" a="1"/>
  <c r="L278" i="13" s="1"/>
  <c r="K270" i="13"/>
  <c r="L270" i="13" a="1"/>
  <c r="L270" i="13" s="1"/>
  <c r="K262" i="13"/>
  <c r="L262" i="13" a="1"/>
  <c r="L262" i="13" s="1"/>
  <c r="K254" i="13"/>
  <c r="L254" i="13" a="1"/>
  <c r="L254" i="13" s="1"/>
  <c r="K246" i="13"/>
  <c r="L246" i="13" a="1"/>
  <c r="L246" i="13" s="1"/>
  <c r="K238" i="13"/>
  <c r="L238" i="13" a="1"/>
  <c r="L238" i="13" s="1"/>
  <c r="K230" i="13"/>
  <c r="L230" i="13" a="1"/>
  <c r="L230" i="13" s="1"/>
  <c r="K222" i="13"/>
  <c r="L222" i="13" a="1"/>
  <c r="L222" i="13" s="1"/>
  <c r="K214" i="13"/>
  <c r="L214" i="13" a="1"/>
  <c r="L214" i="13" s="1"/>
  <c r="K206" i="13"/>
  <c r="L206" i="13" a="1"/>
  <c r="L206" i="13" s="1"/>
  <c r="K198" i="13"/>
  <c r="L198" i="13" a="1"/>
  <c r="L198" i="13" s="1"/>
  <c r="K190" i="13"/>
  <c r="L190" i="13" a="1"/>
  <c r="L190" i="13" s="1"/>
  <c r="K182" i="13"/>
  <c r="L182" i="13" a="1"/>
  <c r="L182" i="13" s="1"/>
  <c r="K174" i="13"/>
  <c r="L174" i="13" a="1"/>
  <c r="L174" i="13" s="1"/>
  <c r="K166" i="13"/>
  <c r="L166" i="13" a="1"/>
  <c r="L166" i="13" s="1"/>
  <c r="K158" i="13"/>
  <c r="L158" i="13" a="1"/>
  <c r="L158" i="13" s="1"/>
  <c r="K150" i="13"/>
  <c r="L150" i="13" a="1"/>
  <c r="L150" i="13" s="1"/>
  <c r="K142" i="13"/>
  <c r="L142" i="13" a="1"/>
  <c r="L142" i="13" s="1"/>
  <c r="K134" i="13"/>
  <c r="L134" i="13" a="1"/>
  <c r="L134" i="13" s="1"/>
  <c r="K126" i="13"/>
  <c r="L126" i="13" a="1"/>
  <c r="L126" i="13" s="1"/>
  <c r="K118" i="13"/>
  <c r="L118" i="13" a="1"/>
  <c r="L118" i="13" s="1"/>
  <c r="K110" i="13"/>
  <c r="L110" i="13" a="1"/>
  <c r="L110" i="13" s="1"/>
  <c r="K102" i="13"/>
  <c r="L102" i="13" a="1"/>
  <c r="L102" i="13" s="1"/>
  <c r="K94" i="13"/>
  <c r="L94" i="13" a="1"/>
  <c r="L94" i="13" s="1"/>
  <c r="K86" i="13"/>
  <c r="L86" i="13" a="1"/>
  <c r="L86" i="13" s="1"/>
  <c r="K78" i="13"/>
  <c r="L78" i="13" a="1"/>
  <c r="L78" i="13" s="1"/>
  <c r="K70" i="13"/>
  <c r="L70" i="13" a="1"/>
  <c r="L70" i="13" s="1"/>
  <c r="K62" i="13"/>
  <c r="L62" i="13" a="1"/>
  <c r="L62" i="13" s="1"/>
  <c r="K54" i="13"/>
  <c r="L54" i="13" a="1"/>
  <c r="L54" i="13" s="1"/>
  <c r="K46" i="13"/>
  <c r="L46" i="13" a="1"/>
  <c r="L46" i="13" s="1"/>
  <c r="K38" i="13"/>
  <c r="L38" i="13" a="1"/>
  <c r="L38" i="13" s="1"/>
  <c r="K30" i="13"/>
  <c r="L30" i="13" a="1"/>
  <c r="L30" i="13" s="1"/>
  <c r="K22" i="13"/>
  <c r="L22" i="13" a="1"/>
  <c r="L22" i="13" s="1"/>
  <c r="K14" i="13"/>
  <c r="L14" i="13" a="1"/>
  <c r="L14" i="13" s="1"/>
  <c r="K14" i="20"/>
  <c r="L14" i="20" a="1"/>
  <c r="L14" i="20" s="1"/>
  <c r="K22" i="20"/>
  <c r="L22" i="20" a="1"/>
  <c r="L22" i="20" s="1"/>
  <c r="K30" i="20"/>
  <c r="L30" i="20" a="1"/>
  <c r="L30" i="20" s="1"/>
  <c r="K38" i="20"/>
  <c r="L38" i="20" a="1"/>
  <c r="L38" i="20" s="1"/>
  <c r="K46" i="20"/>
  <c r="L46" i="20" a="1"/>
  <c r="L46" i="20" s="1"/>
  <c r="K54" i="20"/>
  <c r="L54" i="20" a="1"/>
  <c r="L54" i="20" s="1"/>
  <c r="K62" i="20"/>
  <c r="L62" i="20" a="1"/>
  <c r="L62" i="20" s="1"/>
  <c r="K70" i="20"/>
  <c r="L70" i="20" a="1"/>
  <c r="L70" i="20" s="1"/>
  <c r="K78" i="20"/>
  <c r="L78" i="20" a="1"/>
  <c r="L78" i="20" s="1"/>
  <c r="K86" i="20"/>
  <c r="L86" i="20" a="1"/>
  <c r="L86" i="20" s="1"/>
  <c r="K94" i="20"/>
  <c r="L94" i="20" a="1"/>
  <c r="L94" i="20" s="1"/>
  <c r="K102" i="20"/>
  <c r="L102" i="20" a="1"/>
  <c r="L102" i="20" s="1"/>
  <c r="K110" i="20"/>
  <c r="L110" i="20" a="1"/>
  <c r="L110" i="20" s="1"/>
  <c r="K118" i="20"/>
  <c r="L118" i="20" a="1"/>
  <c r="L118" i="20" s="1"/>
  <c r="K126" i="20"/>
  <c r="L126" i="20" a="1"/>
  <c r="L126" i="20" s="1"/>
  <c r="K134" i="20"/>
  <c r="L134" i="20" a="1"/>
  <c r="L134" i="20" s="1"/>
  <c r="K142" i="20"/>
  <c r="L142" i="20" a="1"/>
  <c r="L142" i="20" s="1"/>
  <c r="K150" i="20"/>
  <c r="L150" i="20" a="1"/>
  <c r="L150" i="20" s="1"/>
  <c r="K158" i="20"/>
  <c r="L158" i="20" a="1"/>
  <c r="L158" i="20" s="1"/>
  <c r="K166" i="20"/>
  <c r="L166" i="20" a="1"/>
  <c r="L166" i="20" s="1"/>
  <c r="K174" i="20"/>
  <c r="L174" i="20" a="1"/>
  <c r="L174" i="20" s="1"/>
  <c r="K182" i="20"/>
  <c r="L182" i="20" a="1"/>
  <c r="L182" i="20" s="1"/>
  <c r="K190" i="20"/>
  <c r="L190" i="20" a="1"/>
  <c r="L190" i="20" s="1"/>
  <c r="K198" i="20"/>
  <c r="L198" i="20" a="1"/>
  <c r="L198" i="20" s="1"/>
  <c r="K206" i="20"/>
  <c r="L206" i="20" a="1"/>
  <c r="L206" i="20" s="1"/>
  <c r="K214" i="20"/>
  <c r="L214" i="20" a="1"/>
  <c r="L214" i="20" s="1"/>
  <c r="K222" i="20"/>
  <c r="L222" i="20" a="1"/>
  <c r="L222" i="20" s="1"/>
  <c r="K230" i="20"/>
  <c r="L230" i="20" a="1"/>
  <c r="L230" i="20" s="1"/>
  <c r="K238" i="20"/>
  <c r="L238" i="20" a="1"/>
  <c r="L238" i="20" s="1"/>
  <c r="K246" i="20"/>
  <c r="L246" i="20" a="1"/>
  <c r="L246" i="20" s="1"/>
  <c r="K254" i="20"/>
  <c r="L254" i="20" a="1"/>
  <c r="L254" i="20" s="1"/>
  <c r="K262" i="20"/>
  <c r="L262" i="20" a="1"/>
  <c r="L262" i="20" s="1"/>
  <c r="K270" i="20"/>
  <c r="L270" i="20" a="1"/>
  <c r="L270" i="20" s="1"/>
  <c r="K278" i="20"/>
  <c r="L278" i="20" a="1"/>
  <c r="L278" i="20" s="1"/>
  <c r="K286" i="20"/>
  <c r="L286" i="20" a="1"/>
  <c r="L286" i="20" s="1"/>
  <c r="K6" i="22"/>
  <c r="L6" i="22" a="1"/>
  <c r="L6" i="22" s="1"/>
  <c r="K14" i="22"/>
  <c r="L14" i="22" a="1"/>
  <c r="L14" i="22" s="1"/>
  <c r="K22" i="22"/>
  <c r="L22" i="22" a="1"/>
  <c r="L22" i="22" s="1"/>
  <c r="K30" i="22"/>
  <c r="L30" i="22" a="1"/>
  <c r="L30" i="22" s="1"/>
  <c r="K38" i="22"/>
  <c r="L38" i="22" a="1"/>
  <c r="L38" i="22" s="1"/>
  <c r="K46" i="22"/>
  <c r="L46" i="22" a="1"/>
  <c r="L46" i="22" s="1"/>
  <c r="K54" i="22"/>
  <c r="L54" i="22" a="1"/>
  <c r="L54" i="22" s="1"/>
  <c r="K62" i="22"/>
  <c r="L62" i="22" a="1"/>
  <c r="L62" i="22" s="1"/>
  <c r="K70" i="22"/>
  <c r="L70" i="22" a="1"/>
  <c r="L70" i="22" s="1"/>
  <c r="K78" i="22"/>
  <c r="L78" i="22" a="1"/>
  <c r="L78" i="22" s="1"/>
  <c r="K86" i="22"/>
  <c r="L86" i="22" a="1"/>
  <c r="L86" i="22" s="1"/>
  <c r="K94" i="22"/>
  <c r="L94" i="22" a="1"/>
  <c r="L94" i="22" s="1"/>
  <c r="K102" i="22"/>
  <c r="L102" i="22" a="1"/>
  <c r="L102" i="22" s="1"/>
  <c r="K110" i="22"/>
  <c r="L110" i="22" a="1"/>
  <c r="L110" i="22" s="1"/>
  <c r="K118" i="22"/>
  <c r="L118" i="22" a="1"/>
  <c r="L118" i="22" s="1"/>
  <c r="K126" i="22"/>
  <c r="L126" i="22" a="1"/>
  <c r="L126" i="22" s="1"/>
  <c r="K134" i="22"/>
  <c r="L134" i="22" a="1"/>
  <c r="L134" i="22" s="1"/>
  <c r="K142" i="22"/>
  <c r="L142" i="22" a="1"/>
  <c r="L142" i="22" s="1"/>
  <c r="K150" i="22"/>
  <c r="L150" i="22" a="1"/>
  <c r="L150" i="22" s="1"/>
  <c r="K158" i="22"/>
  <c r="L158" i="22" a="1"/>
  <c r="L158" i="22" s="1"/>
  <c r="K166" i="22"/>
  <c r="L166" i="22" a="1"/>
  <c r="L166" i="22" s="1"/>
  <c r="K174" i="22"/>
  <c r="L174" i="22" a="1"/>
  <c r="L174" i="22" s="1"/>
  <c r="K182" i="22"/>
  <c r="L182" i="22" a="1"/>
  <c r="L182" i="22" s="1"/>
  <c r="K190" i="22"/>
  <c r="L190" i="22" a="1"/>
  <c r="L190" i="22" s="1"/>
  <c r="K198" i="22"/>
  <c r="L198" i="22" a="1"/>
  <c r="L198" i="22" s="1"/>
  <c r="K206" i="22"/>
  <c r="L206" i="22" a="1"/>
  <c r="L206" i="22" s="1"/>
  <c r="K214" i="22"/>
  <c r="L214" i="22" a="1"/>
  <c r="L214" i="22" s="1"/>
  <c r="K222" i="22"/>
  <c r="L222" i="22" a="1"/>
  <c r="L222" i="22" s="1"/>
  <c r="K230" i="22"/>
  <c r="L230" i="22" a="1"/>
  <c r="L230" i="22" s="1"/>
  <c r="K238" i="22"/>
  <c r="L238" i="22" a="1"/>
  <c r="L238" i="22" s="1"/>
  <c r="K246" i="22"/>
  <c r="L246" i="22" a="1"/>
  <c r="L246" i="22" s="1"/>
  <c r="K254" i="22"/>
  <c r="L254" i="22" a="1"/>
  <c r="L254" i="22" s="1"/>
  <c r="K262" i="22"/>
  <c r="L262" i="22" a="1"/>
  <c r="L262" i="22" s="1"/>
  <c r="K270" i="22"/>
  <c r="L270" i="22" a="1"/>
  <c r="L270" i="22" s="1"/>
  <c r="K278" i="22"/>
  <c r="L278" i="22" a="1"/>
  <c r="L278" i="22" s="1"/>
  <c r="K286" i="22"/>
  <c r="L286" i="22" a="1"/>
  <c r="L286" i="22" s="1"/>
  <c r="K6" i="21"/>
  <c r="L6" i="21" a="1"/>
  <c r="L6" i="21" s="1"/>
  <c r="K14" i="21"/>
  <c r="L14" i="21" a="1"/>
  <c r="L14" i="21" s="1"/>
  <c r="K22" i="21"/>
  <c r="L22" i="21" a="1"/>
  <c r="L22" i="21" s="1"/>
  <c r="K30" i="21"/>
  <c r="L30" i="21" a="1"/>
  <c r="L30" i="21" s="1"/>
  <c r="K38" i="21"/>
  <c r="L38" i="21" a="1"/>
  <c r="L38" i="21" s="1"/>
  <c r="K46" i="21"/>
  <c r="L46" i="21" a="1"/>
  <c r="L46" i="21" s="1"/>
  <c r="K54" i="21"/>
  <c r="L54" i="21" a="1"/>
  <c r="L54" i="21" s="1"/>
  <c r="K62" i="21"/>
  <c r="L62" i="21" a="1"/>
  <c r="L62" i="21" s="1"/>
  <c r="K70" i="21"/>
  <c r="L70" i="21" a="1"/>
  <c r="L70" i="21" s="1"/>
  <c r="K78" i="21"/>
  <c r="L78" i="21" a="1"/>
  <c r="L78" i="21" s="1"/>
  <c r="K86" i="21"/>
  <c r="L86" i="21" a="1"/>
  <c r="L86" i="21" s="1"/>
  <c r="K94" i="21"/>
  <c r="L94" i="21" a="1"/>
  <c r="L94" i="21" s="1"/>
  <c r="K102" i="21"/>
  <c r="L102" i="21" a="1"/>
  <c r="L102" i="21" s="1"/>
  <c r="K110" i="21"/>
  <c r="L110" i="21" a="1"/>
  <c r="L110" i="21" s="1"/>
  <c r="K118" i="21"/>
  <c r="L118" i="21" a="1"/>
  <c r="L118" i="21" s="1"/>
  <c r="K126" i="21"/>
  <c r="L126" i="21" a="1"/>
  <c r="L126" i="21" s="1"/>
  <c r="K134" i="21"/>
  <c r="L134" i="21" a="1"/>
  <c r="L134" i="21" s="1"/>
  <c r="K142" i="21"/>
  <c r="L142" i="21" a="1"/>
  <c r="L142" i="21" s="1"/>
  <c r="K150" i="21"/>
  <c r="L150" i="21" a="1"/>
  <c r="L150" i="21" s="1"/>
  <c r="K158" i="21"/>
  <c r="L158" i="21" a="1"/>
  <c r="L158" i="21" s="1"/>
  <c r="K166" i="21"/>
  <c r="L166" i="21" a="1"/>
  <c r="L166" i="21" s="1"/>
  <c r="K174" i="21"/>
  <c r="L174" i="21" a="1"/>
  <c r="L174" i="21" s="1"/>
  <c r="K182" i="21"/>
  <c r="L182" i="21" a="1"/>
  <c r="L182" i="21" s="1"/>
  <c r="K190" i="21"/>
  <c r="L190" i="21" a="1"/>
  <c r="L190" i="21" s="1"/>
  <c r="K198" i="21"/>
  <c r="L198" i="21" a="1"/>
  <c r="L198" i="21" s="1"/>
  <c r="K206" i="21"/>
  <c r="L206" i="21" a="1"/>
  <c r="L206" i="21" s="1"/>
  <c r="K214" i="21"/>
  <c r="L214" i="21" a="1"/>
  <c r="L214" i="21" s="1"/>
  <c r="K222" i="21"/>
  <c r="L222" i="21" a="1"/>
  <c r="L222" i="21" s="1"/>
  <c r="K230" i="21"/>
  <c r="L230" i="21" a="1"/>
  <c r="L230" i="21" s="1"/>
  <c r="K238" i="21"/>
  <c r="L238" i="21" a="1"/>
  <c r="L238" i="21" s="1"/>
  <c r="K246" i="21"/>
  <c r="L246" i="21" a="1"/>
  <c r="L246" i="21" s="1"/>
  <c r="K254" i="21"/>
  <c r="L254" i="21" a="1"/>
  <c r="L254" i="21" s="1"/>
  <c r="K262" i="21"/>
  <c r="L262" i="21" a="1"/>
  <c r="L262" i="21" s="1"/>
  <c r="K270" i="21"/>
  <c r="L270" i="21" a="1"/>
  <c r="L270" i="21" s="1"/>
  <c r="K278" i="21"/>
  <c r="L278" i="21" a="1"/>
  <c r="L278" i="21" s="1"/>
  <c r="K286" i="21"/>
  <c r="L286" i="21" a="1"/>
  <c r="L286" i="21" s="1"/>
  <c r="K288" i="13"/>
  <c r="L288" i="13" a="1"/>
  <c r="L288" i="13" s="1"/>
  <c r="K232" i="13"/>
  <c r="L232" i="13" a="1"/>
  <c r="L232" i="13" s="1"/>
  <c r="K184" i="13"/>
  <c r="L184" i="13" a="1"/>
  <c r="L184" i="13" s="1"/>
  <c r="K136" i="13"/>
  <c r="L136" i="13" a="1"/>
  <c r="L136" i="13" s="1"/>
  <c r="K80" i="13"/>
  <c r="L80" i="13" a="1"/>
  <c r="L80" i="13" s="1"/>
  <c r="K32" i="13"/>
  <c r="L32" i="13" a="1"/>
  <c r="L32" i="13" s="1"/>
  <c r="K36" i="20"/>
  <c r="L36" i="20" a="1"/>
  <c r="L36" i="20" s="1"/>
  <c r="K76" i="20"/>
  <c r="L76" i="20" a="1"/>
  <c r="L76" i="20" s="1"/>
  <c r="K124" i="20"/>
  <c r="L124" i="20" a="1"/>
  <c r="L124" i="20" s="1"/>
  <c r="K172" i="20"/>
  <c r="L172" i="20" a="1"/>
  <c r="L172" i="20" s="1"/>
  <c r="K220" i="20"/>
  <c r="L220" i="20" a="1"/>
  <c r="L220" i="20" s="1"/>
  <c r="K268" i="20"/>
  <c r="L268" i="20" a="1"/>
  <c r="L268" i="20" s="1"/>
  <c r="K36" i="22"/>
  <c r="L36" i="22" a="1"/>
  <c r="L36" i="22" s="1"/>
  <c r="K84" i="22"/>
  <c r="L84" i="22" a="1"/>
  <c r="L84" i="22" s="1"/>
  <c r="K132" i="22"/>
  <c r="L132" i="22" a="1"/>
  <c r="L132" i="22" s="1"/>
  <c r="K180" i="22"/>
  <c r="L180" i="22" a="1"/>
  <c r="L180" i="22" s="1"/>
  <c r="K228" i="22"/>
  <c r="L228" i="22" a="1"/>
  <c r="L228" i="22" s="1"/>
  <c r="K284" i="22"/>
  <c r="L284" i="22" a="1"/>
  <c r="L284" i="22" s="1"/>
  <c r="K44" i="21"/>
  <c r="L44" i="21" a="1"/>
  <c r="L44" i="21" s="1"/>
  <c r="K92" i="21"/>
  <c r="L92" i="21" a="1"/>
  <c r="L92" i="21" s="1"/>
  <c r="K140" i="21"/>
  <c r="L140" i="21" a="1"/>
  <c r="L140" i="21" s="1"/>
  <c r="K188" i="21"/>
  <c r="L188" i="21" a="1"/>
  <c r="L188" i="21" s="1"/>
  <c r="K236" i="21"/>
  <c r="L236" i="21" a="1"/>
  <c r="L236" i="21" s="1"/>
  <c r="K292" i="21"/>
  <c r="L292" i="21" a="1"/>
  <c r="L292" i="21" s="1"/>
  <c r="K255" i="13"/>
  <c r="L255" i="13" a="1"/>
  <c r="L255" i="13" s="1"/>
  <c r="K215" i="13"/>
  <c r="L215" i="13" a="1"/>
  <c r="L215" i="13" s="1"/>
  <c r="K159" i="13"/>
  <c r="L159" i="13" a="1"/>
  <c r="L159" i="13" s="1"/>
  <c r="K103" i="13"/>
  <c r="L103" i="13" a="1"/>
  <c r="L103" i="13" s="1"/>
  <c r="K63" i="13"/>
  <c r="L63" i="13" a="1"/>
  <c r="L63" i="13" s="1"/>
  <c r="K53" i="20"/>
  <c r="L53" i="20" a="1"/>
  <c r="L53" i="20" s="1"/>
  <c r="K101" i="20"/>
  <c r="L101" i="20" a="1"/>
  <c r="L101" i="20" s="1"/>
  <c r="K149" i="20"/>
  <c r="L149" i="20" a="1"/>
  <c r="L149" i="20" s="1"/>
  <c r="K205" i="20"/>
  <c r="L205" i="20" a="1"/>
  <c r="L205" i="20" s="1"/>
  <c r="K245" i="20"/>
  <c r="L245" i="20" a="1"/>
  <c r="L245" i="20" s="1"/>
  <c r="K293" i="20"/>
  <c r="L293" i="20" a="1"/>
  <c r="L293" i="20" s="1"/>
  <c r="K53" i="22"/>
  <c r="L53" i="22" a="1"/>
  <c r="L53" i="22" s="1"/>
  <c r="K109" i="22"/>
  <c r="L109" i="22" a="1"/>
  <c r="L109" i="22" s="1"/>
  <c r="K157" i="22"/>
  <c r="L157" i="22" a="1"/>
  <c r="L157" i="22" s="1"/>
  <c r="K197" i="22"/>
  <c r="L197" i="22" a="1"/>
  <c r="L197" i="22" s="1"/>
  <c r="K237" i="22"/>
  <c r="L237" i="22" a="1"/>
  <c r="L237" i="22" s="1"/>
  <c r="K277" i="22"/>
  <c r="L277" i="22" a="1"/>
  <c r="L277" i="22" s="1"/>
  <c r="K29" i="21"/>
  <c r="L29" i="21" a="1"/>
  <c r="L29" i="21" s="1"/>
  <c r="K77" i="21"/>
  <c r="L77" i="21" a="1"/>
  <c r="L77" i="21" s="1"/>
  <c r="K101" i="21"/>
  <c r="L101" i="21" a="1"/>
  <c r="L101" i="21" s="1"/>
  <c r="K141" i="21"/>
  <c r="L141" i="21" a="1"/>
  <c r="L141" i="21" s="1"/>
  <c r="K189" i="21"/>
  <c r="L189" i="21" a="1"/>
  <c r="L189" i="21" s="1"/>
  <c r="K229" i="21"/>
  <c r="L229" i="21" a="1"/>
  <c r="L229" i="21" s="1"/>
  <c r="K261" i="21"/>
  <c r="L261" i="21" a="1"/>
  <c r="L261" i="21" s="1"/>
  <c r="K285" i="13"/>
  <c r="L285" i="13" a="1"/>
  <c r="L285" i="13" s="1"/>
  <c r="K245" i="13"/>
  <c r="L245" i="13" a="1"/>
  <c r="L245" i="13" s="1"/>
  <c r="K205" i="13"/>
  <c r="L205" i="13" a="1"/>
  <c r="L205" i="13" s="1"/>
  <c r="K165" i="13"/>
  <c r="L165" i="13" a="1"/>
  <c r="L165" i="13" s="1"/>
  <c r="K141" i="13"/>
  <c r="L141" i="13" a="1"/>
  <c r="L141" i="13" s="1"/>
  <c r="K109" i="13"/>
  <c r="L109" i="13" a="1"/>
  <c r="L109" i="13" s="1"/>
  <c r="K101" i="13"/>
  <c r="L101" i="13" a="1"/>
  <c r="L101" i="13" s="1"/>
  <c r="K93" i="13"/>
  <c r="L93" i="13" a="1"/>
  <c r="L93" i="13" s="1"/>
  <c r="K85" i="13"/>
  <c r="L85" i="13" a="1"/>
  <c r="L85" i="13" s="1"/>
  <c r="K77" i="13"/>
  <c r="L77" i="13" a="1"/>
  <c r="L77" i="13" s="1"/>
  <c r="K69" i="13"/>
  <c r="L69" i="13" a="1"/>
  <c r="L69" i="13" s="1"/>
  <c r="K61" i="13"/>
  <c r="L61" i="13" a="1"/>
  <c r="L61" i="13" s="1"/>
  <c r="K53" i="13"/>
  <c r="L53" i="13" a="1"/>
  <c r="L53" i="13" s="1"/>
  <c r="K45" i="13"/>
  <c r="L45" i="13" a="1"/>
  <c r="L45" i="13" s="1"/>
  <c r="K37" i="13"/>
  <c r="L37" i="13" a="1"/>
  <c r="L37" i="13" s="1"/>
  <c r="K29" i="13"/>
  <c r="L29" i="13" a="1"/>
  <c r="L29" i="13" s="1"/>
  <c r="K21" i="13"/>
  <c r="L21" i="13" a="1"/>
  <c r="L21" i="13" s="1"/>
  <c r="K13" i="13"/>
  <c r="L13" i="13" a="1"/>
  <c r="L13" i="13" s="1"/>
  <c r="K15" i="20"/>
  <c r="L15" i="20" a="1"/>
  <c r="L15" i="20" s="1"/>
  <c r="K23" i="20"/>
  <c r="L23" i="20" a="1"/>
  <c r="L23" i="20" s="1"/>
  <c r="K31" i="20"/>
  <c r="L31" i="20" a="1"/>
  <c r="L31" i="20" s="1"/>
  <c r="K39" i="20"/>
  <c r="L39" i="20" a="1"/>
  <c r="L39" i="20" s="1"/>
  <c r="K47" i="20"/>
  <c r="L47" i="20" a="1"/>
  <c r="L47" i="20" s="1"/>
  <c r="K55" i="20"/>
  <c r="L55" i="20" a="1"/>
  <c r="L55" i="20" s="1"/>
  <c r="K63" i="20"/>
  <c r="L63" i="20" a="1"/>
  <c r="L63" i="20" s="1"/>
  <c r="K71" i="20"/>
  <c r="L71" i="20" a="1"/>
  <c r="L71" i="20" s="1"/>
  <c r="K79" i="20"/>
  <c r="L79" i="20" a="1"/>
  <c r="L79" i="20" s="1"/>
  <c r="K87" i="20"/>
  <c r="L87" i="20" a="1"/>
  <c r="L87" i="20" s="1"/>
  <c r="K95" i="20"/>
  <c r="L95" i="20" a="1"/>
  <c r="L95" i="20" s="1"/>
  <c r="K103" i="20"/>
  <c r="L103" i="20" a="1"/>
  <c r="L103" i="20" s="1"/>
  <c r="K111" i="20"/>
  <c r="L111" i="20" a="1"/>
  <c r="L111" i="20" s="1"/>
  <c r="K119" i="20"/>
  <c r="L119" i="20" a="1"/>
  <c r="L119" i="20" s="1"/>
  <c r="K127" i="20"/>
  <c r="L127" i="20" a="1"/>
  <c r="L127" i="20" s="1"/>
  <c r="K135" i="20"/>
  <c r="L135" i="20" a="1"/>
  <c r="L135" i="20" s="1"/>
  <c r="K143" i="20"/>
  <c r="L143" i="20" a="1"/>
  <c r="L143" i="20" s="1"/>
  <c r="K151" i="20"/>
  <c r="L151" i="20" a="1"/>
  <c r="L151" i="20" s="1"/>
  <c r="K159" i="20"/>
  <c r="L159" i="20" a="1"/>
  <c r="L159" i="20" s="1"/>
  <c r="K167" i="20"/>
  <c r="L167" i="20" a="1"/>
  <c r="L167" i="20" s="1"/>
  <c r="K175" i="20"/>
  <c r="L175" i="20" a="1"/>
  <c r="L175" i="20" s="1"/>
  <c r="K183" i="20"/>
  <c r="L183" i="20" a="1"/>
  <c r="L183" i="20" s="1"/>
  <c r="K191" i="20"/>
  <c r="L191" i="20" a="1"/>
  <c r="L191" i="20" s="1"/>
  <c r="K199" i="20"/>
  <c r="L199" i="20" a="1"/>
  <c r="L199" i="20" s="1"/>
  <c r="K207" i="20"/>
  <c r="L207" i="20" a="1"/>
  <c r="L207" i="20" s="1"/>
  <c r="K215" i="20"/>
  <c r="L215" i="20" a="1"/>
  <c r="L215" i="20" s="1"/>
  <c r="K223" i="20"/>
  <c r="L223" i="20" a="1"/>
  <c r="L223" i="20" s="1"/>
  <c r="K231" i="20"/>
  <c r="L231" i="20" a="1"/>
  <c r="L231" i="20" s="1"/>
  <c r="K239" i="20"/>
  <c r="L239" i="20" a="1"/>
  <c r="L239" i="20" s="1"/>
  <c r="K247" i="20"/>
  <c r="L247" i="20" a="1"/>
  <c r="L247" i="20" s="1"/>
  <c r="K255" i="20"/>
  <c r="L255" i="20" a="1"/>
  <c r="L255" i="20" s="1"/>
  <c r="K263" i="20"/>
  <c r="L263" i="20" a="1"/>
  <c r="L263" i="20" s="1"/>
  <c r="K271" i="20"/>
  <c r="L271" i="20" a="1"/>
  <c r="L271" i="20" s="1"/>
  <c r="K279" i="20"/>
  <c r="L279" i="20" a="1"/>
  <c r="L279" i="20" s="1"/>
  <c r="K287" i="20"/>
  <c r="L287" i="20" a="1"/>
  <c r="L287" i="20" s="1"/>
  <c r="K7" i="22"/>
  <c r="L7" i="22" a="1"/>
  <c r="L7" i="22" s="1"/>
  <c r="K15" i="22"/>
  <c r="L15" i="22" a="1"/>
  <c r="L15" i="22" s="1"/>
  <c r="K23" i="22"/>
  <c r="L23" i="22" a="1"/>
  <c r="L23" i="22" s="1"/>
  <c r="K31" i="22"/>
  <c r="L31" i="22" a="1"/>
  <c r="L31" i="22" s="1"/>
  <c r="K39" i="22"/>
  <c r="L39" i="22" a="1"/>
  <c r="L39" i="22" s="1"/>
  <c r="K47" i="22"/>
  <c r="L47" i="22" a="1"/>
  <c r="L47" i="22" s="1"/>
  <c r="K55" i="22"/>
  <c r="L55" i="22" a="1"/>
  <c r="L55" i="22" s="1"/>
  <c r="K63" i="22"/>
  <c r="L63" i="22" a="1"/>
  <c r="L63" i="22" s="1"/>
  <c r="K71" i="22"/>
  <c r="L71" i="22" a="1"/>
  <c r="L71" i="22" s="1"/>
  <c r="K79" i="22"/>
  <c r="L79" i="22" a="1"/>
  <c r="L79" i="22" s="1"/>
  <c r="K87" i="22"/>
  <c r="L87" i="22" a="1"/>
  <c r="L87" i="22" s="1"/>
  <c r="K95" i="22"/>
  <c r="L95" i="22" a="1"/>
  <c r="L95" i="22" s="1"/>
  <c r="K103" i="22"/>
  <c r="L103" i="22" a="1"/>
  <c r="L103" i="22" s="1"/>
  <c r="K111" i="22"/>
  <c r="L111" i="22" a="1"/>
  <c r="L111" i="22" s="1"/>
  <c r="K119" i="22"/>
  <c r="L119" i="22" a="1"/>
  <c r="L119" i="22" s="1"/>
  <c r="K127" i="22"/>
  <c r="L127" i="22" a="1"/>
  <c r="L127" i="22" s="1"/>
  <c r="K135" i="22"/>
  <c r="L135" i="22" a="1"/>
  <c r="L135" i="22" s="1"/>
  <c r="K143" i="22"/>
  <c r="L143" i="22" a="1"/>
  <c r="L143" i="22" s="1"/>
  <c r="K151" i="22"/>
  <c r="L151" i="22" a="1"/>
  <c r="L151" i="22" s="1"/>
  <c r="K159" i="22"/>
  <c r="L159" i="22" a="1"/>
  <c r="L159" i="22" s="1"/>
  <c r="K167" i="22"/>
  <c r="L167" i="22" a="1"/>
  <c r="L167" i="22" s="1"/>
  <c r="K175" i="22"/>
  <c r="L175" i="22" a="1"/>
  <c r="L175" i="22" s="1"/>
  <c r="K183" i="22"/>
  <c r="L183" i="22" a="1"/>
  <c r="L183" i="22" s="1"/>
  <c r="K191" i="22"/>
  <c r="L191" i="22" a="1"/>
  <c r="L191" i="22" s="1"/>
  <c r="K199" i="22"/>
  <c r="L199" i="22" a="1"/>
  <c r="L199" i="22" s="1"/>
  <c r="K207" i="22"/>
  <c r="L207" i="22" a="1"/>
  <c r="L207" i="22" s="1"/>
  <c r="K215" i="22"/>
  <c r="L215" i="22" a="1"/>
  <c r="L215" i="22" s="1"/>
  <c r="K223" i="22"/>
  <c r="L223" i="22" a="1"/>
  <c r="L223" i="22" s="1"/>
  <c r="K231" i="22"/>
  <c r="L231" i="22" a="1"/>
  <c r="L231" i="22" s="1"/>
  <c r="K239" i="22"/>
  <c r="L239" i="22" a="1"/>
  <c r="L239" i="22" s="1"/>
  <c r="K247" i="22"/>
  <c r="L247" i="22" a="1"/>
  <c r="L247" i="22" s="1"/>
  <c r="K255" i="22"/>
  <c r="L255" i="22" a="1"/>
  <c r="L255" i="22" s="1"/>
  <c r="K263" i="22"/>
  <c r="L263" i="22" a="1"/>
  <c r="L263" i="22" s="1"/>
  <c r="K271" i="22"/>
  <c r="L271" i="22" a="1"/>
  <c r="L271" i="22" s="1"/>
  <c r="K279" i="22"/>
  <c r="L279" i="22" a="1"/>
  <c r="L279" i="22" s="1"/>
  <c r="K287" i="22"/>
  <c r="L287" i="22" a="1"/>
  <c r="L287" i="22" s="1"/>
  <c r="K7" i="21"/>
  <c r="L7" i="21" a="1"/>
  <c r="L7" i="21" s="1"/>
  <c r="K15" i="21"/>
  <c r="L15" i="21" a="1"/>
  <c r="L15" i="21" s="1"/>
  <c r="K23" i="21"/>
  <c r="L23" i="21" a="1"/>
  <c r="L23" i="21" s="1"/>
  <c r="K31" i="21"/>
  <c r="L31" i="21" a="1"/>
  <c r="L31" i="21" s="1"/>
  <c r="K39" i="21"/>
  <c r="L39" i="21" a="1"/>
  <c r="L39" i="21" s="1"/>
  <c r="K47" i="21"/>
  <c r="L47" i="21" a="1"/>
  <c r="L47" i="21" s="1"/>
  <c r="K55" i="21"/>
  <c r="L55" i="21" a="1"/>
  <c r="L55" i="21" s="1"/>
  <c r="K63" i="21"/>
  <c r="L63" i="21" a="1"/>
  <c r="L63" i="21" s="1"/>
  <c r="K71" i="21"/>
  <c r="L71" i="21" a="1"/>
  <c r="L71" i="21" s="1"/>
  <c r="K79" i="21"/>
  <c r="L79" i="21" a="1"/>
  <c r="L79" i="21" s="1"/>
  <c r="K87" i="21"/>
  <c r="L87" i="21" a="1"/>
  <c r="L87" i="21" s="1"/>
  <c r="K95" i="21"/>
  <c r="L95" i="21" a="1"/>
  <c r="L95" i="21" s="1"/>
  <c r="K103" i="21"/>
  <c r="L103" i="21" a="1"/>
  <c r="L103" i="21" s="1"/>
  <c r="K111" i="21"/>
  <c r="L111" i="21" a="1"/>
  <c r="L111" i="21" s="1"/>
  <c r="K119" i="21"/>
  <c r="L119" i="21" a="1"/>
  <c r="L119" i="21" s="1"/>
  <c r="K127" i="21"/>
  <c r="L127" i="21" a="1"/>
  <c r="L127" i="21" s="1"/>
  <c r="K135" i="21"/>
  <c r="L135" i="21" a="1"/>
  <c r="L135" i="21" s="1"/>
  <c r="K143" i="21"/>
  <c r="L143" i="21" a="1"/>
  <c r="L143" i="21" s="1"/>
  <c r="K151" i="21"/>
  <c r="L151" i="21" a="1"/>
  <c r="L151" i="21" s="1"/>
  <c r="K159" i="21"/>
  <c r="L159" i="21" a="1"/>
  <c r="L159" i="21" s="1"/>
  <c r="K167" i="21"/>
  <c r="L167" i="21" a="1"/>
  <c r="L167" i="21" s="1"/>
  <c r="K175" i="21"/>
  <c r="L175" i="21" a="1"/>
  <c r="L175" i="21" s="1"/>
  <c r="K183" i="21"/>
  <c r="L183" i="21" a="1"/>
  <c r="L183" i="21" s="1"/>
  <c r="K191" i="21"/>
  <c r="L191" i="21" a="1"/>
  <c r="L191" i="21" s="1"/>
  <c r="K199" i="21"/>
  <c r="L199" i="21" a="1"/>
  <c r="L199" i="21" s="1"/>
  <c r="K207" i="21"/>
  <c r="L207" i="21" a="1"/>
  <c r="L207" i="21" s="1"/>
  <c r="K215" i="21"/>
  <c r="L215" i="21" a="1"/>
  <c r="L215" i="21" s="1"/>
  <c r="K223" i="21"/>
  <c r="L223" i="21" a="1"/>
  <c r="L223" i="21" s="1"/>
  <c r="K231" i="21"/>
  <c r="L231" i="21" a="1"/>
  <c r="L231" i="21" s="1"/>
  <c r="K239" i="21"/>
  <c r="L239" i="21" a="1"/>
  <c r="L239" i="21" s="1"/>
  <c r="K247" i="21"/>
  <c r="L247" i="21" a="1"/>
  <c r="L247" i="21" s="1"/>
  <c r="K255" i="21"/>
  <c r="L255" i="21" a="1"/>
  <c r="L255" i="21" s="1"/>
  <c r="K263" i="21"/>
  <c r="L263" i="21" a="1"/>
  <c r="L263" i="21" s="1"/>
  <c r="K271" i="21"/>
  <c r="L271" i="21" a="1"/>
  <c r="L271" i="21" s="1"/>
  <c r="K279" i="21"/>
  <c r="L279" i="21" a="1"/>
  <c r="L279" i="21" s="1"/>
  <c r="K287" i="21"/>
  <c r="L287" i="21" a="1"/>
  <c r="L287" i="21" s="1"/>
  <c r="K280" i="13"/>
  <c r="L280" i="13" a="1"/>
  <c r="L280" i="13" s="1"/>
  <c r="K224" i="13"/>
  <c r="L224" i="13" a="1"/>
  <c r="L224" i="13" s="1"/>
  <c r="K176" i="13"/>
  <c r="L176" i="13" a="1"/>
  <c r="L176" i="13" s="1"/>
  <c r="K128" i="13"/>
  <c r="L128" i="13" a="1"/>
  <c r="L128" i="13" s="1"/>
  <c r="K88" i="13"/>
  <c r="L88" i="13" a="1"/>
  <c r="L88" i="13" s="1"/>
  <c r="K40" i="13"/>
  <c r="L40" i="13" a="1"/>
  <c r="L40" i="13" s="1"/>
  <c r="K20" i="20"/>
  <c r="L20" i="20" a="1"/>
  <c r="L20" i="20" s="1"/>
  <c r="K68" i="20"/>
  <c r="L68" i="20" a="1"/>
  <c r="L68" i="20" s="1"/>
  <c r="K116" i="20"/>
  <c r="L116" i="20" a="1"/>
  <c r="L116" i="20" s="1"/>
  <c r="K164" i="20"/>
  <c r="L164" i="20" a="1"/>
  <c r="L164" i="20" s="1"/>
  <c r="K212" i="20"/>
  <c r="L212" i="20" a="1"/>
  <c r="L212" i="20" s="1"/>
  <c r="K252" i="20"/>
  <c r="L252" i="20" a="1"/>
  <c r="L252" i="20" s="1"/>
  <c r="K12" i="22"/>
  <c r="L12" i="22" a="1"/>
  <c r="L12" i="22" s="1"/>
  <c r="K60" i="22"/>
  <c r="L60" i="22" a="1"/>
  <c r="L60" i="22" s="1"/>
  <c r="K116" i="22"/>
  <c r="L116" i="22" a="1"/>
  <c r="L116" i="22" s="1"/>
  <c r="K164" i="22"/>
  <c r="L164" i="22" a="1"/>
  <c r="L164" i="22" s="1"/>
  <c r="K212" i="22"/>
  <c r="L212" i="22" a="1"/>
  <c r="L212" i="22" s="1"/>
  <c r="K260" i="22"/>
  <c r="L260" i="22" a="1"/>
  <c r="L260" i="22" s="1"/>
  <c r="K20" i="21"/>
  <c r="L20" i="21" a="1"/>
  <c r="L20" i="21" s="1"/>
  <c r="K76" i="21"/>
  <c r="L76" i="21" a="1"/>
  <c r="L76" i="21" s="1"/>
  <c r="K124" i="21"/>
  <c r="L124" i="21" a="1"/>
  <c r="L124" i="21" s="1"/>
  <c r="K164" i="21"/>
  <c r="L164" i="21" a="1"/>
  <c r="L164" i="21" s="1"/>
  <c r="K204" i="21"/>
  <c r="L204" i="21" a="1"/>
  <c r="L204" i="21" s="1"/>
  <c r="K268" i="21"/>
  <c r="L268" i="21" a="1"/>
  <c r="L268" i="21" s="1"/>
  <c r="K263" i="13"/>
  <c r="L263" i="13" a="1"/>
  <c r="L263" i="13" s="1"/>
  <c r="K207" i="13"/>
  <c r="L207" i="13" a="1"/>
  <c r="L207" i="13" s="1"/>
  <c r="K167" i="13"/>
  <c r="L167" i="13" a="1"/>
  <c r="L167" i="13" s="1"/>
  <c r="K111" i="13"/>
  <c r="L111" i="13" a="1"/>
  <c r="L111" i="13" s="1"/>
  <c r="K55" i="13"/>
  <c r="L55" i="13" a="1"/>
  <c r="L55" i="13" s="1"/>
  <c r="K15" i="13"/>
  <c r="L15" i="13" a="1"/>
  <c r="L15" i="13" s="1"/>
  <c r="K45" i="20"/>
  <c r="L45" i="20" a="1"/>
  <c r="L45" i="20" s="1"/>
  <c r="K93" i="20"/>
  <c r="L93" i="20" a="1"/>
  <c r="L93" i="20" s="1"/>
  <c r="K141" i="20"/>
  <c r="L141" i="20" a="1"/>
  <c r="L141" i="20" s="1"/>
  <c r="K197" i="20"/>
  <c r="L197" i="20" a="1"/>
  <c r="L197" i="20" s="1"/>
  <c r="K253" i="20"/>
  <c r="L253" i="20" a="1"/>
  <c r="L253" i="20" s="1"/>
  <c r="K13" i="22"/>
  <c r="L13" i="22" a="1"/>
  <c r="L13" i="22" s="1"/>
  <c r="K61" i="22"/>
  <c r="L61" i="22" a="1"/>
  <c r="L61" i="22" s="1"/>
  <c r="K101" i="22"/>
  <c r="L101" i="22" a="1"/>
  <c r="L101" i="22" s="1"/>
  <c r="K165" i="22"/>
  <c r="L165" i="22" a="1"/>
  <c r="L165" i="22" s="1"/>
  <c r="K205" i="22"/>
  <c r="L205" i="22" a="1"/>
  <c r="L205" i="22" s="1"/>
  <c r="K245" i="22"/>
  <c r="L245" i="22" a="1"/>
  <c r="L245" i="22" s="1"/>
  <c r="K285" i="22"/>
  <c r="L285" i="22" a="1"/>
  <c r="L285" i="22" s="1"/>
  <c r="K45" i="21"/>
  <c r="L45" i="21" a="1"/>
  <c r="L45" i="21" s="1"/>
  <c r="K93" i="21"/>
  <c r="L93" i="21" a="1"/>
  <c r="L93" i="21" s="1"/>
  <c r="K133" i="21"/>
  <c r="L133" i="21" a="1"/>
  <c r="L133" i="21" s="1"/>
  <c r="K173" i="21"/>
  <c r="L173" i="21" a="1"/>
  <c r="L173" i="21" s="1"/>
  <c r="K213" i="21"/>
  <c r="L213" i="21" a="1"/>
  <c r="L213" i="21" s="1"/>
  <c r="K253" i="21"/>
  <c r="L253" i="21" a="1"/>
  <c r="L253" i="21" s="1"/>
  <c r="K285" i="21"/>
  <c r="L285" i="21" a="1"/>
  <c r="L285" i="21" s="1"/>
  <c r="K293" i="13"/>
  <c r="L293" i="13" a="1"/>
  <c r="L293" i="13" s="1"/>
  <c r="K253" i="13"/>
  <c r="L253" i="13" a="1"/>
  <c r="L253" i="13" s="1"/>
  <c r="K221" i="13"/>
  <c r="L221" i="13" a="1"/>
  <c r="L221" i="13" s="1"/>
  <c r="K189" i="13"/>
  <c r="L189" i="13" a="1"/>
  <c r="L189" i="13" s="1"/>
  <c r="K149" i="13"/>
  <c r="L149" i="13" a="1"/>
  <c r="L149" i="13" s="1"/>
  <c r="K292" i="13"/>
  <c r="L292" i="13" a="1"/>
  <c r="L292" i="13" s="1"/>
  <c r="K284" i="13"/>
  <c r="L284" i="13" a="1"/>
  <c r="L284" i="13" s="1"/>
  <c r="K276" i="13"/>
  <c r="L276" i="13" a="1"/>
  <c r="L276" i="13" s="1"/>
  <c r="K268" i="13"/>
  <c r="L268" i="13" a="1"/>
  <c r="L268" i="13" s="1"/>
  <c r="K260" i="13"/>
  <c r="L260" i="13" a="1"/>
  <c r="L260" i="13" s="1"/>
  <c r="K252" i="13"/>
  <c r="L252" i="13" a="1"/>
  <c r="L252" i="13" s="1"/>
  <c r="K244" i="13"/>
  <c r="L244" i="13" a="1"/>
  <c r="L244" i="13" s="1"/>
  <c r="K236" i="13"/>
  <c r="L236" i="13" a="1"/>
  <c r="L236" i="13" s="1"/>
  <c r="K228" i="13"/>
  <c r="L228" i="13" a="1"/>
  <c r="L228" i="13" s="1"/>
  <c r="K220" i="13"/>
  <c r="L220" i="13" a="1"/>
  <c r="L220" i="13" s="1"/>
  <c r="K212" i="13"/>
  <c r="L212" i="13" a="1"/>
  <c r="L212" i="13" s="1"/>
  <c r="K204" i="13"/>
  <c r="L204" i="13" a="1"/>
  <c r="L204" i="13" s="1"/>
  <c r="K196" i="13"/>
  <c r="L196" i="13" a="1"/>
  <c r="L196" i="13" s="1"/>
  <c r="K188" i="13"/>
  <c r="L188" i="13" a="1"/>
  <c r="L188" i="13" s="1"/>
  <c r="K180" i="13"/>
  <c r="L180" i="13" a="1"/>
  <c r="L180" i="13" s="1"/>
  <c r="K172" i="13"/>
  <c r="L172" i="13" a="1"/>
  <c r="L172" i="13" s="1"/>
  <c r="K164" i="13"/>
  <c r="L164" i="13" a="1"/>
  <c r="L164" i="13" s="1"/>
  <c r="K156" i="13"/>
  <c r="L156" i="13" a="1"/>
  <c r="L156" i="13" s="1"/>
  <c r="K148" i="13"/>
  <c r="L148" i="13" a="1"/>
  <c r="L148" i="13" s="1"/>
  <c r="K140" i="13"/>
  <c r="L140" i="13" a="1"/>
  <c r="L140" i="13" s="1"/>
  <c r="K132" i="13"/>
  <c r="L132" i="13" a="1"/>
  <c r="L132" i="13" s="1"/>
  <c r="K124" i="13"/>
  <c r="L124" i="13" a="1"/>
  <c r="L124" i="13" s="1"/>
  <c r="K116" i="13"/>
  <c r="L116" i="13" a="1"/>
  <c r="L116" i="13" s="1"/>
  <c r="K108" i="13"/>
  <c r="L108" i="13" a="1"/>
  <c r="L108" i="13" s="1"/>
  <c r="K100" i="13"/>
  <c r="L100" i="13" a="1"/>
  <c r="L100" i="13" s="1"/>
  <c r="K92" i="13"/>
  <c r="L92" i="13" a="1"/>
  <c r="L92" i="13" s="1"/>
  <c r="K84" i="13"/>
  <c r="L84" i="13" a="1"/>
  <c r="L84" i="13" s="1"/>
  <c r="K76" i="13"/>
  <c r="L76" i="13" a="1"/>
  <c r="L76" i="13" s="1"/>
  <c r="K68" i="13"/>
  <c r="L68" i="13" a="1"/>
  <c r="L68" i="13" s="1"/>
  <c r="K60" i="13"/>
  <c r="L60" i="13" a="1"/>
  <c r="L60" i="13" s="1"/>
  <c r="K52" i="13"/>
  <c r="L52" i="13" a="1"/>
  <c r="L52" i="13" s="1"/>
  <c r="K44" i="13"/>
  <c r="L44" i="13" a="1"/>
  <c r="L44" i="13" s="1"/>
  <c r="K36" i="13"/>
  <c r="L36" i="13" a="1"/>
  <c r="L36" i="13" s="1"/>
  <c r="K28" i="13"/>
  <c r="L28" i="13" a="1"/>
  <c r="L28" i="13" s="1"/>
  <c r="K20" i="13"/>
  <c r="L20" i="13" a="1"/>
  <c r="L20" i="13" s="1"/>
  <c r="K12" i="13"/>
  <c r="L12" i="13" a="1"/>
  <c r="L12" i="13" s="1"/>
  <c r="K8" i="20"/>
  <c r="L8" i="20" a="1"/>
  <c r="L8" i="20" s="1"/>
  <c r="K16" i="20"/>
  <c r="L16" i="20" a="1"/>
  <c r="L16" i="20" s="1"/>
  <c r="K24" i="20"/>
  <c r="L24" i="20" a="1"/>
  <c r="L24" i="20" s="1"/>
  <c r="K32" i="20"/>
  <c r="L32" i="20" a="1"/>
  <c r="L32" i="20" s="1"/>
  <c r="K40" i="20"/>
  <c r="L40" i="20" a="1"/>
  <c r="L40" i="20" s="1"/>
  <c r="K48" i="20"/>
  <c r="L48" i="20" a="1"/>
  <c r="L48" i="20" s="1"/>
  <c r="K56" i="20"/>
  <c r="L56" i="20" a="1"/>
  <c r="L56" i="20" s="1"/>
  <c r="K64" i="20"/>
  <c r="L64" i="20" a="1"/>
  <c r="L64" i="20" s="1"/>
  <c r="K72" i="20"/>
  <c r="L72" i="20" a="1"/>
  <c r="L72" i="20" s="1"/>
  <c r="K80" i="20"/>
  <c r="L80" i="20" a="1"/>
  <c r="L80" i="20" s="1"/>
  <c r="K88" i="20"/>
  <c r="L88" i="20" a="1"/>
  <c r="L88" i="20" s="1"/>
  <c r="K96" i="20"/>
  <c r="L96" i="20" a="1"/>
  <c r="L96" i="20" s="1"/>
  <c r="K104" i="20"/>
  <c r="L104" i="20" a="1"/>
  <c r="L104" i="20" s="1"/>
  <c r="K112" i="20"/>
  <c r="L112" i="20" a="1"/>
  <c r="L112" i="20" s="1"/>
  <c r="K120" i="20"/>
  <c r="L120" i="20" a="1"/>
  <c r="L120" i="20" s="1"/>
  <c r="K128" i="20"/>
  <c r="L128" i="20" a="1"/>
  <c r="L128" i="20" s="1"/>
  <c r="K136" i="20"/>
  <c r="L136" i="20" a="1"/>
  <c r="L136" i="20" s="1"/>
  <c r="K144" i="20"/>
  <c r="L144" i="20" a="1"/>
  <c r="L144" i="20" s="1"/>
  <c r="K152" i="20"/>
  <c r="L152" i="20" a="1"/>
  <c r="L152" i="20" s="1"/>
  <c r="K160" i="20"/>
  <c r="L160" i="20" a="1"/>
  <c r="L160" i="20" s="1"/>
  <c r="K168" i="20"/>
  <c r="L168" i="20" a="1"/>
  <c r="L168" i="20" s="1"/>
  <c r="K176" i="20"/>
  <c r="L176" i="20" a="1"/>
  <c r="L176" i="20" s="1"/>
  <c r="K184" i="20"/>
  <c r="L184" i="20" a="1"/>
  <c r="L184" i="20" s="1"/>
  <c r="K192" i="20"/>
  <c r="L192" i="20" a="1"/>
  <c r="L192" i="20" s="1"/>
  <c r="K200" i="20"/>
  <c r="L200" i="20" a="1"/>
  <c r="L200" i="20" s="1"/>
  <c r="K208" i="20"/>
  <c r="L208" i="20" a="1"/>
  <c r="L208" i="20" s="1"/>
  <c r="K216" i="20"/>
  <c r="L216" i="20" a="1"/>
  <c r="L216" i="20" s="1"/>
  <c r="K224" i="20"/>
  <c r="L224" i="20" a="1"/>
  <c r="L224" i="20" s="1"/>
  <c r="K232" i="20"/>
  <c r="L232" i="20" a="1"/>
  <c r="L232" i="20" s="1"/>
  <c r="K240" i="20"/>
  <c r="L240" i="20" a="1"/>
  <c r="L240" i="20" s="1"/>
  <c r="K248" i="20"/>
  <c r="L248" i="20" a="1"/>
  <c r="L248" i="20" s="1"/>
  <c r="K256" i="20"/>
  <c r="L256" i="20" a="1"/>
  <c r="L256" i="20" s="1"/>
  <c r="K264" i="20"/>
  <c r="L264" i="20" a="1"/>
  <c r="L264" i="20" s="1"/>
  <c r="K272" i="20"/>
  <c r="L272" i="20" a="1"/>
  <c r="L272" i="20" s="1"/>
  <c r="K280" i="20"/>
  <c r="L280" i="20" a="1"/>
  <c r="L280" i="20" s="1"/>
  <c r="K288" i="20"/>
  <c r="L288" i="20" a="1"/>
  <c r="L288" i="20" s="1"/>
  <c r="K8" i="22"/>
  <c r="L8" i="22" a="1"/>
  <c r="L8" i="22" s="1"/>
  <c r="K16" i="22"/>
  <c r="L16" i="22" a="1"/>
  <c r="L16" i="22" s="1"/>
  <c r="K24" i="22"/>
  <c r="L24" i="22" a="1"/>
  <c r="L24" i="22" s="1"/>
  <c r="K32" i="22"/>
  <c r="L32" i="22" a="1"/>
  <c r="L32" i="22" s="1"/>
  <c r="K40" i="22"/>
  <c r="L40" i="22" a="1"/>
  <c r="L40" i="22" s="1"/>
  <c r="K48" i="22"/>
  <c r="L48" i="22" a="1"/>
  <c r="L48" i="22" s="1"/>
  <c r="K56" i="22"/>
  <c r="L56" i="22" a="1"/>
  <c r="L56" i="22" s="1"/>
  <c r="K64" i="22"/>
  <c r="L64" i="22" a="1"/>
  <c r="L64" i="22" s="1"/>
  <c r="K72" i="22"/>
  <c r="L72" i="22" a="1"/>
  <c r="L72" i="22" s="1"/>
  <c r="K80" i="22"/>
  <c r="L80" i="22" a="1"/>
  <c r="L80" i="22" s="1"/>
  <c r="K88" i="22"/>
  <c r="L88" i="22" a="1"/>
  <c r="L88" i="22" s="1"/>
  <c r="K96" i="22"/>
  <c r="L96" i="22" a="1"/>
  <c r="L96" i="22" s="1"/>
  <c r="K104" i="22"/>
  <c r="L104" i="22" a="1"/>
  <c r="L104" i="22" s="1"/>
  <c r="K112" i="22"/>
  <c r="L112" i="22" a="1"/>
  <c r="L112" i="22" s="1"/>
  <c r="K120" i="22"/>
  <c r="L120" i="22" a="1"/>
  <c r="L120" i="22" s="1"/>
  <c r="K128" i="22"/>
  <c r="L128" i="22" a="1"/>
  <c r="L128" i="22" s="1"/>
  <c r="K136" i="22"/>
  <c r="L136" i="22" a="1"/>
  <c r="L136" i="22" s="1"/>
  <c r="K144" i="22"/>
  <c r="L144" i="22" a="1"/>
  <c r="L144" i="22" s="1"/>
  <c r="K152" i="22"/>
  <c r="L152" i="22" a="1"/>
  <c r="L152" i="22" s="1"/>
  <c r="K160" i="22"/>
  <c r="L160" i="22" a="1"/>
  <c r="L160" i="22" s="1"/>
  <c r="K168" i="22"/>
  <c r="L168" i="22" a="1"/>
  <c r="L168" i="22" s="1"/>
  <c r="K176" i="22"/>
  <c r="L176" i="22" a="1"/>
  <c r="L176" i="22" s="1"/>
  <c r="K184" i="22"/>
  <c r="L184" i="22" a="1"/>
  <c r="L184" i="22" s="1"/>
  <c r="K192" i="22"/>
  <c r="L192" i="22" a="1"/>
  <c r="L192" i="22" s="1"/>
  <c r="K200" i="22"/>
  <c r="L200" i="22" a="1"/>
  <c r="L200" i="22" s="1"/>
  <c r="K208" i="22"/>
  <c r="L208" i="22" a="1"/>
  <c r="L208" i="22" s="1"/>
  <c r="K216" i="22"/>
  <c r="L216" i="22" a="1"/>
  <c r="L216" i="22" s="1"/>
  <c r="K224" i="22"/>
  <c r="L224" i="22" a="1"/>
  <c r="L224" i="22" s="1"/>
  <c r="K232" i="22"/>
  <c r="L232" i="22" a="1"/>
  <c r="L232" i="22" s="1"/>
  <c r="K240" i="22"/>
  <c r="L240" i="22" a="1"/>
  <c r="L240" i="22" s="1"/>
  <c r="K248" i="22"/>
  <c r="L248" i="22" a="1"/>
  <c r="L248" i="22" s="1"/>
  <c r="K256" i="22"/>
  <c r="L256" i="22" a="1"/>
  <c r="L256" i="22" s="1"/>
  <c r="K264" i="22"/>
  <c r="L264" i="22" a="1"/>
  <c r="L264" i="22" s="1"/>
  <c r="K272" i="22"/>
  <c r="L272" i="22" a="1"/>
  <c r="L272" i="22" s="1"/>
  <c r="K280" i="22"/>
  <c r="L280" i="22" a="1"/>
  <c r="L280" i="22" s="1"/>
  <c r="K288" i="22"/>
  <c r="L288" i="22" a="1"/>
  <c r="L288" i="22" s="1"/>
  <c r="K8" i="21"/>
  <c r="L8" i="21" a="1"/>
  <c r="L8" i="21" s="1"/>
  <c r="K16" i="21"/>
  <c r="L16" i="21" a="1"/>
  <c r="L16" i="21" s="1"/>
  <c r="K24" i="21"/>
  <c r="L24" i="21" a="1"/>
  <c r="L24" i="21" s="1"/>
  <c r="K32" i="21"/>
  <c r="L32" i="21" a="1"/>
  <c r="L32" i="21" s="1"/>
  <c r="K40" i="21"/>
  <c r="L40" i="21" a="1"/>
  <c r="L40" i="21" s="1"/>
  <c r="K48" i="21"/>
  <c r="L48" i="21" a="1"/>
  <c r="L48" i="21" s="1"/>
  <c r="K56" i="21"/>
  <c r="L56" i="21" a="1"/>
  <c r="L56" i="21" s="1"/>
  <c r="K64" i="21"/>
  <c r="L64" i="21" a="1"/>
  <c r="L64" i="21" s="1"/>
  <c r="K72" i="21"/>
  <c r="L72" i="21" a="1"/>
  <c r="L72" i="21" s="1"/>
  <c r="K80" i="21"/>
  <c r="L80" i="21" a="1"/>
  <c r="L80" i="21" s="1"/>
  <c r="K88" i="21"/>
  <c r="L88" i="21" a="1"/>
  <c r="L88" i="21" s="1"/>
  <c r="K96" i="21"/>
  <c r="L96" i="21" a="1"/>
  <c r="L96" i="21" s="1"/>
  <c r="K104" i="21"/>
  <c r="L104" i="21" a="1"/>
  <c r="L104" i="21" s="1"/>
  <c r="K112" i="21"/>
  <c r="L112" i="21" a="1"/>
  <c r="L112" i="21" s="1"/>
  <c r="K120" i="21"/>
  <c r="L120" i="21" a="1"/>
  <c r="L120" i="21" s="1"/>
  <c r="K128" i="21"/>
  <c r="L128" i="21" a="1"/>
  <c r="L128" i="21" s="1"/>
  <c r="K136" i="21"/>
  <c r="L136" i="21" a="1"/>
  <c r="L136" i="21" s="1"/>
  <c r="K144" i="21"/>
  <c r="L144" i="21" a="1"/>
  <c r="L144" i="21" s="1"/>
  <c r="K152" i="21"/>
  <c r="L152" i="21" a="1"/>
  <c r="L152" i="21" s="1"/>
  <c r="K160" i="21"/>
  <c r="L160" i="21" a="1"/>
  <c r="L160" i="21" s="1"/>
  <c r="K168" i="21"/>
  <c r="L168" i="21" a="1"/>
  <c r="L168" i="21" s="1"/>
  <c r="K176" i="21"/>
  <c r="L176" i="21" a="1"/>
  <c r="L176" i="21" s="1"/>
  <c r="K184" i="21"/>
  <c r="L184" i="21" a="1"/>
  <c r="L184" i="21" s="1"/>
  <c r="K192" i="21"/>
  <c r="L192" i="21" a="1"/>
  <c r="L192" i="21" s="1"/>
  <c r="K200" i="21"/>
  <c r="L200" i="21" a="1"/>
  <c r="L200" i="21" s="1"/>
  <c r="K208" i="21"/>
  <c r="L208" i="21" a="1"/>
  <c r="L208" i="21" s="1"/>
  <c r="K216" i="21"/>
  <c r="L216" i="21" a="1"/>
  <c r="L216" i="21" s="1"/>
  <c r="K224" i="21"/>
  <c r="L224" i="21" a="1"/>
  <c r="L224" i="21" s="1"/>
  <c r="K232" i="21"/>
  <c r="L232" i="21" a="1"/>
  <c r="L232" i="21" s="1"/>
  <c r="K240" i="21"/>
  <c r="L240" i="21" a="1"/>
  <c r="L240" i="21" s="1"/>
  <c r="K248" i="21"/>
  <c r="L248" i="21" a="1"/>
  <c r="L248" i="21" s="1"/>
  <c r="K256" i="21"/>
  <c r="L256" i="21" a="1"/>
  <c r="L256" i="21" s="1"/>
  <c r="K264" i="21"/>
  <c r="L264" i="21" a="1"/>
  <c r="L264" i="21" s="1"/>
  <c r="K272" i="21"/>
  <c r="L272" i="21" a="1"/>
  <c r="L272" i="21" s="1"/>
  <c r="K280" i="21"/>
  <c r="L280" i="21" a="1"/>
  <c r="L280" i="21" s="1"/>
  <c r="K288" i="21"/>
  <c r="L288" i="21" a="1"/>
  <c r="L288" i="21" s="1"/>
  <c r="K248" i="13"/>
  <c r="L248" i="13" a="1"/>
  <c r="L248" i="13" s="1"/>
  <c r="K192" i="13"/>
  <c r="L192" i="13" a="1"/>
  <c r="L192" i="13" s="1"/>
  <c r="K144" i="13"/>
  <c r="L144" i="13" a="1"/>
  <c r="L144" i="13" s="1"/>
  <c r="K96" i="13"/>
  <c r="L96" i="13" a="1"/>
  <c r="L96" i="13" s="1"/>
  <c r="K48" i="13"/>
  <c r="L48" i="13" a="1"/>
  <c r="L48" i="13" s="1"/>
  <c r="K12" i="20"/>
  <c r="L12" i="20" a="1"/>
  <c r="L12" i="20" s="1"/>
  <c r="K52" i="20"/>
  <c r="L52" i="20" a="1"/>
  <c r="L52" i="20" s="1"/>
  <c r="K108" i="20"/>
  <c r="L108" i="20" a="1"/>
  <c r="L108" i="20" s="1"/>
  <c r="K156" i="20"/>
  <c r="L156" i="20" a="1"/>
  <c r="L156" i="20" s="1"/>
  <c r="K204" i="20"/>
  <c r="L204" i="20" a="1"/>
  <c r="L204" i="20" s="1"/>
  <c r="K260" i="20"/>
  <c r="L260" i="20" a="1"/>
  <c r="L260" i="20" s="1"/>
  <c r="K20" i="22"/>
  <c r="L20" i="22" a="1"/>
  <c r="L20" i="22" s="1"/>
  <c r="K76" i="22"/>
  <c r="L76" i="22" a="1"/>
  <c r="L76" i="22" s="1"/>
  <c r="K124" i="22"/>
  <c r="L124" i="22" a="1"/>
  <c r="L124" i="22" s="1"/>
  <c r="K172" i="22"/>
  <c r="L172" i="22" a="1"/>
  <c r="L172" i="22" s="1"/>
  <c r="K220" i="22"/>
  <c r="L220" i="22" a="1"/>
  <c r="L220" i="22" s="1"/>
  <c r="K268" i="22"/>
  <c r="L268" i="22" a="1"/>
  <c r="L268" i="22" s="1"/>
  <c r="K28" i="21"/>
  <c r="L28" i="21" a="1"/>
  <c r="L28" i="21" s="1"/>
  <c r="K84" i="21"/>
  <c r="L84" i="21" a="1"/>
  <c r="L84" i="21" s="1"/>
  <c r="K132" i="21"/>
  <c r="L132" i="21" a="1"/>
  <c r="L132" i="21" s="1"/>
  <c r="K180" i="21"/>
  <c r="L180" i="21" a="1"/>
  <c r="L180" i="21" s="1"/>
  <c r="K212" i="21"/>
  <c r="L212" i="21" a="1"/>
  <c r="L212" i="21" s="1"/>
  <c r="K252" i="21"/>
  <c r="L252" i="21" a="1"/>
  <c r="L252" i="21" s="1"/>
  <c r="K279" i="13"/>
  <c r="L279" i="13" a="1"/>
  <c r="L279" i="13" s="1"/>
  <c r="K247" i="13"/>
  <c r="L247" i="13" a="1"/>
  <c r="L247" i="13" s="1"/>
  <c r="K199" i="13"/>
  <c r="L199" i="13" a="1"/>
  <c r="L199" i="13" s="1"/>
  <c r="K143" i="13"/>
  <c r="L143" i="13" a="1"/>
  <c r="L143" i="13" s="1"/>
  <c r="K95" i="13"/>
  <c r="L95" i="13" a="1"/>
  <c r="L95" i="13" s="1"/>
  <c r="K47" i="13"/>
  <c r="L47" i="13" a="1"/>
  <c r="L47" i="13" s="1"/>
  <c r="K13" i="20"/>
  <c r="L13" i="20" a="1"/>
  <c r="L13" i="20" s="1"/>
  <c r="K61" i="20"/>
  <c r="L61" i="20" a="1"/>
  <c r="L61" i="20" s="1"/>
  <c r="K117" i="20"/>
  <c r="L117" i="20" a="1"/>
  <c r="L117" i="20" s="1"/>
  <c r="K165" i="20"/>
  <c r="L165" i="20" a="1"/>
  <c r="L165" i="20" s="1"/>
  <c r="K213" i="20"/>
  <c r="L213" i="20" a="1"/>
  <c r="L213" i="20" s="1"/>
  <c r="K261" i="20"/>
  <c r="L261" i="20" a="1"/>
  <c r="L261" i="20" s="1"/>
  <c r="K29" i="22"/>
  <c r="L29" i="22" a="1"/>
  <c r="L29" i="22" s="1"/>
  <c r="K93" i="22"/>
  <c r="L93" i="22" a="1"/>
  <c r="L93" i="22" s="1"/>
  <c r="K141" i="22"/>
  <c r="L141" i="22" a="1"/>
  <c r="L141" i="22" s="1"/>
  <c r="K37" i="21"/>
  <c r="L37" i="21" a="1"/>
  <c r="L37" i="21" s="1"/>
  <c r="K277" i="13"/>
  <c r="L277" i="13" a="1"/>
  <c r="L277" i="13" s="1"/>
  <c r="K237" i="13"/>
  <c r="L237" i="13" a="1"/>
  <c r="L237" i="13" s="1"/>
  <c r="K197" i="13"/>
  <c r="L197" i="13" a="1"/>
  <c r="L197" i="13" s="1"/>
  <c r="K157" i="13"/>
  <c r="L157" i="13" a="1"/>
  <c r="L157" i="13" s="1"/>
  <c r="K117" i="13"/>
  <c r="L117" i="13" a="1"/>
  <c r="L117" i="13" s="1"/>
  <c r="K291" i="13"/>
  <c r="L291" i="13" a="1"/>
  <c r="L291" i="13" s="1"/>
  <c r="K283" i="13"/>
  <c r="L283" i="13" a="1"/>
  <c r="L283" i="13" s="1"/>
  <c r="K275" i="13"/>
  <c r="L275" i="13" a="1"/>
  <c r="L275" i="13" s="1"/>
  <c r="K267" i="13"/>
  <c r="L267" i="13" a="1"/>
  <c r="L267" i="13" s="1"/>
  <c r="K259" i="13"/>
  <c r="L259" i="13" a="1"/>
  <c r="L259" i="13" s="1"/>
  <c r="K251" i="13"/>
  <c r="L251" i="13" a="1"/>
  <c r="L251" i="13" s="1"/>
  <c r="K243" i="13"/>
  <c r="L243" i="13" a="1"/>
  <c r="L243" i="13" s="1"/>
  <c r="K235" i="13"/>
  <c r="L235" i="13" a="1"/>
  <c r="L235" i="13" s="1"/>
  <c r="K227" i="13"/>
  <c r="L227" i="13" a="1"/>
  <c r="L227" i="13" s="1"/>
  <c r="K219" i="13"/>
  <c r="L219" i="13" a="1"/>
  <c r="L219" i="13" s="1"/>
  <c r="K211" i="13"/>
  <c r="L211" i="13" a="1"/>
  <c r="L211" i="13" s="1"/>
  <c r="K203" i="13"/>
  <c r="L203" i="13" a="1"/>
  <c r="L203" i="13" s="1"/>
  <c r="K195" i="13"/>
  <c r="L195" i="13" a="1"/>
  <c r="L195" i="13" s="1"/>
  <c r="K187" i="13"/>
  <c r="L187" i="13" a="1"/>
  <c r="L187" i="13" s="1"/>
  <c r="K179" i="13"/>
  <c r="L179" i="13" a="1"/>
  <c r="L179" i="13" s="1"/>
  <c r="K171" i="13"/>
  <c r="L171" i="13" a="1"/>
  <c r="L171" i="13" s="1"/>
  <c r="K163" i="13"/>
  <c r="L163" i="13" a="1"/>
  <c r="L163" i="13" s="1"/>
  <c r="K155" i="13"/>
  <c r="L155" i="13" a="1"/>
  <c r="L155" i="13" s="1"/>
  <c r="K147" i="13"/>
  <c r="L147" i="13" a="1"/>
  <c r="L147" i="13" s="1"/>
  <c r="K139" i="13"/>
  <c r="L139" i="13" a="1"/>
  <c r="L139" i="13" s="1"/>
  <c r="K131" i="13"/>
  <c r="L131" i="13" a="1"/>
  <c r="L131" i="13" s="1"/>
  <c r="K123" i="13"/>
  <c r="L123" i="13" a="1"/>
  <c r="L123" i="13" s="1"/>
  <c r="K115" i="13"/>
  <c r="L115" i="13" a="1"/>
  <c r="L115" i="13" s="1"/>
  <c r="K107" i="13"/>
  <c r="L107" i="13" a="1"/>
  <c r="L107" i="13" s="1"/>
  <c r="K99" i="13"/>
  <c r="L99" i="13" a="1"/>
  <c r="L99" i="13" s="1"/>
  <c r="K91" i="13"/>
  <c r="L91" i="13" a="1"/>
  <c r="L91" i="13" s="1"/>
  <c r="K83" i="13"/>
  <c r="L83" i="13" a="1"/>
  <c r="L83" i="13" s="1"/>
  <c r="K75" i="13"/>
  <c r="L75" i="13" a="1"/>
  <c r="L75" i="13" s="1"/>
  <c r="K67" i="13"/>
  <c r="L67" i="13" a="1"/>
  <c r="L67" i="13" s="1"/>
  <c r="K59" i="13"/>
  <c r="L59" i="13" a="1"/>
  <c r="L59" i="13" s="1"/>
  <c r="K51" i="13"/>
  <c r="L51" i="13" a="1"/>
  <c r="L51" i="13" s="1"/>
  <c r="K43" i="13"/>
  <c r="L43" i="13" a="1"/>
  <c r="L43" i="13" s="1"/>
  <c r="K35" i="13"/>
  <c r="L35" i="13" a="1"/>
  <c r="L35" i="13" s="1"/>
  <c r="K27" i="13"/>
  <c r="L27" i="13" a="1"/>
  <c r="L27" i="13" s="1"/>
  <c r="K19" i="13"/>
  <c r="L19" i="13" a="1"/>
  <c r="L19" i="13" s="1"/>
  <c r="K11" i="13"/>
  <c r="L11" i="13" a="1"/>
  <c r="L11" i="13" s="1"/>
  <c r="K9" i="20"/>
  <c r="L9" i="20" a="1"/>
  <c r="L9" i="20" s="1"/>
  <c r="K17" i="20"/>
  <c r="L17" i="20" a="1"/>
  <c r="L17" i="20" s="1"/>
  <c r="K25" i="20"/>
  <c r="L25" i="20" a="1"/>
  <c r="L25" i="20" s="1"/>
  <c r="K33" i="20"/>
  <c r="L33" i="20" a="1"/>
  <c r="L33" i="20" s="1"/>
  <c r="K41" i="20"/>
  <c r="L41" i="20" a="1"/>
  <c r="L41" i="20" s="1"/>
  <c r="K49" i="20"/>
  <c r="L49" i="20" a="1"/>
  <c r="L49" i="20" s="1"/>
  <c r="K57" i="20"/>
  <c r="L57" i="20" a="1"/>
  <c r="L57" i="20" s="1"/>
  <c r="K65" i="20"/>
  <c r="L65" i="20" a="1"/>
  <c r="L65" i="20" s="1"/>
  <c r="K73" i="20"/>
  <c r="L73" i="20" a="1"/>
  <c r="L73" i="20" s="1"/>
  <c r="K81" i="20"/>
  <c r="L81" i="20" a="1"/>
  <c r="L81" i="20" s="1"/>
  <c r="K89" i="20"/>
  <c r="L89" i="20" a="1"/>
  <c r="L89" i="20" s="1"/>
  <c r="K97" i="20"/>
  <c r="L97" i="20" a="1"/>
  <c r="L97" i="20" s="1"/>
  <c r="K105" i="20"/>
  <c r="L105" i="20" a="1"/>
  <c r="L105" i="20" s="1"/>
  <c r="K113" i="20"/>
  <c r="L113" i="20" a="1"/>
  <c r="L113" i="20" s="1"/>
  <c r="K121" i="20"/>
  <c r="L121" i="20" a="1"/>
  <c r="L121" i="20" s="1"/>
  <c r="K129" i="20"/>
  <c r="L129" i="20" a="1"/>
  <c r="L129" i="20" s="1"/>
  <c r="K137" i="20"/>
  <c r="L137" i="20" a="1"/>
  <c r="L137" i="20" s="1"/>
  <c r="K145" i="20"/>
  <c r="L145" i="20" a="1"/>
  <c r="L145" i="20" s="1"/>
  <c r="K153" i="20"/>
  <c r="L153" i="20" a="1"/>
  <c r="L153" i="20" s="1"/>
  <c r="K161" i="20"/>
  <c r="L161" i="20" a="1"/>
  <c r="L161" i="20" s="1"/>
  <c r="K169" i="20"/>
  <c r="L169" i="20" a="1"/>
  <c r="L169" i="20" s="1"/>
  <c r="K177" i="20"/>
  <c r="L177" i="20" a="1"/>
  <c r="L177" i="20" s="1"/>
  <c r="K185" i="20"/>
  <c r="L185" i="20" a="1"/>
  <c r="L185" i="20" s="1"/>
  <c r="K193" i="20"/>
  <c r="L193" i="20" a="1"/>
  <c r="L193" i="20" s="1"/>
  <c r="K201" i="20"/>
  <c r="L201" i="20" a="1"/>
  <c r="L201" i="20" s="1"/>
  <c r="K209" i="20"/>
  <c r="L209" i="20" a="1"/>
  <c r="L209" i="20" s="1"/>
  <c r="K217" i="20"/>
  <c r="L217" i="20" a="1"/>
  <c r="L217" i="20" s="1"/>
  <c r="K225" i="20"/>
  <c r="L225" i="20" a="1"/>
  <c r="L225" i="20" s="1"/>
  <c r="K233" i="20"/>
  <c r="L233" i="20" a="1"/>
  <c r="L233" i="20" s="1"/>
  <c r="K241" i="20"/>
  <c r="L241" i="20" a="1"/>
  <c r="L241" i="20" s="1"/>
  <c r="K249" i="20"/>
  <c r="L249" i="20" a="1"/>
  <c r="L249" i="20" s="1"/>
  <c r="K257" i="20"/>
  <c r="L257" i="20" a="1"/>
  <c r="L257" i="20" s="1"/>
  <c r="K265" i="20"/>
  <c r="L265" i="20" a="1"/>
  <c r="L265" i="20" s="1"/>
  <c r="K273" i="20"/>
  <c r="L273" i="20" a="1"/>
  <c r="L273" i="20" s="1"/>
  <c r="K281" i="20"/>
  <c r="L281" i="20" a="1"/>
  <c r="L281" i="20" s="1"/>
  <c r="K289" i="20"/>
  <c r="L289" i="20" a="1"/>
  <c r="L289" i="20" s="1"/>
  <c r="K9" i="22"/>
  <c r="L9" i="22" a="1"/>
  <c r="L9" i="22" s="1"/>
  <c r="K17" i="22"/>
  <c r="L17" i="22" a="1"/>
  <c r="L17" i="22" s="1"/>
  <c r="K25" i="22"/>
  <c r="L25" i="22" a="1"/>
  <c r="L25" i="22" s="1"/>
  <c r="K33" i="22"/>
  <c r="L33" i="22" a="1"/>
  <c r="L33" i="22" s="1"/>
  <c r="K41" i="22"/>
  <c r="L41" i="22" a="1"/>
  <c r="L41" i="22" s="1"/>
  <c r="K49" i="22"/>
  <c r="L49" i="22" a="1"/>
  <c r="L49" i="22" s="1"/>
  <c r="K57" i="22"/>
  <c r="L57" i="22" a="1"/>
  <c r="L57" i="22" s="1"/>
  <c r="K65" i="22"/>
  <c r="L65" i="22" a="1"/>
  <c r="L65" i="22" s="1"/>
  <c r="K73" i="22"/>
  <c r="L73" i="22" a="1"/>
  <c r="L73" i="22" s="1"/>
  <c r="K81" i="22"/>
  <c r="L81" i="22" a="1"/>
  <c r="L81" i="22" s="1"/>
  <c r="K89" i="22"/>
  <c r="L89" i="22" a="1"/>
  <c r="L89" i="22" s="1"/>
  <c r="K97" i="22"/>
  <c r="L97" i="22" a="1"/>
  <c r="L97" i="22" s="1"/>
  <c r="K105" i="22"/>
  <c r="L105" i="22" a="1"/>
  <c r="L105" i="22" s="1"/>
  <c r="K113" i="22"/>
  <c r="L113" i="22" a="1"/>
  <c r="L113" i="22" s="1"/>
  <c r="K121" i="22"/>
  <c r="L121" i="22" a="1"/>
  <c r="L121" i="22" s="1"/>
  <c r="K129" i="22"/>
  <c r="L129" i="22" a="1"/>
  <c r="L129" i="22" s="1"/>
  <c r="K137" i="22"/>
  <c r="L137" i="22" a="1"/>
  <c r="L137" i="22" s="1"/>
  <c r="K145" i="22"/>
  <c r="L145" i="22" a="1"/>
  <c r="L145" i="22" s="1"/>
  <c r="K153" i="22"/>
  <c r="L153" i="22" a="1"/>
  <c r="L153" i="22" s="1"/>
  <c r="K161" i="22"/>
  <c r="L161" i="22" a="1"/>
  <c r="L161" i="22" s="1"/>
  <c r="K169" i="22"/>
  <c r="L169" i="22" a="1"/>
  <c r="L169" i="22" s="1"/>
  <c r="K177" i="22"/>
  <c r="L177" i="22" a="1"/>
  <c r="L177" i="22" s="1"/>
  <c r="K185" i="22"/>
  <c r="L185" i="22" a="1"/>
  <c r="L185" i="22" s="1"/>
  <c r="K193" i="22"/>
  <c r="L193" i="22" a="1"/>
  <c r="L193" i="22" s="1"/>
  <c r="K201" i="22"/>
  <c r="L201" i="22" a="1"/>
  <c r="L201" i="22" s="1"/>
  <c r="K209" i="22"/>
  <c r="L209" i="22" a="1"/>
  <c r="L209" i="22" s="1"/>
  <c r="K217" i="22"/>
  <c r="L217" i="22" a="1"/>
  <c r="L217" i="22" s="1"/>
  <c r="K225" i="22"/>
  <c r="L225" i="22" a="1"/>
  <c r="L225" i="22" s="1"/>
  <c r="K233" i="22"/>
  <c r="L233" i="22" a="1"/>
  <c r="L233" i="22" s="1"/>
  <c r="K241" i="22"/>
  <c r="L241" i="22" a="1"/>
  <c r="L241" i="22" s="1"/>
  <c r="K249" i="22"/>
  <c r="L249" i="22" a="1"/>
  <c r="L249" i="22" s="1"/>
  <c r="K257" i="22"/>
  <c r="L257" i="22" a="1"/>
  <c r="L257" i="22" s="1"/>
  <c r="K265" i="22"/>
  <c r="L265" i="22" a="1"/>
  <c r="L265" i="22" s="1"/>
  <c r="K273" i="22"/>
  <c r="L273" i="22" a="1"/>
  <c r="L273" i="22" s="1"/>
  <c r="K281" i="22"/>
  <c r="L281" i="22" a="1"/>
  <c r="L281" i="22" s="1"/>
  <c r="K289" i="22"/>
  <c r="L289" i="22" a="1"/>
  <c r="L289" i="22" s="1"/>
  <c r="K9" i="21"/>
  <c r="L9" i="21" a="1"/>
  <c r="L9" i="21" s="1"/>
  <c r="K17" i="21"/>
  <c r="L17" i="21" a="1"/>
  <c r="L17" i="21" s="1"/>
  <c r="K25" i="21"/>
  <c r="L25" i="21" a="1"/>
  <c r="L25" i="21" s="1"/>
  <c r="K33" i="21"/>
  <c r="L33" i="21" a="1"/>
  <c r="L33" i="21" s="1"/>
  <c r="K41" i="21"/>
  <c r="L41" i="21" a="1"/>
  <c r="L41" i="21" s="1"/>
  <c r="K49" i="21"/>
  <c r="L49" i="21" a="1"/>
  <c r="L49" i="21" s="1"/>
  <c r="K57" i="21"/>
  <c r="L57" i="21" a="1"/>
  <c r="L57" i="21" s="1"/>
  <c r="K65" i="21"/>
  <c r="L65" i="21" a="1"/>
  <c r="L65" i="21" s="1"/>
  <c r="K73" i="21"/>
  <c r="L73" i="21" a="1"/>
  <c r="L73" i="21" s="1"/>
  <c r="K81" i="21"/>
  <c r="L81" i="21" a="1"/>
  <c r="L81" i="21" s="1"/>
  <c r="K89" i="21"/>
  <c r="L89" i="21" a="1"/>
  <c r="L89" i="21" s="1"/>
  <c r="K97" i="21"/>
  <c r="L97" i="21" a="1"/>
  <c r="L97" i="21" s="1"/>
  <c r="K105" i="21"/>
  <c r="L105" i="21" a="1"/>
  <c r="L105" i="21" s="1"/>
  <c r="K113" i="21"/>
  <c r="L113" i="21" a="1"/>
  <c r="L113" i="21" s="1"/>
  <c r="K121" i="21"/>
  <c r="L121" i="21" a="1"/>
  <c r="L121" i="21" s="1"/>
  <c r="K129" i="21"/>
  <c r="L129" i="21" a="1"/>
  <c r="L129" i="21" s="1"/>
  <c r="K137" i="21"/>
  <c r="L137" i="21" a="1"/>
  <c r="L137" i="21" s="1"/>
  <c r="K145" i="21"/>
  <c r="L145" i="21" a="1"/>
  <c r="L145" i="21" s="1"/>
  <c r="K153" i="21"/>
  <c r="L153" i="21" a="1"/>
  <c r="L153" i="21" s="1"/>
  <c r="K161" i="21"/>
  <c r="L161" i="21" a="1"/>
  <c r="L161" i="21" s="1"/>
  <c r="K169" i="21"/>
  <c r="L169" i="21" a="1"/>
  <c r="L169" i="21" s="1"/>
  <c r="K177" i="21"/>
  <c r="L177" i="21" a="1"/>
  <c r="L177" i="21" s="1"/>
  <c r="K185" i="21"/>
  <c r="L185" i="21" a="1"/>
  <c r="L185" i="21" s="1"/>
  <c r="K193" i="21"/>
  <c r="L193" i="21" a="1"/>
  <c r="L193" i="21" s="1"/>
  <c r="K201" i="21"/>
  <c r="L201" i="21" a="1"/>
  <c r="L201" i="21" s="1"/>
  <c r="K209" i="21"/>
  <c r="L209" i="21" a="1"/>
  <c r="L209" i="21" s="1"/>
  <c r="K217" i="21"/>
  <c r="L217" i="21" a="1"/>
  <c r="L217" i="21" s="1"/>
  <c r="K225" i="21"/>
  <c r="L225" i="21" a="1"/>
  <c r="L225" i="21" s="1"/>
  <c r="K233" i="21"/>
  <c r="L233" i="21" a="1"/>
  <c r="L233" i="21" s="1"/>
  <c r="K241" i="21"/>
  <c r="L241" i="21" a="1"/>
  <c r="L241" i="21" s="1"/>
  <c r="K249" i="21"/>
  <c r="L249" i="21" a="1"/>
  <c r="L249" i="21" s="1"/>
  <c r="K257" i="21"/>
  <c r="L257" i="21" a="1"/>
  <c r="L257" i="21" s="1"/>
  <c r="K265" i="21"/>
  <c r="L265" i="21" a="1"/>
  <c r="L265" i="21" s="1"/>
  <c r="K273" i="21"/>
  <c r="L273" i="21" a="1"/>
  <c r="L273" i="21" s="1"/>
  <c r="K281" i="21"/>
  <c r="L281" i="21" a="1"/>
  <c r="L281" i="21" s="1"/>
  <c r="K289" i="21"/>
  <c r="L289" i="21" a="1"/>
  <c r="L289" i="21" s="1"/>
  <c r="K256" i="13"/>
  <c r="L256" i="13" a="1"/>
  <c r="L256" i="13" s="1"/>
  <c r="K208" i="13"/>
  <c r="L208" i="13" a="1"/>
  <c r="L208" i="13" s="1"/>
  <c r="K160" i="13"/>
  <c r="L160" i="13" a="1"/>
  <c r="L160" i="13" s="1"/>
  <c r="K120" i="13"/>
  <c r="L120" i="13" a="1"/>
  <c r="L120" i="13" s="1"/>
  <c r="K64" i="13"/>
  <c r="L64" i="13" a="1"/>
  <c r="L64" i="13" s="1"/>
  <c r="K8" i="13"/>
  <c r="L8" i="13" a="1"/>
  <c r="L8" i="13" s="1"/>
  <c r="K92" i="20"/>
  <c r="L92" i="20" a="1"/>
  <c r="L92" i="20" s="1"/>
  <c r="K132" i="20"/>
  <c r="L132" i="20" a="1"/>
  <c r="L132" i="20" s="1"/>
  <c r="K180" i="20"/>
  <c r="L180" i="20" a="1"/>
  <c r="L180" i="20" s="1"/>
  <c r="K244" i="20"/>
  <c r="L244" i="20" a="1"/>
  <c r="L244" i="20" s="1"/>
  <c r="K292" i="20"/>
  <c r="L292" i="20" a="1"/>
  <c r="L292" i="20" s="1"/>
  <c r="K44" i="22"/>
  <c r="L44" i="22" a="1"/>
  <c r="L44" i="22" s="1"/>
  <c r="K92" i="22"/>
  <c r="L92" i="22" a="1"/>
  <c r="L92" i="22" s="1"/>
  <c r="K140" i="22"/>
  <c r="L140" i="22" a="1"/>
  <c r="L140" i="22" s="1"/>
  <c r="K196" i="22"/>
  <c r="L196" i="22" a="1"/>
  <c r="L196" i="22" s="1"/>
  <c r="K252" i="22"/>
  <c r="L252" i="22" a="1"/>
  <c r="L252" i="22" s="1"/>
  <c r="K12" i="21"/>
  <c r="L12" i="21" a="1"/>
  <c r="L12" i="21" s="1"/>
  <c r="K52" i="21"/>
  <c r="L52" i="21" a="1"/>
  <c r="L52" i="21" s="1"/>
  <c r="K108" i="21"/>
  <c r="L108" i="21" a="1"/>
  <c r="L108" i="21" s="1"/>
  <c r="K156" i="21"/>
  <c r="L156" i="21" a="1"/>
  <c r="L156" i="21" s="1"/>
  <c r="K228" i="21"/>
  <c r="L228" i="21" a="1"/>
  <c r="L228" i="21" s="1"/>
  <c r="K276" i="21"/>
  <c r="L276" i="21" a="1"/>
  <c r="L276" i="21" s="1"/>
  <c r="K239" i="13"/>
  <c r="L239" i="13" a="1"/>
  <c r="L239" i="13" s="1"/>
  <c r="K183" i="13"/>
  <c r="L183" i="13" a="1"/>
  <c r="L183" i="13" s="1"/>
  <c r="K135" i="13"/>
  <c r="L135" i="13" a="1"/>
  <c r="L135" i="13" s="1"/>
  <c r="K79" i="13"/>
  <c r="L79" i="13" a="1"/>
  <c r="L79" i="13" s="1"/>
  <c r="K39" i="13"/>
  <c r="L39" i="13" a="1"/>
  <c r="L39" i="13" s="1"/>
  <c r="K29" i="20"/>
  <c r="L29" i="20" a="1"/>
  <c r="L29" i="20" s="1"/>
  <c r="K77" i="20"/>
  <c r="L77" i="20" a="1"/>
  <c r="L77" i="20" s="1"/>
  <c r="K133" i="20"/>
  <c r="L133" i="20" a="1"/>
  <c r="L133" i="20" s="1"/>
  <c r="K181" i="20"/>
  <c r="L181" i="20" a="1"/>
  <c r="L181" i="20" s="1"/>
  <c r="K229" i="20"/>
  <c r="L229" i="20" a="1"/>
  <c r="L229" i="20" s="1"/>
  <c r="K277" i="20"/>
  <c r="L277" i="20" a="1"/>
  <c r="L277" i="20" s="1"/>
  <c r="K37" i="22"/>
  <c r="L37" i="22" a="1"/>
  <c r="L37" i="22" s="1"/>
  <c r="K85" i="22"/>
  <c r="L85" i="22" a="1"/>
  <c r="L85" i="22" s="1"/>
  <c r="K133" i="22"/>
  <c r="L133" i="22" a="1"/>
  <c r="L133" i="22" s="1"/>
  <c r="K181" i="22"/>
  <c r="L181" i="22" a="1"/>
  <c r="L181" i="22" s="1"/>
  <c r="K213" i="22"/>
  <c r="L213" i="22" a="1"/>
  <c r="L213" i="22" s="1"/>
  <c r="K261" i="22"/>
  <c r="L261" i="22" a="1"/>
  <c r="L261" i="22" s="1"/>
  <c r="K21" i="21"/>
  <c r="L21" i="21" a="1"/>
  <c r="L21" i="21" s="1"/>
  <c r="K61" i="21"/>
  <c r="L61" i="21" a="1"/>
  <c r="L61" i="21" s="1"/>
  <c r="K109" i="21"/>
  <c r="L109" i="21" a="1"/>
  <c r="L109" i="21" s="1"/>
  <c r="K157" i="21"/>
  <c r="L157" i="21" a="1"/>
  <c r="L157" i="21" s="1"/>
  <c r="K197" i="21"/>
  <c r="L197" i="21" a="1"/>
  <c r="L197" i="21" s="1"/>
  <c r="K237" i="21"/>
  <c r="L237" i="21" a="1"/>
  <c r="L237" i="21" s="1"/>
  <c r="K269" i="21"/>
  <c r="L269" i="21" a="1"/>
  <c r="L269" i="21" s="1"/>
  <c r="K261" i="13"/>
  <c r="L261" i="13" a="1"/>
  <c r="L261" i="13" s="1"/>
  <c r="K213" i="13"/>
  <c r="L213" i="13" a="1"/>
  <c r="L213" i="13" s="1"/>
  <c r="K181" i="13"/>
  <c r="L181" i="13" a="1"/>
  <c r="L181" i="13" s="1"/>
  <c r="K125" i="13"/>
  <c r="L125" i="13" a="1"/>
  <c r="L125" i="13" s="1"/>
  <c r="K290" i="13"/>
  <c r="L290" i="13" a="1"/>
  <c r="L290" i="13" s="1"/>
  <c r="K282" i="13"/>
  <c r="L282" i="13" a="1"/>
  <c r="L282" i="13" s="1"/>
  <c r="K274" i="13"/>
  <c r="L274" i="13" a="1"/>
  <c r="L274" i="13" s="1"/>
  <c r="K266" i="13"/>
  <c r="L266" i="13" a="1"/>
  <c r="L266" i="13" s="1"/>
  <c r="K258" i="13"/>
  <c r="L258" i="13" a="1"/>
  <c r="L258" i="13" s="1"/>
  <c r="K250" i="13"/>
  <c r="L250" i="13" a="1"/>
  <c r="L250" i="13" s="1"/>
  <c r="K242" i="13"/>
  <c r="L242" i="13" a="1"/>
  <c r="L242" i="13" s="1"/>
  <c r="K234" i="13"/>
  <c r="L234" i="13" a="1"/>
  <c r="L234" i="13" s="1"/>
  <c r="K226" i="13"/>
  <c r="L226" i="13" a="1"/>
  <c r="L226" i="13" s="1"/>
  <c r="K218" i="13"/>
  <c r="L218" i="13" a="1"/>
  <c r="L218" i="13" s="1"/>
  <c r="K210" i="13"/>
  <c r="L210" i="13" a="1"/>
  <c r="L210" i="13" s="1"/>
  <c r="K202" i="13"/>
  <c r="L202" i="13" a="1"/>
  <c r="L202" i="13" s="1"/>
  <c r="K194" i="13"/>
  <c r="L194" i="13" a="1"/>
  <c r="L194" i="13" s="1"/>
  <c r="K186" i="13"/>
  <c r="L186" i="13" a="1"/>
  <c r="L186" i="13" s="1"/>
  <c r="K178" i="13"/>
  <c r="L178" i="13" a="1"/>
  <c r="L178" i="13" s="1"/>
  <c r="K170" i="13"/>
  <c r="L170" i="13" a="1"/>
  <c r="L170" i="13" s="1"/>
  <c r="K162" i="13"/>
  <c r="L162" i="13" a="1"/>
  <c r="L162" i="13" s="1"/>
  <c r="K154" i="13"/>
  <c r="L154" i="13" a="1"/>
  <c r="L154" i="13" s="1"/>
  <c r="K146" i="13"/>
  <c r="L146" i="13" a="1"/>
  <c r="L146" i="13" s="1"/>
  <c r="K138" i="13"/>
  <c r="L138" i="13" a="1"/>
  <c r="L138" i="13" s="1"/>
  <c r="K130" i="13"/>
  <c r="L130" i="13" a="1"/>
  <c r="L130" i="13" s="1"/>
  <c r="K122" i="13"/>
  <c r="L122" i="13" a="1"/>
  <c r="L122" i="13" s="1"/>
  <c r="K114" i="13"/>
  <c r="L114" i="13" a="1"/>
  <c r="L114" i="13" s="1"/>
  <c r="K106" i="13"/>
  <c r="L106" i="13" a="1"/>
  <c r="L106" i="13" s="1"/>
  <c r="K98" i="13"/>
  <c r="L98" i="13" a="1"/>
  <c r="L98" i="13" s="1"/>
  <c r="K90" i="13"/>
  <c r="L90" i="13" a="1"/>
  <c r="L90" i="13" s="1"/>
  <c r="K82" i="13"/>
  <c r="L82" i="13" a="1"/>
  <c r="L82" i="13" s="1"/>
  <c r="K74" i="13"/>
  <c r="L74" i="13" a="1"/>
  <c r="L74" i="13" s="1"/>
  <c r="K66" i="13"/>
  <c r="L66" i="13" a="1"/>
  <c r="L66" i="13" s="1"/>
  <c r="K58" i="13"/>
  <c r="L58" i="13" a="1"/>
  <c r="L58" i="13" s="1"/>
  <c r="K50" i="13"/>
  <c r="L50" i="13" a="1"/>
  <c r="L50" i="13" s="1"/>
  <c r="K42" i="13"/>
  <c r="L42" i="13" a="1"/>
  <c r="L42" i="13" s="1"/>
  <c r="K34" i="13"/>
  <c r="L34" i="13" a="1"/>
  <c r="L34" i="13" s="1"/>
  <c r="K26" i="13"/>
  <c r="L26" i="13" a="1"/>
  <c r="L26" i="13" s="1"/>
  <c r="K18" i="13"/>
  <c r="L18" i="13" a="1"/>
  <c r="L18" i="13" s="1"/>
  <c r="K10" i="13"/>
  <c r="L10" i="13" a="1"/>
  <c r="L10" i="13" s="1"/>
  <c r="K10" i="20"/>
  <c r="L10" i="20" a="1"/>
  <c r="L10" i="20" s="1"/>
  <c r="K18" i="20"/>
  <c r="L18" i="20" a="1"/>
  <c r="L18" i="20" s="1"/>
  <c r="K26" i="20"/>
  <c r="L26" i="20" a="1"/>
  <c r="L26" i="20" s="1"/>
  <c r="K34" i="20"/>
  <c r="L34" i="20" a="1"/>
  <c r="L34" i="20" s="1"/>
  <c r="K42" i="20"/>
  <c r="L42" i="20" a="1"/>
  <c r="L42" i="20" s="1"/>
  <c r="K50" i="20"/>
  <c r="L50" i="20" a="1"/>
  <c r="L50" i="20" s="1"/>
  <c r="K58" i="20"/>
  <c r="L58" i="20" a="1"/>
  <c r="L58" i="20" s="1"/>
  <c r="K66" i="20"/>
  <c r="L66" i="20" a="1"/>
  <c r="L66" i="20" s="1"/>
  <c r="K74" i="20"/>
  <c r="L74" i="20" a="1"/>
  <c r="L74" i="20" s="1"/>
  <c r="K82" i="20"/>
  <c r="L82" i="20" a="1"/>
  <c r="L82" i="20" s="1"/>
  <c r="K90" i="20"/>
  <c r="L90" i="20" a="1"/>
  <c r="L90" i="20" s="1"/>
  <c r="K98" i="20"/>
  <c r="L98" i="20" a="1"/>
  <c r="L98" i="20" s="1"/>
  <c r="K106" i="20"/>
  <c r="L106" i="20" a="1"/>
  <c r="L106" i="20" s="1"/>
  <c r="K114" i="20"/>
  <c r="L114" i="20" a="1"/>
  <c r="L114" i="20" s="1"/>
  <c r="K122" i="20"/>
  <c r="L122" i="20" a="1"/>
  <c r="L122" i="20" s="1"/>
  <c r="K130" i="20"/>
  <c r="L130" i="20" a="1"/>
  <c r="L130" i="20" s="1"/>
  <c r="K138" i="20"/>
  <c r="L138" i="20" a="1"/>
  <c r="L138" i="20" s="1"/>
  <c r="K146" i="20"/>
  <c r="L146" i="20" a="1"/>
  <c r="L146" i="20" s="1"/>
  <c r="K154" i="20"/>
  <c r="L154" i="20" a="1"/>
  <c r="L154" i="20" s="1"/>
  <c r="K162" i="20"/>
  <c r="L162" i="20" a="1"/>
  <c r="L162" i="20" s="1"/>
  <c r="K170" i="20"/>
  <c r="L170" i="20" a="1"/>
  <c r="L170" i="20" s="1"/>
  <c r="K178" i="20"/>
  <c r="L178" i="20" a="1"/>
  <c r="L178" i="20" s="1"/>
  <c r="K186" i="20"/>
  <c r="L186" i="20" a="1"/>
  <c r="L186" i="20" s="1"/>
  <c r="K194" i="20"/>
  <c r="L194" i="20" a="1"/>
  <c r="L194" i="20" s="1"/>
  <c r="K202" i="20"/>
  <c r="L202" i="20" a="1"/>
  <c r="L202" i="20" s="1"/>
  <c r="K210" i="20"/>
  <c r="L210" i="20" a="1"/>
  <c r="L210" i="20" s="1"/>
  <c r="K218" i="20"/>
  <c r="L218" i="20" a="1"/>
  <c r="L218" i="20" s="1"/>
  <c r="K226" i="20"/>
  <c r="L226" i="20" a="1"/>
  <c r="L226" i="20" s="1"/>
  <c r="K234" i="20"/>
  <c r="L234" i="20" a="1"/>
  <c r="L234" i="20" s="1"/>
  <c r="K242" i="20"/>
  <c r="L242" i="20" a="1"/>
  <c r="L242" i="20" s="1"/>
  <c r="K250" i="20"/>
  <c r="L250" i="20" a="1"/>
  <c r="L250" i="20" s="1"/>
  <c r="K258" i="20"/>
  <c r="L258" i="20" a="1"/>
  <c r="L258" i="20" s="1"/>
  <c r="K266" i="20"/>
  <c r="L266" i="20" a="1"/>
  <c r="L266" i="20" s="1"/>
  <c r="K274" i="20"/>
  <c r="L274" i="20" a="1"/>
  <c r="L274" i="20" s="1"/>
  <c r="K282" i="20"/>
  <c r="L282" i="20" a="1"/>
  <c r="L282" i="20" s="1"/>
  <c r="K290" i="20"/>
  <c r="L290" i="20" a="1"/>
  <c r="L290" i="20" s="1"/>
  <c r="K10" i="22"/>
  <c r="L10" i="22" a="1"/>
  <c r="L10" i="22" s="1"/>
  <c r="K18" i="22"/>
  <c r="L18" i="22" a="1"/>
  <c r="L18" i="22" s="1"/>
  <c r="K26" i="22"/>
  <c r="N249" i="40" s="1"/>
  <c r="L26" i="22" a="1"/>
  <c r="L26" i="22" s="1"/>
  <c r="K34" i="22"/>
  <c r="L34" i="22" a="1"/>
  <c r="L34" i="22" s="1"/>
  <c r="K42" i="22"/>
  <c r="L42" i="22" a="1"/>
  <c r="L42" i="22" s="1"/>
  <c r="K50" i="22"/>
  <c r="L50" i="22" a="1"/>
  <c r="L50" i="22" s="1"/>
  <c r="K58" i="22"/>
  <c r="L58" i="22" a="1"/>
  <c r="L58" i="22" s="1"/>
  <c r="K66" i="22"/>
  <c r="L66" i="22" a="1"/>
  <c r="L66" i="22" s="1"/>
  <c r="K74" i="22"/>
  <c r="L74" i="22" a="1"/>
  <c r="L74" i="22" s="1"/>
  <c r="K82" i="22"/>
  <c r="L82" i="22" a="1"/>
  <c r="L82" i="22" s="1"/>
  <c r="K90" i="22"/>
  <c r="L90" i="22" a="1"/>
  <c r="L90" i="22" s="1"/>
  <c r="K98" i="22"/>
  <c r="L98" i="22" a="1"/>
  <c r="L98" i="22" s="1"/>
  <c r="K106" i="22"/>
  <c r="L106" i="22" a="1"/>
  <c r="L106" i="22" s="1"/>
  <c r="K114" i="22"/>
  <c r="L114" i="22" a="1"/>
  <c r="L114" i="22" s="1"/>
  <c r="K122" i="22"/>
  <c r="L122" i="22" a="1"/>
  <c r="L122" i="22" s="1"/>
  <c r="K130" i="22"/>
  <c r="L130" i="22" a="1"/>
  <c r="L130" i="22" s="1"/>
  <c r="K138" i="22"/>
  <c r="L138" i="22" a="1"/>
  <c r="L138" i="22" s="1"/>
  <c r="K146" i="22"/>
  <c r="L146" i="22" a="1"/>
  <c r="L146" i="22" s="1"/>
  <c r="K154" i="22"/>
  <c r="L154" i="22" a="1"/>
  <c r="L154" i="22" s="1"/>
  <c r="K162" i="22"/>
  <c r="L162" i="22" a="1"/>
  <c r="L162" i="22" s="1"/>
  <c r="K170" i="22"/>
  <c r="L170" i="22" a="1"/>
  <c r="L170" i="22" s="1"/>
  <c r="K178" i="22"/>
  <c r="L178" i="22" a="1"/>
  <c r="L178" i="22" s="1"/>
  <c r="K186" i="22"/>
  <c r="L186" i="22" a="1"/>
  <c r="L186" i="22" s="1"/>
  <c r="K194" i="22"/>
  <c r="L194" i="22" a="1"/>
  <c r="L194" i="22" s="1"/>
  <c r="K202" i="22"/>
  <c r="L202" i="22" a="1"/>
  <c r="L202" i="22" s="1"/>
  <c r="K210" i="22"/>
  <c r="L210" i="22" a="1"/>
  <c r="L210" i="22" s="1"/>
  <c r="K218" i="22"/>
  <c r="L218" i="22" a="1"/>
  <c r="L218" i="22" s="1"/>
  <c r="K226" i="22"/>
  <c r="L226" i="22" a="1"/>
  <c r="L226" i="22" s="1"/>
  <c r="K234" i="22"/>
  <c r="L234" i="22" a="1"/>
  <c r="L234" i="22" s="1"/>
  <c r="K242" i="22"/>
  <c r="L242" i="22" a="1"/>
  <c r="L242" i="22" s="1"/>
  <c r="K250" i="22"/>
  <c r="L250" i="22" a="1"/>
  <c r="L250" i="22" s="1"/>
  <c r="K258" i="22"/>
  <c r="L258" i="22" a="1"/>
  <c r="L258" i="22" s="1"/>
  <c r="K266" i="22"/>
  <c r="L266" i="22" a="1"/>
  <c r="L266" i="22" s="1"/>
  <c r="K274" i="22"/>
  <c r="L274" i="22" a="1"/>
  <c r="L274" i="22" s="1"/>
  <c r="K282" i="22"/>
  <c r="L282" i="22" a="1"/>
  <c r="L282" i="22" s="1"/>
  <c r="K290" i="22"/>
  <c r="L290" i="22" a="1"/>
  <c r="L290" i="22" s="1"/>
  <c r="K10" i="21"/>
  <c r="L10" i="21" a="1"/>
  <c r="L10" i="21" s="1"/>
  <c r="K18" i="21"/>
  <c r="L18" i="21" a="1"/>
  <c r="L18" i="21" s="1"/>
  <c r="K26" i="21"/>
  <c r="L26" i="21" a="1"/>
  <c r="L26" i="21" s="1"/>
  <c r="K34" i="21"/>
  <c r="L34" i="21" a="1"/>
  <c r="L34" i="21" s="1"/>
  <c r="K42" i="21"/>
  <c r="L42" i="21" a="1"/>
  <c r="L42" i="21" s="1"/>
  <c r="K50" i="21"/>
  <c r="L50" i="21" a="1"/>
  <c r="L50" i="21" s="1"/>
  <c r="K58" i="21"/>
  <c r="L58" i="21" a="1"/>
  <c r="L58" i="21" s="1"/>
  <c r="K66" i="21"/>
  <c r="L66" i="21" a="1"/>
  <c r="L66" i="21" s="1"/>
  <c r="K74" i="21"/>
  <c r="L74" i="21" a="1"/>
  <c r="L74" i="21" s="1"/>
  <c r="K82" i="21"/>
  <c r="L82" i="21" a="1"/>
  <c r="L82" i="21" s="1"/>
  <c r="K90" i="21"/>
  <c r="L90" i="21" a="1"/>
  <c r="L90" i="21" s="1"/>
  <c r="K98" i="21"/>
  <c r="L98" i="21" a="1"/>
  <c r="L98" i="21" s="1"/>
  <c r="K106" i="21"/>
  <c r="L106" i="21" a="1"/>
  <c r="L106" i="21" s="1"/>
  <c r="K114" i="21"/>
  <c r="L114" i="21" a="1"/>
  <c r="L114" i="21" s="1"/>
  <c r="K122" i="21"/>
  <c r="L122" i="21" a="1"/>
  <c r="L122" i="21" s="1"/>
  <c r="K130" i="21"/>
  <c r="L130" i="21" a="1"/>
  <c r="L130" i="21" s="1"/>
  <c r="K138" i="21"/>
  <c r="L138" i="21" a="1"/>
  <c r="L138" i="21" s="1"/>
  <c r="K146" i="21"/>
  <c r="L146" i="21" a="1"/>
  <c r="L146" i="21" s="1"/>
  <c r="K154" i="21"/>
  <c r="L154" i="21" a="1"/>
  <c r="L154" i="21" s="1"/>
  <c r="K162" i="21"/>
  <c r="L162" i="21" a="1"/>
  <c r="L162" i="21" s="1"/>
  <c r="K170" i="21"/>
  <c r="L170" i="21" a="1"/>
  <c r="L170" i="21" s="1"/>
  <c r="K178" i="21"/>
  <c r="L178" i="21" a="1"/>
  <c r="L178" i="21" s="1"/>
  <c r="K186" i="21"/>
  <c r="L186" i="21" a="1"/>
  <c r="L186" i="21" s="1"/>
  <c r="K194" i="21"/>
  <c r="L194" i="21" a="1"/>
  <c r="L194" i="21" s="1"/>
  <c r="K202" i="21"/>
  <c r="L202" i="21" a="1"/>
  <c r="L202" i="21" s="1"/>
  <c r="K210" i="21"/>
  <c r="L210" i="21" a="1"/>
  <c r="L210" i="21" s="1"/>
  <c r="K218" i="21"/>
  <c r="L218" i="21" a="1"/>
  <c r="L218" i="21" s="1"/>
  <c r="K226" i="21"/>
  <c r="L226" i="21" a="1"/>
  <c r="L226" i="21" s="1"/>
  <c r="K234" i="21"/>
  <c r="L234" i="21" a="1"/>
  <c r="L234" i="21" s="1"/>
  <c r="K242" i="21"/>
  <c r="L242" i="21" a="1"/>
  <c r="L242" i="21" s="1"/>
  <c r="K250" i="21"/>
  <c r="L250" i="21" a="1"/>
  <c r="L250" i="21" s="1"/>
  <c r="K258" i="21"/>
  <c r="L258" i="21" a="1"/>
  <c r="L258" i="21" s="1"/>
  <c r="K266" i="21"/>
  <c r="L266" i="21" a="1"/>
  <c r="L266" i="21" s="1"/>
  <c r="K274" i="21"/>
  <c r="L274" i="21" a="1"/>
  <c r="L274" i="21" s="1"/>
  <c r="K282" i="21"/>
  <c r="L282" i="21" a="1"/>
  <c r="L282" i="21" s="1"/>
  <c r="K290" i="21"/>
  <c r="L290" i="21" a="1"/>
  <c r="L290" i="21" s="1"/>
  <c r="K264" i="13"/>
  <c r="L264" i="13" a="1"/>
  <c r="L264" i="13" s="1"/>
  <c r="K216" i="13"/>
  <c r="L216" i="13" a="1"/>
  <c r="L216" i="13" s="1"/>
  <c r="K168" i="13"/>
  <c r="L168" i="13" a="1"/>
  <c r="L168" i="13" s="1"/>
  <c r="K112" i="13"/>
  <c r="L112" i="13" a="1"/>
  <c r="L112" i="13" s="1"/>
  <c r="K56" i="13"/>
  <c r="L56" i="13" a="1"/>
  <c r="L56" i="13" s="1"/>
  <c r="K16" i="13"/>
  <c r="L16" i="13" a="1"/>
  <c r="L16" i="13" s="1"/>
  <c r="K44" i="20"/>
  <c r="L44" i="20" a="1"/>
  <c r="L44" i="20" s="1"/>
  <c r="K84" i="20"/>
  <c r="L84" i="20" a="1"/>
  <c r="L84" i="20" s="1"/>
  <c r="K140" i="20"/>
  <c r="L140" i="20" a="1"/>
  <c r="L140" i="20" s="1"/>
  <c r="K196" i="20"/>
  <c r="L196" i="20" a="1"/>
  <c r="L196" i="20" s="1"/>
  <c r="K236" i="20"/>
  <c r="L236" i="20" a="1"/>
  <c r="L236" i="20" s="1"/>
  <c r="K284" i="20"/>
  <c r="L284" i="20" a="1"/>
  <c r="L284" i="20" s="1"/>
  <c r="K52" i="22"/>
  <c r="L52" i="22" a="1"/>
  <c r="L52" i="22" s="1"/>
  <c r="K100" i="22"/>
  <c r="L100" i="22" a="1"/>
  <c r="L100" i="22" s="1"/>
  <c r="K156" i="22"/>
  <c r="L156" i="22" a="1"/>
  <c r="L156" i="22" s="1"/>
  <c r="K204" i="22"/>
  <c r="L204" i="22" a="1"/>
  <c r="L204" i="22" s="1"/>
  <c r="K244" i="22"/>
  <c r="L244" i="22" a="1"/>
  <c r="L244" i="22" s="1"/>
  <c r="K60" i="21"/>
  <c r="L60" i="21" a="1"/>
  <c r="L60" i="21" s="1"/>
  <c r="K116" i="21"/>
  <c r="L116" i="21" a="1"/>
  <c r="L116" i="21" s="1"/>
  <c r="K172" i="21"/>
  <c r="L172" i="21" a="1"/>
  <c r="L172" i="21" s="1"/>
  <c r="K220" i="21"/>
  <c r="L220" i="21" a="1"/>
  <c r="L220" i="21" s="1"/>
  <c r="K260" i="21"/>
  <c r="L260" i="21" a="1"/>
  <c r="L260" i="21" s="1"/>
  <c r="K287" i="13"/>
  <c r="L287" i="13" a="1"/>
  <c r="L287" i="13" s="1"/>
  <c r="K231" i="13"/>
  <c r="L231" i="13" a="1"/>
  <c r="L231" i="13" s="1"/>
  <c r="K191" i="13"/>
  <c r="L191" i="13" a="1"/>
  <c r="L191" i="13" s="1"/>
  <c r="K127" i="13"/>
  <c r="L127" i="13" a="1"/>
  <c r="L127" i="13" s="1"/>
  <c r="K87" i="13"/>
  <c r="L87" i="13" a="1"/>
  <c r="L87" i="13" s="1"/>
  <c r="K31" i="13"/>
  <c r="L31" i="13" a="1"/>
  <c r="L31" i="13" s="1"/>
  <c r="K21" i="20"/>
  <c r="L21" i="20" a="1"/>
  <c r="L21" i="20" s="1"/>
  <c r="K85" i="20"/>
  <c r="L85" i="20" a="1"/>
  <c r="L85" i="20" s="1"/>
  <c r="K125" i="20"/>
  <c r="L125" i="20" a="1"/>
  <c r="L125" i="20" s="1"/>
  <c r="K173" i="20"/>
  <c r="L173" i="20" a="1"/>
  <c r="L173" i="20" s="1"/>
  <c r="K221" i="20"/>
  <c r="L221" i="20" a="1"/>
  <c r="L221" i="20" s="1"/>
  <c r="K269" i="20"/>
  <c r="L269" i="20" a="1"/>
  <c r="L269" i="20" s="1"/>
  <c r="K21" i="22"/>
  <c r="L21" i="22" a="1"/>
  <c r="L21" i="22" s="1"/>
  <c r="K77" i="22"/>
  <c r="L77" i="22" a="1"/>
  <c r="L77" i="22" s="1"/>
  <c r="K125" i="22"/>
  <c r="L125" i="22" a="1"/>
  <c r="L125" i="22" s="1"/>
  <c r="K173" i="22"/>
  <c r="L173" i="22" a="1"/>
  <c r="L173" i="22" s="1"/>
  <c r="K221" i="22"/>
  <c r="L221" i="22" a="1"/>
  <c r="L221" i="22" s="1"/>
  <c r="K269" i="22"/>
  <c r="L269" i="22" a="1"/>
  <c r="L269" i="22" s="1"/>
  <c r="K13" i="21"/>
  <c r="L13" i="21" a="1"/>
  <c r="L13" i="21" s="1"/>
  <c r="K69" i="21"/>
  <c r="L69" i="21" a="1"/>
  <c r="L69" i="21" s="1"/>
  <c r="K117" i="21"/>
  <c r="L117" i="21" a="1"/>
  <c r="L117" i="21" s="1"/>
  <c r="K165" i="21"/>
  <c r="L165" i="21" a="1"/>
  <c r="L165" i="21" s="1"/>
  <c r="K205" i="21"/>
  <c r="L205" i="21" a="1"/>
  <c r="L205" i="21" s="1"/>
  <c r="K245" i="21"/>
  <c r="L245" i="21" a="1"/>
  <c r="L245" i="21" s="1"/>
  <c r="K293" i="21"/>
  <c r="L293" i="21" a="1"/>
  <c r="L293" i="21" s="1"/>
  <c r="K269" i="13"/>
  <c r="L269" i="13" a="1"/>
  <c r="L269" i="13" s="1"/>
  <c r="K229" i="13"/>
  <c r="L229" i="13" a="1"/>
  <c r="L229" i="13" s="1"/>
  <c r="K173" i="13"/>
  <c r="L173" i="13" a="1"/>
  <c r="L173" i="13" s="1"/>
  <c r="K133" i="13"/>
  <c r="L133" i="13" a="1"/>
  <c r="L133" i="13" s="1"/>
  <c r="K289" i="13"/>
  <c r="L289" i="13" a="1"/>
  <c r="L289" i="13" s="1"/>
  <c r="K281" i="13"/>
  <c r="L281" i="13" a="1"/>
  <c r="L281" i="13" s="1"/>
  <c r="K273" i="13"/>
  <c r="L273" i="13" a="1"/>
  <c r="L273" i="13" s="1"/>
  <c r="K265" i="13"/>
  <c r="L265" i="13" a="1"/>
  <c r="L265" i="13" s="1"/>
  <c r="K257" i="13"/>
  <c r="L257" i="13" a="1"/>
  <c r="L257" i="13" s="1"/>
  <c r="K249" i="13"/>
  <c r="L249" i="13" a="1"/>
  <c r="L249" i="13" s="1"/>
  <c r="K241" i="13"/>
  <c r="L241" i="13" a="1"/>
  <c r="L241" i="13" s="1"/>
  <c r="K233" i="13"/>
  <c r="L233" i="13" a="1"/>
  <c r="L233" i="13" s="1"/>
  <c r="K225" i="13"/>
  <c r="L225" i="13" a="1"/>
  <c r="L225" i="13" s="1"/>
  <c r="K217" i="13"/>
  <c r="L217" i="13" a="1"/>
  <c r="L217" i="13" s="1"/>
  <c r="K209" i="13"/>
  <c r="L209" i="13" a="1"/>
  <c r="L209" i="13" s="1"/>
  <c r="K201" i="13"/>
  <c r="L201" i="13" a="1"/>
  <c r="L201" i="13" s="1"/>
  <c r="K193" i="13"/>
  <c r="L193" i="13" a="1"/>
  <c r="L193" i="13" s="1"/>
  <c r="K185" i="13"/>
  <c r="L185" i="13" a="1"/>
  <c r="L185" i="13" s="1"/>
  <c r="K177" i="13"/>
  <c r="L177" i="13" a="1"/>
  <c r="L177" i="13" s="1"/>
  <c r="K169" i="13"/>
  <c r="L169" i="13" a="1"/>
  <c r="L169" i="13" s="1"/>
  <c r="K161" i="13"/>
  <c r="L161" i="13" a="1"/>
  <c r="L161" i="13" s="1"/>
  <c r="K153" i="13"/>
  <c r="L153" i="13" a="1"/>
  <c r="L153" i="13" s="1"/>
  <c r="K145" i="13"/>
  <c r="L145" i="13" a="1"/>
  <c r="L145" i="13" s="1"/>
  <c r="K137" i="13"/>
  <c r="L137" i="13" a="1"/>
  <c r="L137" i="13" s="1"/>
  <c r="K129" i="13"/>
  <c r="L129" i="13" a="1"/>
  <c r="L129" i="13" s="1"/>
  <c r="K121" i="13"/>
  <c r="L121" i="13" a="1"/>
  <c r="L121" i="13" s="1"/>
  <c r="K113" i="13"/>
  <c r="L113" i="13" a="1"/>
  <c r="L113" i="13" s="1"/>
  <c r="K105" i="13"/>
  <c r="L105" i="13" a="1"/>
  <c r="L105" i="13" s="1"/>
  <c r="K97" i="13"/>
  <c r="L97" i="13" a="1"/>
  <c r="L97" i="13" s="1"/>
  <c r="K89" i="13"/>
  <c r="L89" i="13" a="1"/>
  <c r="L89" i="13" s="1"/>
  <c r="K81" i="13"/>
  <c r="L81" i="13" a="1"/>
  <c r="L81" i="13" s="1"/>
  <c r="K73" i="13"/>
  <c r="L73" i="13" a="1"/>
  <c r="L73" i="13" s="1"/>
  <c r="K65" i="13"/>
  <c r="L65" i="13" a="1"/>
  <c r="L65" i="13" s="1"/>
  <c r="K57" i="13"/>
  <c r="L57" i="13" a="1"/>
  <c r="L57" i="13" s="1"/>
  <c r="K49" i="13"/>
  <c r="L49" i="13" a="1"/>
  <c r="L49" i="13" s="1"/>
  <c r="K41" i="13"/>
  <c r="L41" i="13" a="1"/>
  <c r="L41" i="13" s="1"/>
  <c r="K33" i="13"/>
  <c r="L33" i="13" a="1"/>
  <c r="L33" i="13" s="1"/>
  <c r="K25" i="13"/>
  <c r="L25" i="13" a="1"/>
  <c r="L25" i="13" s="1"/>
  <c r="K17" i="13"/>
  <c r="L17" i="13" a="1"/>
  <c r="L17" i="13" s="1"/>
  <c r="K9" i="13"/>
  <c r="L9" i="13" a="1"/>
  <c r="L9" i="13" s="1"/>
  <c r="K11" i="20"/>
  <c r="L11" i="20" a="1"/>
  <c r="L11" i="20" s="1"/>
  <c r="K19" i="20"/>
  <c r="L19" i="20" a="1"/>
  <c r="L19" i="20" s="1"/>
  <c r="K27" i="20"/>
  <c r="K249" i="40" s="1"/>
  <c r="L27" i="20" a="1"/>
  <c r="L27" i="20" s="1"/>
  <c r="K35" i="20"/>
  <c r="L35" i="20" a="1"/>
  <c r="L35" i="20" s="1"/>
  <c r="K43" i="20"/>
  <c r="L43" i="20" a="1"/>
  <c r="L43" i="20" s="1"/>
  <c r="K51" i="20"/>
  <c r="L51" i="20" a="1"/>
  <c r="L51" i="20" s="1"/>
  <c r="K59" i="20"/>
  <c r="L59" i="20" a="1"/>
  <c r="L59" i="20" s="1"/>
  <c r="K67" i="20"/>
  <c r="L67" i="20" a="1"/>
  <c r="L67" i="20" s="1"/>
  <c r="K75" i="20"/>
  <c r="L75" i="20" a="1"/>
  <c r="L75" i="20" s="1"/>
  <c r="K83" i="20"/>
  <c r="L83" i="20" a="1"/>
  <c r="L83" i="20" s="1"/>
  <c r="K91" i="20"/>
  <c r="L91" i="20" a="1"/>
  <c r="L91" i="20" s="1"/>
  <c r="K99" i="20"/>
  <c r="L99" i="20" a="1"/>
  <c r="L99" i="20" s="1"/>
  <c r="K107" i="20"/>
  <c r="L107" i="20" a="1"/>
  <c r="L107" i="20" s="1"/>
  <c r="K115" i="20"/>
  <c r="L115" i="20" a="1"/>
  <c r="L115" i="20" s="1"/>
  <c r="K123" i="20"/>
  <c r="L123" i="20" a="1"/>
  <c r="L123" i="20" s="1"/>
  <c r="K131" i="20"/>
  <c r="L131" i="20" a="1"/>
  <c r="L131" i="20" s="1"/>
  <c r="K139" i="20"/>
  <c r="L139" i="20" a="1"/>
  <c r="L139" i="20" s="1"/>
  <c r="K147" i="20"/>
  <c r="L147" i="20" a="1"/>
  <c r="L147" i="20" s="1"/>
  <c r="K155" i="20"/>
  <c r="L155" i="20" a="1"/>
  <c r="L155" i="20" s="1"/>
  <c r="K163" i="20"/>
  <c r="L163" i="20" a="1"/>
  <c r="L163" i="20" s="1"/>
  <c r="K171" i="20"/>
  <c r="L171" i="20" a="1"/>
  <c r="L171" i="20" s="1"/>
  <c r="K179" i="20"/>
  <c r="L179" i="20" a="1"/>
  <c r="L179" i="20" s="1"/>
  <c r="K187" i="20"/>
  <c r="L187" i="20" a="1"/>
  <c r="L187" i="20" s="1"/>
  <c r="K195" i="20"/>
  <c r="L195" i="20" a="1"/>
  <c r="L195" i="20" s="1"/>
  <c r="K203" i="20"/>
  <c r="L203" i="20" a="1"/>
  <c r="L203" i="20" s="1"/>
  <c r="K211" i="20"/>
  <c r="L211" i="20" a="1"/>
  <c r="L211" i="20" s="1"/>
  <c r="K219" i="20"/>
  <c r="L219" i="20" a="1"/>
  <c r="L219" i="20" s="1"/>
  <c r="K227" i="20"/>
  <c r="L227" i="20" a="1"/>
  <c r="L227" i="20" s="1"/>
  <c r="K235" i="20"/>
  <c r="L235" i="20" a="1"/>
  <c r="L235" i="20" s="1"/>
  <c r="K243" i="20"/>
  <c r="L243" i="20" a="1"/>
  <c r="L243" i="20" s="1"/>
  <c r="K251" i="20"/>
  <c r="L251" i="20" a="1"/>
  <c r="L251" i="20" s="1"/>
  <c r="K259" i="20"/>
  <c r="L259" i="20" a="1"/>
  <c r="L259" i="20" s="1"/>
  <c r="K267" i="20"/>
  <c r="L267" i="20" a="1"/>
  <c r="L267" i="20" s="1"/>
  <c r="K275" i="20"/>
  <c r="L275" i="20" a="1"/>
  <c r="L275" i="20" s="1"/>
  <c r="K283" i="20"/>
  <c r="L283" i="20" a="1"/>
  <c r="L283" i="20" s="1"/>
  <c r="K291" i="20"/>
  <c r="L291" i="20" a="1"/>
  <c r="L291" i="20" s="1"/>
  <c r="K11" i="22"/>
  <c r="L11" i="22" a="1"/>
  <c r="L11" i="22" s="1"/>
  <c r="K19" i="22"/>
  <c r="L19" i="22" a="1"/>
  <c r="L19" i="22" s="1"/>
  <c r="K27" i="22"/>
  <c r="L27" i="22" a="1"/>
  <c r="L27" i="22" s="1"/>
  <c r="K35" i="22"/>
  <c r="L35" i="22" a="1"/>
  <c r="L35" i="22" s="1"/>
  <c r="K43" i="22"/>
  <c r="L43" i="22" a="1"/>
  <c r="L43" i="22" s="1"/>
  <c r="K51" i="22"/>
  <c r="L51" i="22" a="1"/>
  <c r="L51" i="22" s="1"/>
  <c r="K59" i="22"/>
  <c r="L59" i="22" a="1"/>
  <c r="L59" i="22" s="1"/>
  <c r="K67" i="22"/>
  <c r="L67" i="22" a="1"/>
  <c r="L67" i="22" s="1"/>
  <c r="K75" i="22"/>
  <c r="L75" i="22" a="1"/>
  <c r="L75" i="22" s="1"/>
  <c r="K83" i="22"/>
  <c r="L83" i="22" a="1"/>
  <c r="L83" i="22" s="1"/>
  <c r="K91" i="22"/>
  <c r="L91" i="22" a="1"/>
  <c r="L91" i="22" s="1"/>
  <c r="K99" i="22"/>
  <c r="L99" i="22" a="1"/>
  <c r="L99" i="22" s="1"/>
  <c r="K107" i="22"/>
  <c r="L107" i="22" a="1"/>
  <c r="L107" i="22" s="1"/>
  <c r="K115" i="22"/>
  <c r="L115" i="22" a="1"/>
  <c r="L115" i="22" s="1"/>
  <c r="K123" i="22"/>
  <c r="L123" i="22" a="1"/>
  <c r="L123" i="22" s="1"/>
  <c r="K131" i="22"/>
  <c r="L131" i="22" a="1"/>
  <c r="L131" i="22" s="1"/>
  <c r="K139" i="22"/>
  <c r="L139" i="22" a="1"/>
  <c r="L139" i="22" s="1"/>
  <c r="K147" i="22"/>
  <c r="L147" i="22" a="1"/>
  <c r="L147" i="22" s="1"/>
  <c r="K155" i="22"/>
  <c r="L155" i="22" a="1"/>
  <c r="L155" i="22" s="1"/>
  <c r="K163" i="22"/>
  <c r="L163" i="22" a="1"/>
  <c r="L163" i="22" s="1"/>
  <c r="K171" i="22"/>
  <c r="L171" i="22" a="1"/>
  <c r="L171" i="22" s="1"/>
  <c r="K179" i="22"/>
  <c r="L179" i="22" a="1"/>
  <c r="L179" i="22" s="1"/>
  <c r="K187" i="22"/>
  <c r="L187" i="22" a="1"/>
  <c r="L187" i="22" s="1"/>
  <c r="K195" i="22"/>
  <c r="L195" i="22" a="1"/>
  <c r="L195" i="22" s="1"/>
  <c r="K203" i="22"/>
  <c r="L203" i="22" a="1"/>
  <c r="L203" i="22" s="1"/>
  <c r="K211" i="22"/>
  <c r="L211" i="22" a="1"/>
  <c r="L211" i="22" s="1"/>
  <c r="K219" i="22"/>
  <c r="L219" i="22" a="1"/>
  <c r="L219" i="22" s="1"/>
  <c r="K227" i="22"/>
  <c r="L227" i="22" a="1"/>
  <c r="L227" i="22" s="1"/>
  <c r="K235" i="22"/>
  <c r="L235" i="22" a="1"/>
  <c r="L235" i="22" s="1"/>
  <c r="K243" i="22"/>
  <c r="L243" i="22" a="1"/>
  <c r="L243" i="22" s="1"/>
  <c r="K251" i="22"/>
  <c r="L251" i="22" a="1"/>
  <c r="L251" i="22" s="1"/>
  <c r="K259" i="22"/>
  <c r="L259" i="22" a="1"/>
  <c r="L259" i="22" s="1"/>
  <c r="K267" i="22"/>
  <c r="L267" i="22" a="1"/>
  <c r="L267" i="22" s="1"/>
  <c r="K275" i="22"/>
  <c r="L275" i="22" a="1"/>
  <c r="L275" i="22" s="1"/>
  <c r="K283" i="22"/>
  <c r="L283" i="22" a="1"/>
  <c r="L283" i="22" s="1"/>
  <c r="K291" i="22"/>
  <c r="L291" i="22" a="1"/>
  <c r="L291" i="22" s="1"/>
  <c r="K11" i="21"/>
  <c r="L11" i="21" a="1"/>
  <c r="L11" i="21" s="1"/>
  <c r="K19" i="21"/>
  <c r="L19" i="21" a="1"/>
  <c r="L19" i="21" s="1"/>
  <c r="K27" i="21"/>
  <c r="L27" i="21" a="1"/>
  <c r="L27" i="21" s="1"/>
  <c r="K35" i="21"/>
  <c r="L35" i="21" a="1"/>
  <c r="L35" i="21" s="1"/>
  <c r="K43" i="21"/>
  <c r="L43" i="21" a="1"/>
  <c r="L43" i="21" s="1"/>
  <c r="K51" i="21"/>
  <c r="L51" i="21" a="1"/>
  <c r="L51" i="21" s="1"/>
  <c r="K59" i="21"/>
  <c r="L59" i="21" a="1"/>
  <c r="L59" i="21" s="1"/>
  <c r="K67" i="21"/>
  <c r="L67" i="21" a="1"/>
  <c r="L67" i="21" s="1"/>
  <c r="K75" i="21"/>
  <c r="L75" i="21" a="1"/>
  <c r="L75" i="21" s="1"/>
  <c r="K83" i="21"/>
  <c r="L83" i="21" a="1"/>
  <c r="L83" i="21" s="1"/>
  <c r="K91" i="21"/>
  <c r="L91" i="21" a="1"/>
  <c r="L91" i="21" s="1"/>
  <c r="K99" i="21"/>
  <c r="L99" i="21" a="1"/>
  <c r="L99" i="21" s="1"/>
  <c r="K107" i="21"/>
  <c r="L107" i="21" a="1"/>
  <c r="L107" i="21" s="1"/>
  <c r="K115" i="21"/>
  <c r="L115" i="21" a="1"/>
  <c r="L115" i="21" s="1"/>
  <c r="K123" i="21"/>
  <c r="L123" i="21" a="1"/>
  <c r="L123" i="21" s="1"/>
  <c r="K131" i="21"/>
  <c r="L131" i="21" a="1"/>
  <c r="L131" i="21" s="1"/>
  <c r="K139" i="21"/>
  <c r="L139" i="21" a="1"/>
  <c r="L139" i="21" s="1"/>
  <c r="K147" i="21"/>
  <c r="L147" i="21" a="1"/>
  <c r="L147" i="21" s="1"/>
  <c r="K155" i="21"/>
  <c r="L155" i="21" a="1"/>
  <c r="L155" i="21" s="1"/>
  <c r="K163" i="21"/>
  <c r="L163" i="21" a="1"/>
  <c r="L163" i="21" s="1"/>
  <c r="K171" i="21"/>
  <c r="L171" i="21" a="1"/>
  <c r="L171" i="21" s="1"/>
  <c r="K179" i="21"/>
  <c r="L179" i="21" a="1"/>
  <c r="L179" i="21" s="1"/>
  <c r="K187" i="21"/>
  <c r="L187" i="21" a="1"/>
  <c r="L187" i="21" s="1"/>
  <c r="K195" i="21"/>
  <c r="L195" i="21" a="1"/>
  <c r="L195" i="21" s="1"/>
  <c r="K203" i="21"/>
  <c r="L203" i="21" a="1"/>
  <c r="L203" i="21" s="1"/>
  <c r="K211" i="21"/>
  <c r="L211" i="21" a="1"/>
  <c r="L211" i="21" s="1"/>
  <c r="K219" i="21"/>
  <c r="L219" i="21" a="1"/>
  <c r="L219" i="21" s="1"/>
  <c r="K227" i="21"/>
  <c r="L227" i="21" a="1"/>
  <c r="L227" i="21" s="1"/>
  <c r="K235" i="21"/>
  <c r="L235" i="21" a="1"/>
  <c r="L235" i="21" s="1"/>
  <c r="K243" i="21"/>
  <c r="L243" i="21" a="1"/>
  <c r="L243" i="21" s="1"/>
  <c r="K251" i="21"/>
  <c r="L251" i="21" a="1"/>
  <c r="L251" i="21" s="1"/>
  <c r="K259" i="21"/>
  <c r="L259" i="21" a="1"/>
  <c r="L259" i="21" s="1"/>
  <c r="K267" i="21"/>
  <c r="L267" i="21" a="1"/>
  <c r="L267" i="21" s="1"/>
  <c r="K275" i="21"/>
  <c r="L275" i="21" a="1"/>
  <c r="L275" i="21" s="1"/>
  <c r="K283" i="21"/>
  <c r="L283" i="21" a="1"/>
  <c r="L283" i="21" s="1"/>
  <c r="K291" i="21"/>
  <c r="L291" i="21" a="1"/>
  <c r="L291" i="21" s="1"/>
  <c r="K293" i="22"/>
  <c r="L293" i="22" a="1"/>
  <c r="L293" i="22" s="1"/>
  <c r="K292" i="22"/>
  <c r="L292" i="22" a="1"/>
  <c r="L292" i="22" s="1"/>
  <c r="K7" i="20"/>
  <c r="L7" i="20" a="1"/>
  <c r="L7" i="20" s="1"/>
  <c r="K6" i="20"/>
  <c r="L6" i="20" a="1"/>
  <c r="L6" i="20" s="1"/>
  <c r="K7" i="13"/>
  <c r="L7" i="13" a="1"/>
  <c r="L7" i="13" s="1"/>
  <c r="Q478" i="40"/>
  <c r="S478" i="40" s="1"/>
  <c r="Q457" i="40"/>
  <c r="R457" i="40" s="1"/>
  <c r="Q498" i="40"/>
  <c r="U498" i="40" s="1"/>
  <c r="Q41" i="40"/>
  <c r="S41" i="40" s="1"/>
  <c r="Q470" i="40"/>
  <c r="S470" i="40" s="1"/>
  <c r="Q466" i="40"/>
  <c r="T466" i="40" s="1"/>
  <c r="Q433" i="40"/>
  <c r="T433" i="40" s="1"/>
  <c r="Q417" i="40"/>
  <c r="T417" i="40" s="1"/>
  <c r="Q481" i="40"/>
  <c r="R481" i="40" s="1"/>
  <c r="Q434" i="40"/>
  <c r="U434" i="40" s="1"/>
  <c r="Q488" i="40"/>
  <c r="T488" i="40" s="1"/>
  <c r="Q198" i="40"/>
  <c r="S198" i="40" s="1"/>
  <c r="Q483" i="40"/>
  <c r="S483" i="40" s="1"/>
  <c r="Q371" i="40"/>
  <c r="T371" i="40" s="1"/>
  <c r="Q464" i="40"/>
  <c r="R464" i="40" s="1"/>
  <c r="H249" i="40"/>
  <c r="Q308" i="40"/>
  <c r="R308" i="40" s="1"/>
  <c r="Q480" i="40"/>
  <c r="S480" i="40" s="1"/>
  <c r="Q442" i="40"/>
  <c r="U442" i="40" s="1"/>
  <c r="Q490" i="40"/>
  <c r="S490" i="40" s="1"/>
  <c r="S257" i="40"/>
  <c r="U257" i="40"/>
  <c r="R509" i="40"/>
  <c r="Q156" i="40"/>
  <c r="R156" i="40" s="1"/>
  <c r="U509" i="40"/>
  <c r="T509" i="40"/>
  <c r="Q451" i="40"/>
  <c r="S451" i="40" s="1"/>
  <c r="Q424" i="40"/>
  <c r="T424" i="40" s="1"/>
  <c r="Q459" i="40"/>
  <c r="R459" i="40" s="1"/>
  <c r="Q522" i="40"/>
  <c r="S522" i="40" s="1"/>
  <c r="Q527" i="40"/>
  <c r="T527" i="40" s="1"/>
  <c r="Q178" i="40"/>
  <c r="R178" i="40" s="1"/>
  <c r="Q327" i="40"/>
  <c r="S327" i="40" s="1"/>
  <c r="Q209" i="40"/>
  <c r="S209" i="40" s="1"/>
  <c r="Q197" i="40"/>
  <c r="R197" i="40" s="1"/>
  <c r="Q429" i="40"/>
  <c r="R429" i="40" s="1"/>
  <c r="Q531" i="40"/>
  <c r="S531" i="40" s="1"/>
  <c r="M7" i="20" a="1"/>
  <c r="M7" i="20" s="1"/>
  <c r="Q201" i="40"/>
  <c r="S201" i="40" s="1"/>
  <c r="Q473" i="40"/>
  <c r="R473" i="40" s="1"/>
  <c r="S504" i="40"/>
  <c r="U400" i="40"/>
  <c r="R257" i="40"/>
  <c r="Q157" i="40"/>
  <c r="R157" i="40" s="1"/>
  <c r="Q518" i="40"/>
  <c r="R518" i="40" s="1"/>
  <c r="R400" i="40"/>
  <c r="U421" i="40"/>
  <c r="T421" i="40"/>
  <c r="S373" i="40"/>
  <c r="U504" i="40"/>
  <c r="S51" i="40"/>
  <c r="Q475" i="40"/>
  <c r="U475" i="40" s="1"/>
  <c r="U431" i="40"/>
  <c r="R456" i="40"/>
  <c r="T447" i="40"/>
  <c r="S447" i="40"/>
  <c r="T413" i="40"/>
  <c r="R447" i="40"/>
  <c r="Q506" i="40"/>
  <c r="U506" i="40" s="1"/>
  <c r="R469" i="40"/>
  <c r="R172" i="40"/>
  <c r="R421" i="40"/>
  <c r="R373" i="40"/>
  <c r="Q512" i="40"/>
  <c r="T512" i="40" s="1"/>
  <c r="T373" i="40"/>
  <c r="S400" i="40"/>
  <c r="Q169" i="40"/>
  <c r="S169" i="40" s="1"/>
  <c r="Q489" i="40"/>
  <c r="R489" i="40" s="1"/>
  <c r="R528" i="40"/>
  <c r="U358" i="40"/>
  <c r="U528" i="40"/>
  <c r="R205" i="40"/>
  <c r="T528" i="40"/>
  <c r="Q458" i="40"/>
  <c r="T458" i="40" s="1"/>
  <c r="Q376" i="40"/>
  <c r="R376" i="40" s="1"/>
  <c r="T469" i="40"/>
  <c r="Q482" i="40"/>
  <c r="T482" i="40" s="1"/>
  <c r="S469" i="40"/>
  <c r="Q131" i="40"/>
  <c r="S131" i="40" s="1"/>
  <c r="Q386" i="40"/>
  <c r="S386" i="40" s="1"/>
  <c r="Q416" i="40"/>
  <c r="R416" i="40" s="1"/>
  <c r="Q426" i="40"/>
  <c r="U426" i="40" s="1"/>
  <c r="Q499" i="40"/>
  <c r="U499" i="40" s="1"/>
  <c r="S525" i="40"/>
  <c r="Q408" i="40"/>
  <c r="U408" i="40" s="1"/>
  <c r="Q523" i="40"/>
  <c r="U523" i="40" s="1"/>
  <c r="Q394" i="40"/>
  <c r="R394" i="40" s="1"/>
  <c r="R204" i="40"/>
  <c r="S431" i="40"/>
  <c r="T431" i="40"/>
  <c r="T504" i="40"/>
  <c r="S372" i="40"/>
  <c r="Q207" i="40"/>
  <c r="R207" i="40" s="1"/>
  <c r="Q444" i="40"/>
  <c r="S444" i="40" s="1"/>
  <c r="Q472" i="40"/>
  <c r="T472" i="40" s="1"/>
  <c r="Q307" i="40"/>
  <c r="T307" i="40" s="1"/>
  <c r="S159" i="40"/>
  <c r="Q377" i="40"/>
  <c r="U377" i="40" s="1"/>
  <c r="Q379" i="40"/>
  <c r="U379" i="40" s="1"/>
  <c r="Q392" i="40"/>
  <c r="R392" i="40" s="1"/>
  <c r="Q276" i="40"/>
  <c r="U276" i="40" s="1"/>
  <c r="Q491" i="40"/>
  <c r="R491" i="40" s="1"/>
  <c r="Q450" i="40"/>
  <c r="S450" i="40" s="1"/>
  <c r="S446" i="40"/>
  <c r="Q395" i="40"/>
  <c r="S395" i="40" s="1"/>
  <c r="Q212" i="40"/>
  <c r="S212" i="40" s="1"/>
  <c r="U456" i="40"/>
  <c r="R413" i="40"/>
  <c r="T533" i="40"/>
  <c r="T446" i="40"/>
  <c r="T502" i="40"/>
  <c r="T456" i="40"/>
  <c r="S413" i="40"/>
  <c r="R525" i="40"/>
  <c r="T316" i="40"/>
  <c r="R110" i="40"/>
  <c r="R162" i="40"/>
  <c r="U525" i="40"/>
  <c r="S316" i="40"/>
  <c r="S202" i="40"/>
  <c r="R316" i="40"/>
  <c r="R446" i="40"/>
  <c r="S401" i="40"/>
  <c r="R401" i="40"/>
  <c r="U502" i="40"/>
  <c r="U486" i="40"/>
  <c r="Q278" i="40"/>
  <c r="T278" i="40" s="1"/>
  <c r="Q194" i="40"/>
  <c r="R194" i="40" s="1"/>
  <c r="R502" i="40"/>
  <c r="R185" i="40"/>
  <c r="Q347" i="40"/>
  <c r="S347" i="40" s="1"/>
  <c r="R356" i="40"/>
  <c r="T465" i="40"/>
  <c r="R517" i="40"/>
  <c r="S200" i="40"/>
  <c r="Q454" i="40"/>
  <c r="R454" i="40" s="1"/>
  <c r="U356" i="40"/>
  <c r="S511" i="40"/>
  <c r="T358" i="40"/>
  <c r="Q494" i="40"/>
  <c r="S494" i="40" s="1"/>
  <c r="Q536" i="40"/>
  <c r="R536" i="40" s="1"/>
  <c r="T356" i="40"/>
  <c r="T511" i="40"/>
  <c r="R465" i="40"/>
  <c r="S358" i="40"/>
  <c r="U465" i="40"/>
  <c r="R314" i="40"/>
  <c r="Q505" i="40"/>
  <c r="S505" i="40" s="1"/>
  <c r="S314" i="40"/>
  <c r="T401" i="40"/>
  <c r="Q474" i="40"/>
  <c r="R474" i="40" s="1"/>
  <c r="Q412" i="40"/>
  <c r="S412" i="40" s="1"/>
  <c r="Q191" i="40"/>
  <c r="R191" i="40" s="1"/>
  <c r="T372" i="40"/>
  <c r="S486" i="40"/>
  <c r="S183" i="40"/>
  <c r="U501" i="40"/>
  <c r="R372" i="40"/>
  <c r="T501" i="40"/>
  <c r="Q188" i="40"/>
  <c r="R188" i="40" s="1"/>
  <c r="S501" i="40"/>
  <c r="R486" i="40"/>
  <c r="Q348" i="40"/>
  <c r="U348" i="40" s="1"/>
  <c r="R533" i="40"/>
  <c r="Q189" i="40"/>
  <c r="S189" i="40" s="1"/>
  <c r="Q380" i="40"/>
  <c r="R380" i="40" s="1"/>
  <c r="S181" i="40"/>
  <c r="Q130" i="40"/>
  <c r="S130" i="40" s="1"/>
  <c r="Q430" i="40"/>
  <c r="R430" i="40" s="1"/>
  <c r="U517" i="40"/>
  <c r="Q210" i="40"/>
  <c r="S210" i="40" s="1"/>
  <c r="T517" i="40"/>
  <c r="R511" i="40"/>
  <c r="R211" i="40"/>
  <c r="S165" i="40"/>
  <c r="Q526" i="40"/>
  <c r="U526" i="40" s="1"/>
  <c r="Q438" i="40"/>
  <c r="S438" i="40" s="1"/>
  <c r="U314" i="40"/>
  <c r="Q405" i="40"/>
  <c r="S405" i="40" s="1"/>
  <c r="Q436" i="40"/>
  <c r="S436" i="40" s="1"/>
  <c r="Q141" i="40"/>
  <c r="S141" i="40" s="1"/>
  <c r="Q155" i="40"/>
  <c r="R155" i="40" s="1"/>
  <c r="Q154" i="40"/>
  <c r="S154" i="40" s="1"/>
  <c r="Q411" i="40"/>
  <c r="S411" i="40" s="1"/>
  <c r="Q153" i="40"/>
  <c r="R153" i="40" s="1"/>
  <c r="Q389" i="40"/>
  <c r="U389" i="40" s="1"/>
  <c r="Q184" i="40"/>
  <c r="S184" i="40" s="1"/>
  <c r="S196" i="40"/>
  <c r="Q203" i="40"/>
  <c r="R203" i="40" s="1"/>
  <c r="Q403" i="40"/>
  <c r="T403" i="40" s="1"/>
  <c r="Q388" i="40"/>
  <c r="T388" i="40" s="1"/>
  <c r="Q176" i="40"/>
  <c r="S176" i="40" s="1"/>
  <c r="Q534" i="40"/>
  <c r="T534" i="40" s="1"/>
  <c r="Q397" i="40"/>
  <c r="U397" i="40" s="1"/>
  <c r="Q409" i="40"/>
  <c r="U409" i="40" s="1"/>
  <c r="Q182" i="40"/>
  <c r="S182" i="40" s="1"/>
  <c r="Q336" i="40"/>
  <c r="Q338" i="40"/>
  <c r="S338" i="40" s="1"/>
  <c r="Q415" i="40"/>
  <c r="R415" i="40" s="1"/>
  <c r="Q443" i="40"/>
  <c r="U443" i="40" s="1"/>
  <c r="Q399" i="40"/>
  <c r="T399" i="40" s="1"/>
  <c r="Q508" i="40"/>
  <c r="S508" i="40" s="1"/>
  <c r="S533" i="40"/>
  <c r="Q383" i="40"/>
  <c r="T383" i="40" s="1"/>
  <c r="Q346" i="40"/>
  <c r="U346" i="40" s="1"/>
  <c r="R186" i="40"/>
  <c r="S170" i="40"/>
  <c r="Q206" i="40"/>
  <c r="R206" i="40" s="1"/>
  <c r="Q337" i="40"/>
  <c r="Q384" i="40"/>
  <c r="Q374" i="40"/>
  <c r="T374" i="40" s="1"/>
  <c r="Q385" i="40"/>
  <c r="S385" i="40" s="1"/>
  <c r="Q452" i="40"/>
  <c r="R452" i="40" s="1"/>
  <c r="Q193" i="40"/>
  <c r="S193" i="40" s="1"/>
  <c r="Q139" i="40"/>
  <c r="S139" i="40" s="1"/>
  <c r="Q42" i="40"/>
  <c r="Q92" i="40"/>
  <c r="Q516" i="40"/>
  <c r="S516" i="40" s="1"/>
  <c r="Q161" i="40"/>
  <c r="S161" i="40" s="1"/>
  <c r="Q168" i="40"/>
  <c r="Q439" i="40"/>
  <c r="Q62" i="40"/>
  <c r="Q52" i="40"/>
  <c r="Q142" i="40"/>
  <c r="R163" i="40"/>
  <c r="S163" i="40"/>
  <c r="S173" i="40"/>
  <c r="R173" i="40"/>
  <c r="Q174" i="40"/>
  <c r="R100" i="40"/>
  <c r="S100" i="40"/>
  <c r="Q111" i="40"/>
  <c r="Q208" i="40"/>
  <c r="Q192" i="40"/>
  <c r="Q109" i="40"/>
  <c r="Q166" i="40"/>
  <c r="Q164" i="40"/>
  <c r="S180" i="40"/>
  <c r="R180" i="40"/>
  <c r="Q190" i="40"/>
  <c r="S91" i="40"/>
  <c r="R91" i="40"/>
  <c r="Q177" i="40"/>
  <c r="Q195" i="40"/>
  <c r="Q140" i="40"/>
  <c r="R119" i="40"/>
  <c r="S119" i="40"/>
  <c r="R175" i="40"/>
  <c r="S175" i="40"/>
  <c r="R122" i="40"/>
  <c r="S122" i="40"/>
  <c r="Q132" i="40"/>
  <c r="R179" i="40"/>
  <c r="S179" i="40"/>
  <c r="Q120" i="40"/>
  <c r="Q98" i="40"/>
  <c r="Q187" i="40"/>
  <c r="R121" i="40"/>
  <c r="S121" i="40"/>
  <c r="Q60" i="40"/>
  <c r="S167" i="40"/>
  <c r="R167" i="40"/>
  <c r="Q171" i="40"/>
  <c r="Q160" i="40"/>
  <c r="S199" i="40"/>
  <c r="R199" i="40"/>
  <c r="Q158" i="40"/>
  <c r="R112" i="40"/>
  <c r="S112" i="40"/>
  <c r="R535" i="40"/>
  <c r="S535" i="40"/>
  <c r="T535" i="40"/>
  <c r="U535" i="40"/>
  <c r="R463" i="40"/>
  <c r="S463" i="40"/>
  <c r="T463" i="40"/>
  <c r="U463" i="40"/>
  <c r="R258" i="40"/>
  <c r="S258" i="40"/>
  <c r="T258" i="40"/>
  <c r="U258" i="40"/>
  <c r="U477" i="40"/>
  <c r="R477" i="40"/>
  <c r="S477" i="40"/>
  <c r="T477" i="40"/>
  <c r="T495" i="40"/>
  <c r="U495" i="40"/>
  <c r="R495" i="40"/>
  <c r="S495" i="40"/>
  <c r="U357" i="40"/>
  <c r="S357" i="40"/>
  <c r="T357" i="40"/>
  <c r="R357" i="40"/>
  <c r="T471" i="40"/>
  <c r="U471" i="40"/>
  <c r="R471" i="40"/>
  <c r="S471" i="40"/>
  <c r="R519" i="40"/>
  <c r="S519" i="40"/>
  <c r="T519" i="40"/>
  <c r="U519" i="40"/>
  <c r="S521" i="40"/>
  <c r="U461" i="40"/>
  <c r="R461" i="40"/>
  <c r="S461" i="40"/>
  <c r="T461" i="40"/>
  <c r="R418" i="40"/>
  <c r="S418" i="40"/>
  <c r="T418" i="40"/>
  <c r="U418" i="40"/>
  <c r="U387" i="40"/>
  <c r="R387" i="40"/>
  <c r="T387" i="40"/>
  <c r="S387" i="40"/>
  <c r="R453" i="40"/>
  <c r="S453" i="40"/>
  <c r="T453" i="40"/>
  <c r="U453" i="40"/>
  <c r="R485" i="40"/>
  <c r="S485" i="40"/>
  <c r="T485" i="40"/>
  <c r="U485" i="40"/>
  <c r="U325" i="40"/>
  <c r="S325" i="40"/>
  <c r="T325" i="40"/>
  <c r="R325" i="40"/>
  <c r="R503" i="40"/>
  <c r="S503" i="40"/>
  <c r="T503" i="40"/>
  <c r="U503" i="40"/>
  <c r="R370" i="40"/>
  <c r="S370" i="40"/>
  <c r="T370" i="40"/>
  <c r="U370" i="40"/>
  <c r="S493" i="40"/>
  <c r="T493" i="40"/>
  <c r="U493" i="40"/>
  <c r="R493" i="40"/>
  <c r="U355" i="40"/>
  <c r="R355" i="40"/>
  <c r="T355" i="40"/>
  <c r="S355" i="40"/>
  <c r="R402" i="40"/>
  <c r="S402" i="40"/>
  <c r="T402" i="40"/>
  <c r="U402" i="40"/>
  <c r="S448" i="40"/>
  <c r="T448" i="40"/>
  <c r="U448" i="40"/>
  <c r="R448" i="40"/>
  <c r="R487" i="40"/>
  <c r="S487" i="40"/>
  <c r="T487" i="40"/>
  <c r="U487" i="40"/>
  <c r="T455" i="40"/>
  <c r="U455" i="40"/>
  <c r="R455" i="40"/>
  <c r="S455" i="40"/>
  <c r="S419" i="40"/>
  <c r="R419" i="40"/>
  <c r="T419" i="40"/>
  <c r="U419" i="40"/>
  <c r="R479" i="40"/>
  <c r="S479" i="40"/>
  <c r="T479" i="40"/>
  <c r="U479" i="40"/>
  <c r="Q326" i="40"/>
  <c r="Q328" i="40"/>
  <c r="Q524" i="40"/>
  <c r="Q484" i="40"/>
  <c r="Q449" i="40"/>
  <c r="Q393" i="40"/>
  <c r="Q460" i="40"/>
  <c r="Q476" i="40"/>
  <c r="Q410" i="40"/>
  <c r="Q423" i="40"/>
  <c r="Q267" i="40"/>
  <c r="Q425" i="40"/>
  <c r="Q468" i="40"/>
  <c r="Q440" i="40"/>
  <c r="Q427" i="40"/>
  <c r="Q406" i="40"/>
  <c r="Q414" i="40"/>
  <c r="Q500" i="40"/>
  <c r="Q492" i="40"/>
  <c r="Q335" i="40"/>
  <c r="Q375" i="40"/>
  <c r="Q391" i="40"/>
  <c r="Q532" i="40"/>
  <c r="Q390" i="40"/>
  <c r="Q369" i="40"/>
  <c r="Q407" i="40"/>
  <c r="Q382" i="40"/>
  <c r="Q422" i="40"/>
  <c r="Q420" i="40"/>
  <c r="Q437" i="40"/>
  <c r="Q398" i="40"/>
  <c r="Q378" i="40"/>
  <c r="Q435" i="40"/>
  <c r="M46" i="13" a="1"/>
  <c r="M46" i="13" s="1"/>
  <c r="G288" i="40" s="1"/>
  <c r="M254" i="13" a="1"/>
  <c r="M254" i="13" s="1"/>
  <c r="M222" i="13" a="1"/>
  <c r="M222" i="13" s="1"/>
  <c r="M190" i="13" a="1"/>
  <c r="M190" i="13" s="1"/>
  <c r="M150" i="13" a="1"/>
  <c r="M150" i="13" s="1"/>
  <c r="M118" i="13" a="1"/>
  <c r="M118" i="13" s="1"/>
  <c r="M78" i="13" a="1"/>
  <c r="M78" i="13" s="1"/>
  <c r="G313" i="40" s="1"/>
  <c r="M38" i="13" a="1"/>
  <c r="M38" i="13" s="1"/>
  <c r="G285" i="40" s="1"/>
  <c r="M38" i="20" a="1"/>
  <c r="M38" i="20" s="1"/>
  <c r="J269" i="40" s="1"/>
  <c r="M70" i="20" a="1"/>
  <c r="M70" i="20" s="1"/>
  <c r="M102" i="20" a="1"/>
  <c r="M102" i="20" s="1"/>
  <c r="M134" i="20" a="1"/>
  <c r="M134" i="20" s="1"/>
  <c r="M150" i="20" a="1"/>
  <c r="M150" i="20" s="1"/>
  <c r="M270" i="13" a="1"/>
  <c r="M270" i="13" s="1"/>
  <c r="M238" i="13" a="1"/>
  <c r="M238" i="13" s="1"/>
  <c r="M206" i="13" a="1"/>
  <c r="M206" i="13" s="1"/>
  <c r="M174" i="13" a="1"/>
  <c r="M174" i="13" s="1"/>
  <c r="M142" i="13" a="1"/>
  <c r="M142" i="13" s="1"/>
  <c r="M110" i="13" a="1"/>
  <c r="M110" i="13" s="1"/>
  <c r="M86" i="13" a="1"/>
  <c r="M86" i="13" s="1"/>
  <c r="G274" i="40" s="1"/>
  <c r="M54" i="13" a="1"/>
  <c r="M54" i="13" s="1"/>
  <c r="G291" i="40" s="1"/>
  <c r="M14" i="13" a="1"/>
  <c r="M14" i="13" s="1"/>
  <c r="G280" i="40" s="1"/>
  <c r="M30" i="20" a="1"/>
  <c r="M30" i="20" s="1"/>
  <c r="M62" i="20" a="1"/>
  <c r="M62" i="20" s="1"/>
  <c r="J341" i="40" s="1"/>
  <c r="M94" i="20" a="1"/>
  <c r="M94" i="20" s="1"/>
  <c r="J323" i="40" s="1"/>
  <c r="M110" i="20" a="1"/>
  <c r="M110" i="20" s="1"/>
  <c r="M142" i="20" a="1"/>
  <c r="M142" i="20" s="1"/>
  <c r="M278" i="13" a="1"/>
  <c r="M278" i="13" s="1"/>
  <c r="M246" i="13" a="1"/>
  <c r="M246" i="13" s="1"/>
  <c r="M214" i="13" a="1"/>
  <c r="M214" i="13" s="1"/>
  <c r="M182" i="13" a="1"/>
  <c r="M182" i="13" s="1"/>
  <c r="M158" i="13" a="1"/>
  <c r="M158" i="13" s="1"/>
  <c r="M126" i="13" a="1"/>
  <c r="M126" i="13" s="1"/>
  <c r="M94" i="13" a="1"/>
  <c r="M94" i="13" s="1"/>
  <c r="G318" i="40" s="1"/>
  <c r="M62" i="13" a="1"/>
  <c r="M62" i="13" s="1"/>
  <c r="G273" i="40" s="1"/>
  <c r="M22" i="13" a="1"/>
  <c r="M22" i="13" s="1"/>
  <c r="G301" i="40" s="1"/>
  <c r="M22" i="20" a="1"/>
  <c r="M22" i="20" s="1"/>
  <c r="M54" i="20" a="1"/>
  <c r="M54" i="20" s="1"/>
  <c r="J321" i="40" s="1"/>
  <c r="M86" i="20" a="1"/>
  <c r="M86" i="20" s="1"/>
  <c r="J262" i="40" s="1"/>
  <c r="M126" i="20" a="1"/>
  <c r="M126" i="20" s="1"/>
  <c r="M266" i="13" a="1"/>
  <c r="M266" i="13" s="1"/>
  <c r="M286" i="13" a="1"/>
  <c r="M286" i="13" s="1"/>
  <c r="M262" i="13" a="1"/>
  <c r="M262" i="13" s="1"/>
  <c r="M230" i="13" a="1"/>
  <c r="M230" i="13" s="1"/>
  <c r="M198" i="13" a="1"/>
  <c r="M198" i="13" s="1"/>
  <c r="M166" i="13" a="1"/>
  <c r="M166" i="13" s="1"/>
  <c r="M134" i="13" a="1"/>
  <c r="M134" i="13" s="1"/>
  <c r="M102" i="13" a="1"/>
  <c r="M102" i="13" s="1"/>
  <c r="M70" i="13" a="1"/>
  <c r="M70" i="13" s="1"/>
  <c r="G312" i="40" s="1"/>
  <c r="M30" i="13" a="1"/>
  <c r="M30" i="13" s="1"/>
  <c r="M14" i="20" a="1"/>
  <c r="M14" i="20" s="1"/>
  <c r="J256" i="40" s="1"/>
  <c r="M46" i="20" a="1"/>
  <c r="M46" i="20" s="1"/>
  <c r="J352" i="40" s="1"/>
  <c r="M78" i="20" a="1"/>
  <c r="M78" i="20" s="1"/>
  <c r="M118" i="20" a="1"/>
  <c r="M118" i="20" s="1"/>
  <c r="M290" i="13" a="1"/>
  <c r="M290" i="13" s="1"/>
  <c r="M282" i="13" a="1"/>
  <c r="M282" i="13" s="1"/>
  <c r="M274" i="13" a="1"/>
  <c r="M274" i="13" s="1"/>
  <c r="M258" i="13" a="1"/>
  <c r="M258" i="13" s="1"/>
  <c r="M218" i="13" a="1"/>
  <c r="M218" i="13" s="1"/>
  <c r="M50" i="13" a="1"/>
  <c r="M50" i="13" s="1"/>
  <c r="G266" i="40" s="1"/>
  <c r="M26" i="13" a="1"/>
  <c r="M26" i="13" s="1"/>
  <c r="G262" i="40" s="1"/>
  <c r="M289" i="13" a="1"/>
  <c r="M289" i="13" s="1"/>
  <c r="M257" i="13" a="1"/>
  <c r="M257" i="13" s="1"/>
  <c r="M233" i="13" a="1"/>
  <c r="M233" i="13" s="1"/>
  <c r="M201" i="13" a="1"/>
  <c r="M201" i="13" s="1"/>
  <c r="M169" i="13" a="1"/>
  <c r="M169" i="13" s="1"/>
  <c r="M280" i="13" a="1"/>
  <c r="M280" i="13" s="1"/>
  <c r="M256" i="13" a="1"/>
  <c r="M256" i="13" s="1"/>
  <c r="M240" i="13" a="1"/>
  <c r="M240" i="13" s="1"/>
  <c r="M216" i="13" a="1"/>
  <c r="M216" i="13" s="1"/>
  <c r="M200" i="13" a="1"/>
  <c r="M200" i="13" s="1"/>
  <c r="M176" i="13" a="1"/>
  <c r="M176" i="13" s="1"/>
  <c r="M160" i="13" a="1"/>
  <c r="M160" i="13" s="1"/>
  <c r="M136" i="13" a="1"/>
  <c r="M136" i="13" s="1"/>
  <c r="M120" i="13" a="1"/>
  <c r="M120" i="13" s="1"/>
  <c r="M104" i="13" a="1"/>
  <c r="M104" i="13" s="1"/>
  <c r="M88" i="13" a="1"/>
  <c r="M88" i="13" s="1"/>
  <c r="M64" i="13" a="1"/>
  <c r="M64" i="13" s="1"/>
  <c r="G255" i="40" s="1"/>
  <c r="M40" i="13" a="1"/>
  <c r="M40" i="13" s="1"/>
  <c r="G264" i="40" s="1"/>
  <c r="M16" i="13" a="1"/>
  <c r="M16" i="13" s="1"/>
  <c r="G340" i="40" s="1"/>
  <c r="M12" i="20" a="1"/>
  <c r="M12" i="20" s="1"/>
  <c r="J318" i="40" s="1"/>
  <c r="M28" i="20" a="1"/>
  <c r="M28" i="20" s="1"/>
  <c r="M52" i="20" a="1"/>
  <c r="M52" i="20" s="1"/>
  <c r="J284" i="40" s="1"/>
  <c r="M76" i="20" a="1"/>
  <c r="M76" i="20" s="1"/>
  <c r="M132" i="20" a="1"/>
  <c r="M132" i="20" s="1"/>
  <c r="M148" i="20" a="1"/>
  <c r="M148" i="20" s="1"/>
  <c r="M172" i="20" a="1"/>
  <c r="M172" i="20" s="1"/>
  <c r="M188" i="20" a="1"/>
  <c r="M188" i="20" s="1"/>
  <c r="M212" i="20" a="1"/>
  <c r="M212" i="20" s="1"/>
  <c r="M228" i="20" a="1"/>
  <c r="M228" i="20" s="1"/>
  <c r="M252" i="20" a="1"/>
  <c r="M252" i="20" s="1"/>
  <c r="M276" i="20" a="1"/>
  <c r="M276" i="20" s="1"/>
  <c r="M12" i="22" a="1"/>
  <c r="M12" i="22" s="1"/>
  <c r="M317" i="40" s="1"/>
  <c r="M28" i="22" a="1"/>
  <c r="M28" i="22" s="1"/>
  <c r="M251" i="40" s="1"/>
  <c r="M52" i="22" a="1"/>
  <c r="M52" i="22" s="1"/>
  <c r="M261" i="40" s="1"/>
  <c r="M76" i="22" a="1"/>
  <c r="M76" i="22" s="1"/>
  <c r="M319" i="40" s="1"/>
  <c r="M92" i="22" a="1"/>
  <c r="M92" i="22" s="1"/>
  <c r="M116" i="22" a="1"/>
  <c r="M116" i="22" s="1"/>
  <c r="M140" i="22" a="1"/>
  <c r="M140" i="22" s="1"/>
  <c r="M156" i="22" a="1"/>
  <c r="M156" i="22" s="1"/>
  <c r="M180" i="22" a="1"/>
  <c r="M180" i="22" s="1"/>
  <c r="M196" i="22" a="1"/>
  <c r="M196" i="22" s="1"/>
  <c r="M220" i="22" a="1"/>
  <c r="M220" i="22" s="1"/>
  <c r="M268" i="22" a="1"/>
  <c r="M268" i="22" s="1"/>
  <c r="M284" i="22" a="1"/>
  <c r="M284" i="22" s="1"/>
  <c r="M292" i="22" a="1"/>
  <c r="M292" i="22" s="1"/>
  <c r="M12" i="21" a="1"/>
  <c r="M12" i="21" s="1"/>
  <c r="P265" i="40" s="1"/>
  <c r="M20" i="21" a="1"/>
  <c r="M20" i="21" s="1"/>
  <c r="P285" i="40" s="1"/>
  <c r="M28" i="21" a="1"/>
  <c r="M28" i="21" s="1"/>
  <c r="P303" i="40" s="1"/>
  <c r="M36" i="21" a="1"/>
  <c r="M36" i="21" s="1"/>
  <c r="P323" i="40" s="1"/>
  <c r="M44" i="21" a="1"/>
  <c r="M44" i="21" s="1"/>
  <c r="P345" i="40" s="1"/>
  <c r="M52" i="21" a="1"/>
  <c r="M52" i="21" s="1"/>
  <c r="P366" i="40" s="1"/>
  <c r="M60" i="21" a="1"/>
  <c r="M60" i="21" s="1"/>
  <c r="P315" i="40" s="1"/>
  <c r="M68" i="21" a="1"/>
  <c r="M68" i="21" s="1"/>
  <c r="P349" i="40" s="1"/>
  <c r="M76" i="21" a="1"/>
  <c r="M76" i="21" s="1"/>
  <c r="P251" i="40" s="1"/>
  <c r="M84" i="21" a="1"/>
  <c r="M84" i="21" s="1"/>
  <c r="P271" i="40" s="1"/>
  <c r="M92" i="21" a="1"/>
  <c r="M92" i="21" s="1"/>
  <c r="P292" i="40" s="1"/>
  <c r="M100" i="21" a="1"/>
  <c r="M100" i="21" s="1"/>
  <c r="M108" i="21" a="1"/>
  <c r="M108" i="21" s="1"/>
  <c r="M116" i="21" a="1"/>
  <c r="M116" i="21" s="1"/>
  <c r="M124" i="21" a="1"/>
  <c r="M124" i="21" s="1"/>
  <c r="M132" i="21" a="1"/>
  <c r="M132" i="21" s="1"/>
  <c r="M140" i="21" a="1"/>
  <c r="M140" i="21" s="1"/>
  <c r="M148" i="21" a="1"/>
  <c r="M148" i="21" s="1"/>
  <c r="M156" i="21" a="1"/>
  <c r="M156" i="21" s="1"/>
  <c r="M164" i="21" a="1"/>
  <c r="M164" i="21" s="1"/>
  <c r="M172" i="21" a="1"/>
  <c r="M172" i="21" s="1"/>
  <c r="M180" i="21" a="1"/>
  <c r="M180" i="21" s="1"/>
  <c r="M188" i="21" a="1"/>
  <c r="M188" i="21" s="1"/>
  <c r="M196" i="21" a="1"/>
  <c r="M196" i="21" s="1"/>
  <c r="M204" i="21" a="1"/>
  <c r="M204" i="21" s="1"/>
  <c r="M212" i="21" a="1"/>
  <c r="M212" i="21" s="1"/>
  <c r="M220" i="21" a="1"/>
  <c r="M220" i="21" s="1"/>
  <c r="M228" i="21" a="1"/>
  <c r="M228" i="21" s="1"/>
  <c r="M236" i="21" a="1"/>
  <c r="M236" i="21" s="1"/>
  <c r="M244" i="21" a="1"/>
  <c r="M244" i="21" s="1"/>
  <c r="M252" i="21" a="1"/>
  <c r="M252" i="21" s="1"/>
  <c r="M260" i="21" a="1"/>
  <c r="M260" i="21" s="1"/>
  <c r="M268" i="21" a="1"/>
  <c r="M268" i="21" s="1"/>
  <c r="M276" i="21" a="1"/>
  <c r="M276" i="21" s="1"/>
  <c r="M284" i="21" a="1"/>
  <c r="M284" i="21" s="1"/>
  <c r="M292" i="21" a="1"/>
  <c r="M292" i="21" s="1"/>
  <c r="M242" i="13" a="1"/>
  <c r="M242" i="13" s="1"/>
  <c r="M210" i="13" a="1"/>
  <c r="M210" i="13" s="1"/>
  <c r="M194" i="13" a="1"/>
  <c r="M194" i="13" s="1"/>
  <c r="M170" i="13" a="1"/>
  <c r="M170" i="13" s="1"/>
  <c r="M154" i="13" a="1"/>
  <c r="M154" i="13" s="1"/>
  <c r="M138" i="13" a="1"/>
  <c r="M138" i="13" s="1"/>
  <c r="M122" i="13" a="1"/>
  <c r="M122" i="13" s="1"/>
  <c r="M106" i="13" a="1"/>
  <c r="M106" i="13" s="1"/>
  <c r="M82" i="13" a="1"/>
  <c r="M82" i="13" s="1"/>
  <c r="G334" i="40" s="1"/>
  <c r="M74" i="13" a="1"/>
  <c r="M74" i="13" s="1"/>
  <c r="G352" i="40" s="1"/>
  <c r="M42" i="13" a="1"/>
  <c r="M42" i="13" s="1"/>
  <c r="G287" i="40" s="1"/>
  <c r="M10" i="13" a="1"/>
  <c r="M10" i="13" s="1"/>
  <c r="M281" i="13" a="1"/>
  <c r="M281" i="13" s="1"/>
  <c r="M265" i="13" a="1"/>
  <c r="M265" i="13" s="1"/>
  <c r="M249" i="13" a="1"/>
  <c r="M249" i="13" s="1"/>
  <c r="M225" i="13" a="1"/>
  <c r="M225" i="13" s="1"/>
  <c r="M209" i="13" a="1"/>
  <c r="M209" i="13" s="1"/>
  <c r="M193" i="13" a="1"/>
  <c r="M193" i="13" s="1"/>
  <c r="M177" i="13" a="1"/>
  <c r="M177" i="13" s="1"/>
  <c r="M288" i="13" a="1"/>
  <c r="M288" i="13" s="1"/>
  <c r="M272" i="13" a="1"/>
  <c r="M272" i="13" s="1"/>
  <c r="M264" i="13" a="1"/>
  <c r="M264" i="13" s="1"/>
  <c r="M248" i="13" a="1"/>
  <c r="M248" i="13" s="1"/>
  <c r="M232" i="13" a="1"/>
  <c r="M232" i="13" s="1"/>
  <c r="M224" i="13" a="1"/>
  <c r="M224" i="13" s="1"/>
  <c r="M208" i="13" a="1"/>
  <c r="M208" i="13" s="1"/>
  <c r="M192" i="13" a="1"/>
  <c r="M192" i="13" s="1"/>
  <c r="M184" i="13" a="1"/>
  <c r="M184" i="13" s="1"/>
  <c r="M168" i="13" a="1"/>
  <c r="M168" i="13" s="1"/>
  <c r="M152" i="13" a="1"/>
  <c r="M152" i="13" s="1"/>
  <c r="M144" i="13" a="1"/>
  <c r="M144" i="13" s="1"/>
  <c r="M128" i="13" a="1"/>
  <c r="M128" i="13" s="1"/>
  <c r="M112" i="13" a="1"/>
  <c r="M112" i="13" s="1"/>
  <c r="M96" i="13" a="1"/>
  <c r="M96" i="13" s="1"/>
  <c r="G297" i="40" s="1"/>
  <c r="M80" i="13" a="1"/>
  <c r="M80" i="13" s="1"/>
  <c r="G277" i="40" s="1"/>
  <c r="M72" i="13" a="1"/>
  <c r="M72" i="13" s="1"/>
  <c r="G271" i="40" s="1"/>
  <c r="M56" i="13" a="1"/>
  <c r="M56" i="13" s="1"/>
  <c r="G349" i="40" s="1"/>
  <c r="M48" i="13" a="1"/>
  <c r="M48" i="13" s="1"/>
  <c r="G368" i="40" s="1"/>
  <c r="M32" i="13" a="1"/>
  <c r="M32" i="13" s="1"/>
  <c r="M24" i="13" a="1"/>
  <c r="M24" i="13" s="1"/>
  <c r="G362" i="40" s="1"/>
  <c r="M20" i="20" a="1"/>
  <c r="M20" i="20" s="1"/>
  <c r="M36" i="20" a="1"/>
  <c r="M36" i="20" s="1"/>
  <c r="J289" i="40" s="1"/>
  <c r="M44" i="20" a="1"/>
  <c r="M44" i="20" s="1"/>
  <c r="J350" i="40" s="1"/>
  <c r="M60" i="20" a="1"/>
  <c r="M60" i="20" s="1"/>
  <c r="J265" i="40" s="1"/>
  <c r="M68" i="20" a="1"/>
  <c r="M68" i="20" s="1"/>
  <c r="M84" i="20" a="1"/>
  <c r="M84" i="20" s="1"/>
  <c r="J320" i="40" s="1"/>
  <c r="M92" i="20" a="1"/>
  <c r="M92" i="20" s="1"/>
  <c r="J368" i="40" s="1"/>
  <c r="M100" i="20" a="1"/>
  <c r="M100" i="20" s="1"/>
  <c r="M108" i="20" a="1"/>
  <c r="M108" i="20" s="1"/>
  <c r="M116" i="20" a="1"/>
  <c r="M116" i="20" s="1"/>
  <c r="M124" i="20" a="1"/>
  <c r="M124" i="20" s="1"/>
  <c r="M140" i="20" a="1"/>
  <c r="M140" i="20" s="1"/>
  <c r="M156" i="20" a="1"/>
  <c r="M156" i="20" s="1"/>
  <c r="M164" i="20" a="1"/>
  <c r="M164" i="20" s="1"/>
  <c r="M180" i="20" a="1"/>
  <c r="M180" i="20" s="1"/>
  <c r="M196" i="20" a="1"/>
  <c r="M196" i="20" s="1"/>
  <c r="M204" i="20" a="1"/>
  <c r="M204" i="20" s="1"/>
  <c r="M220" i="20" a="1"/>
  <c r="M220" i="20" s="1"/>
  <c r="M236" i="20" a="1"/>
  <c r="M236" i="20" s="1"/>
  <c r="M244" i="20" a="1"/>
  <c r="M244" i="20" s="1"/>
  <c r="M260" i="20" a="1"/>
  <c r="M260" i="20" s="1"/>
  <c r="M268" i="20" a="1"/>
  <c r="M268" i="20" s="1"/>
  <c r="M284" i="20" a="1"/>
  <c r="M284" i="20" s="1"/>
  <c r="M292" i="20" a="1"/>
  <c r="M292" i="20" s="1"/>
  <c r="M20" i="22" a="1"/>
  <c r="M20" i="22" s="1"/>
  <c r="M349" i="40" s="1"/>
  <c r="M36" i="22" a="1"/>
  <c r="M36" i="22" s="1"/>
  <c r="M273" i="40" s="1"/>
  <c r="M44" i="22" a="1"/>
  <c r="M44" i="22" s="1"/>
  <c r="M293" i="40" s="1"/>
  <c r="M60" i="22" a="1"/>
  <c r="M60" i="22" s="1"/>
  <c r="M281" i="40" s="1"/>
  <c r="M68" i="22" a="1"/>
  <c r="M68" i="22" s="1"/>
  <c r="M299" i="40" s="1"/>
  <c r="M84" i="22" a="1"/>
  <c r="M84" i="22" s="1"/>
  <c r="M341" i="40" s="1"/>
  <c r="M100" i="22" a="1"/>
  <c r="M100" i="22" s="1"/>
  <c r="M108" i="22" a="1"/>
  <c r="M108" i="22" s="1"/>
  <c r="M124" i="22" a="1"/>
  <c r="M124" i="22" s="1"/>
  <c r="M132" i="22" a="1"/>
  <c r="M132" i="22" s="1"/>
  <c r="M148" i="22" a="1"/>
  <c r="M148" i="22" s="1"/>
  <c r="M164" i="22" a="1"/>
  <c r="M164" i="22" s="1"/>
  <c r="M172" i="22" a="1"/>
  <c r="M172" i="22" s="1"/>
  <c r="M188" i="22" a="1"/>
  <c r="M188" i="22" s="1"/>
  <c r="M204" i="22" a="1"/>
  <c r="M204" i="22" s="1"/>
  <c r="M212" i="22" a="1"/>
  <c r="M212" i="22" s="1"/>
  <c r="M228" i="22" a="1"/>
  <c r="M228" i="22" s="1"/>
  <c r="M236" i="22" a="1"/>
  <c r="M236" i="22" s="1"/>
  <c r="M244" i="22" a="1"/>
  <c r="M244" i="22" s="1"/>
  <c r="M252" i="22" a="1"/>
  <c r="M252" i="22" s="1"/>
  <c r="M260" i="22" a="1"/>
  <c r="M260" i="22" s="1"/>
  <c r="M276" i="22" a="1"/>
  <c r="M276" i="22" s="1"/>
  <c r="M287" i="13" a="1"/>
  <c r="M287" i="13" s="1"/>
  <c r="M279" i="13" a="1"/>
  <c r="M279" i="13" s="1"/>
  <c r="M271" i="13" a="1"/>
  <c r="M271" i="13" s="1"/>
  <c r="M263" i="13" a="1"/>
  <c r="M263" i="13" s="1"/>
  <c r="M255" i="13" a="1"/>
  <c r="M255" i="13" s="1"/>
  <c r="M247" i="13" a="1"/>
  <c r="M247" i="13" s="1"/>
  <c r="M239" i="13" a="1"/>
  <c r="M239" i="13" s="1"/>
  <c r="M231" i="13" a="1"/>
  <c r="M231" i="13" s="1"/>
  <c r="M223" i="13" a="1"/>
  <c r="M223" i="13" s="1"/>
  <c r="M215" i="13" a="1"/>
  <c r="M215" i="13" s="1"/>
  <c r="M207" i="13" a="1"/>
  <c r="M207" i="13" s="1"/>
  <c r="M199" i="13" a="1"/>
  <c r="M199" i="13" s="1"/>
  <c r="M191" i="13" a="1"/>
  <c r="M191" i="13" s="1"/>
  <c r="M183" i="13" a="1"/>
  <c r="M183" i="13" s="1"/>
  <c r="M175" i="13" a="1"/>
  <c r="M175" i="13" s="1"/>
  <c r="M167" i="13" a="1"/>
  <c r="M167" i="13" s="1"/>
  <c r="M159" i="13" a="1"/>
  <c r="M159" i="13" s="1"/>
  <c r="M151" i="13" a="1"/>
  <c r="M151" i="13" s="1"/>
  <c r="M143" i="13" a="1"/>
  <c r="M143" i="13" s="1"/>
  <c r="M135" i="13" a="1"/>
  <c r="M135" i="13" s="1"/>
  <c r="M127" i="13" a="1"/>
  <c r="M127" i="13" s="1"/>
  <c r="M119" i="13" a="1"/>
  <c r="M119" i="13" s="1"/>
  <c r="M111" i="13" a="1"/>
  <c r="M111" i="13" s="1"/>
  <c r="M103" i="13" a="1"/>
  <c r="M103" i="13" s="1"/>
  <c r="M95" i="13" a="1"/>
  <c r="M95" i="13" s="1"/>
  <c r="G272" i="40" s="1"/>
  <c r="M87" i="13" a="1"/>
  <c r="M87" i="13" s="1"/>
  <c r="M79" i="13" a="1"/>
  <c r="M79" i="13" s="1"/>
  <c r="G353" i="40" s="1"/>
  <c r="M71" i="13" a="1"/>
  <c r="M71" i="13" s="1"/>
  <c r="G290" i="40" s="1"/>
  <c r="M63" i="13" a="1"/>
  <c r="M63" i="13" s="1"/>
  <c r="G275" i="40" s="1"/>
  <c r="M55" i="13" a="1"/>
  <c r="M55" i="13" s="1"/>
  <c r="G270" i="40" s="1"/>
  <c r="M47" i="13" a="1"/>
  <c r="M47" i="13" s="1"/>
  <c r="G306" i="40" s="1"/>
  <c r="M39" i="13" a="1"/>
  <c r="M39" i="13" s="1"/>
  <c r="G324" i="40" s="1"/>
  <c r="M31" i="13" a="1"/>
  <c r="M31" i="13" s="1"/>
  <c r="M23" i="13" a="1"/>
  <c r="M23" i="13" s="1"/>
  <c r="G341" i="40" s="1"/>
  <c r="M15" i="13" a="1"/>
  <c r="M15" i="13" s="1"/>
  <c r="M13" i="20" a="1"/>
  <c r="M13" i="20" s="1"/>
  <c r="J273" i="40" s="1"/>
  <c r="M21" i="20" a="1"/>
  <c r="M21" i="20" s="1"/>
  <c r="M29" i="20" a="1"/>
  <c r="M29" i="20" s="1"/>
  <c r="M37" i="20" a="1"/>
  <c r="M37" i="20" s="1"/>
  <c r="J251" i="40" s="1"/>
  <c r="M45" i="20" a="1"/>
  <c r="M45" i="20" s="1"/>
  <c r="J271" i="40" s="1"/>
  <c r="M53" i="20" a="1"/>
  <c r="M53" i="20" s="1"/>
  <c r="J281" i="40" s="1"/>
  <c r="M61" i="20" a="1"/>
  <c r="M61" i="20" s="1"/>
  <c r="J301" i="40" s="1"/>
  <c r="M69" i="20" a="1"/>
  <c r="M69" i="20" s="1"/>
  <c r="M77" i="20" a="1"/>
  <c r="M77" i="20" s="1"/>
  <c r="M85" i="20" a="1"/>
  <c r="M85" i="20" s="1"/>
  <c r="J264" i="40" s="1"/>
  <c r="M93" i="20" a="1"/>
  <c r="M93" i="20" s="1"/>
  <c r="J359" i="40" s="1"/>
  <c r="M101" i="20" a="1"/>
  <c r="M101" i="20" s="1"/>
  <c r="M109" i="20" a="1"/>
  <c r="M109" i="20" s="1"/>
  <c r="M117" i="20" a="1"/>
  <c r="M117" i="20" s="1"/>
  <c r="M125" i="20" a="1"/>
  <c r="M125" i="20" s="1"/>
  <c r="M133" i="20" a="1"/>
  <c r="M133" i="20" s="1"/>
  <c r="M141" i="20" a="1"/>
  <c r="M141" i="20" s="1"/>
  <c r="M149" i="20" a="1"/>
  <c r="M149" i="20" s="1"/>
  <c r="M157" i="20" a="1"/>
  <c r="M157" i="20" s="1"/>
  <c r="M165" i="20" a="1"/>
  <c r="M165" i="20" s="1"/>
  <c r="M173" i="20" a="1"/>
  <c r="M173" i="20" s="1"/>
  <c r="M181" i="20" a="1"/>
  <c r="M181" i="20" s="1"/>
  <c r="M189" i="20" a="1"/>
  <c r="M189" i="20" s="1"/>
  <c r="M197" i="20" a="1"/>
  <c r="M197" i="20" s="1"/>
  <c r="M205" i="20" a="1"/>
  <c r="M205" i="20" s="1"/>
  <c r="M213" i="20" a="1"/>
  <c r="M213" i="20" s="1"/>
  <c r="M221" i="20" a="1"/>
  <c r="M221" i="20" s="1"/>
  <c r="M229" i="20" a="1"/>
  <c r="M229" i="20" s="1"/>
  <c r="M237" i="20" a="1"/>
  <c r="M237" i="20" s="1"/>
  <c r="M245" i="20" a="1"/>
  <c r="M245" i="20" s="1"/>
  <c r="M253" i="20" a="1"/>
  <c r="M253" i="20" s="1"/>
  <c r="M261" i="20" a="1"/>
  <c r="M261" i="20" s="1"/>
  <c r="M269" i="20" a="1"/>
  <c r="M269" i="20" s="1"/>
  <c r="M277" i="20" a="1"/>
  <c r="M277" i="20" s="1"/>
  <c r="M285" i="20" a="1"/>
  <c r="M285" i="20" s="1"/>
  <c r="M293" i="20" a="1"/>
  <c r="M293" i="20" s="1"/>
  <c r="M13" i="22" a="1"/>
  <c r="M13" i="22" s="1"/>
  <c r="M318" i="40" s="1"/>
  <c r="M21" i="22" a="1"/>
  <c r="M21" i="22" s="1"/>
  <c r="M350" i="40" s="1"/>
  <c r="M29" i="22" a="1"/>
  <c r="M29" i="22" s="1"/>
  <c r="M252" i="40" s="1"/>
  <c r="M37" i="22" a="1"/>
  <c r="M37" i="22" s="1"/>
  <c r="M274" i="40" s="1"/>
  <c r="M45" i="22" a="1"/>
  <c r="M45" i="22" s="1"/>
  <c r="M294" i="40" s="1"/>
  <c r="M53" i="22" a="1"/>
  <c r="M53" i="22" s="1"/>
  <c r="M262" i="40" s="1"/>
  <c r="M61" i="22" a="1"/>
  <c r="M61" i="22" s="1"/>
  <c r="M282" i="40" s="1"/>
  <c r="M69" i="22" a="1"/>
  <c r="M69" i="22" s="1"/>
  <c r="M300" i="40" s="1"/>
  <c r="M77" i="22" a="1"/>
  <c r="M77" i="22" s="1"/>
  <c r="M320" i="40" s="1"/>
  <c r="M85" i="22" a="1"/>
  <c r="M85" i="22" s="1"/>
  <c r="M342" i="40" s="1"/>
  <c r="M93" i="22" a="1"/>
  <c r="M93" i="22" s="1"/>
  <c r="M101" i="22" a="1"/>
  <c r="M101" i="22" s="1"/>
  <c r="M109" i="22" a="1"/>
  <c r="M109" i="22" s="1"/>
  <c r="M117" i="22" a="1"/>
  <c r="M117" i="22" s="1"/>
  <c r="M125" i="22" a="1"/>
  <c r="M125" i="22" s="1"/>
  <c r="M133" i="22" a="1"/>
  <c r="M133" i="22" s="1"/>
  <c r="M141" i="22" a="1"/>
  <c r="M141" i="22" s="1"/>
  <c r="M149" i="22" a="1"/>
  <c r="M149" i="22" s="1"/>
  <c r="M157" i="22" a="1"/>
  <c r="M157" i="22" s="1"/>
  <c r="M165" i="22" a="1"/>
  <c r="M165" i="22" s="1"/>
  <c r="M173" i="22" a="1"/>
  <c r="M173" i="22" s="1"/>
  <c r="M181" i="22" a="1"/>
  <c r="M181" i="22" s="1"/>
  <c r="M189" i="22" a="1"/>
  <c r="M189" i="22" s="1"/>
  <c r="M197" i="22" a="1"/>
  <c r="M197" i="22" s="1"/>
  <c r="M205" i="22" a="1"/>
  <c r="M205" i="22" s="1"/>
  <c r="M213" i="22" a="1"/>
  <c r="M213" i="22" s="1"/>
  <c r="M221" i="22" a="1"/>
  <c r="M221" i="22" s="1"/>
  <c r="M229" i="22" a="1"/>
  <c r="M229" i="22" s="1"/>
  <c r="M237" i="22" a="1"/>
  <c r="M237" i="22" s="1"/>
  <c r="M245" i="22" a="1"/>
  <c r="M245" i="22" s="1"/>
  <c r="M253" i="22" a="1"/>
  <c r="M253" i="22" s="1"/>
  <c r="M261" i="22" a="1"/>
  <c r="M261" i="22" s="1"/>
  <c r="M269" i="22" a="1"/>
  <c r="M269" i="22" s="1"/>
  <c r="M277" i="22" a="1"/>
  <c r="M277" i="22" s="1"/>
  <c r="M285" i="22" a="1"/>
  <c r="M285" i="22" s="1"/>
  <c r="M293" i="22" a="1"/>
  <c r="M293" i="22" s="1"/>
  <c r="M13" i="21" a="1"/>
  <c r="M13" i="21" s="1"/>
  <c r="P266" i="40" s="1"/>
  <c r="M21" i="21" a="1"/>
  <c r="M21" i="21" s="1"/>
  <c r="P286" i="40" s="1"/>
  <c r="M29" i="21" a="1"/>
  <c r="M29" i="21" s="1"/>
  <c r="P304" i="40" s="1"/>
  <c r="M37" i="21" a="1"/>
  <c r="M37" i="21" s="1"/>
  <c r="P324" i="40" s="1"/>
  <c r="M45" i="21" a="1"/>
  <c r="M45" i="21" s="1"/>
  <c r="P359" i="40" s="1"/>
  <c r="M53" i="21" a="1"/>
  <c r="M53" i="21" s="1"/>
  <c r="P367" i="40" s="1"/>
  <c r="M61" i="21" a="1"/>
  <c r="M61" i="21" s="1"/>
  <c r="P318" i="40" s="1"/>
  <c r="M69" i="21" a="1"/>
  <c r="M69" i="21" s="1"/>
  <c r="P350" i="40" s="1"/>
  <c r="M77" i="21" a="1"/>
  <c r="M77" i="21" s="1"/>
  <c r="P252" i="40" s="1"/>
  <c r="M85" i="21" a="1"/>
  <c r="M85" i="21" s="1"/>
  <c r="P272" i="40" s="1"/>
  <c r="M93" i="21" a="1"/>
  <c r="M93" i="21" s="1"/>
  <c r="P293" i="40" s="1"/>
  <c r="M101" i="21" a="1"/>
  <c r="M101" i="21" s="1"/>
  <c r="M109" i="21" a="1"/>
  <c r="M109" i="21" s="1"/>
  <c r="M117" i="21" a="1"/>
  <c r="M117" i="21" s="1"/>
  <c r="M125" i="21" a="1"/>
  <c r="M125" i="21" s="1"/>
  <c r="M133" i="21" a="1"/>
  <c r="M133" i="21" s="1"/>
  <c r="M141" i="21" a="1"/>
  <c r="M141" i="21" s="1"/>
  <c r="M149" i="21" a="1"/>
  <c r="M149" i="21" s="1"/>
  <c r="M157" i="21" a="1"/>
  <c r="M157" i="21" s="1"/>
  <c r="M165" i="21" a="1"/>
  <c r="M165" i="21" s="1"/>
  <c r="M173" i="21" a="1"/>
  <c r="M173" i="21" s="1"/>
  <c r="M181" i="21" a="1"/>
  <c r="M181" i="21" s="1"/>
  <c r="M189" i="21" a="1"/>
  <c r="M189" i="21" s="1"/>
  <c r="M197" i="21" a="1"/>
  <c r="M197" i="21" s="1"/>
  <c r="M205" i="21" a="1"/>
  <c r="M205" i="21" s="1"/>
  <c r="M213" i="21" a="1"/>
  <c r="M213" i="21" s="1"/>
  <c r="M221" i="21" a="1"/>
  <c r="M221" i="21" s="1"/>
  <c r="M229" i="21" a="1"/>
  <c r="M229" i="21" s="1"/>
  <c r="M237" i="21" a="1"/>
  <c r="M237" i="21" s="1"/>
  <c r="M245" i="21" a="1"/>
  <c r="M245" i="21" s="1"/>
  <c r="M253" i="21" a="1"/>
  <c r="M253" i="21" s="1"/>
  <c r="M261" i="21" a="1"/>
  <c r="M261" i="21" s="1"/>
  <c r="M269" i="21" a="1"/>
  <c r="M269" i="21" s="1"/>
  <c r="M277" i="21" a="1"/>
  <c r="M277" i="21" s="1"/>
  <c r="M285" i="21" a="1"/>
  <c r="M285" i="21" s="1"/>
  <c r="M293" i="21" a="1"/>
  <c r="M293" i="21" s="1"/>
  <c r="M270" i="20" a="1"/>
  <c r="M270" i="20" s="1"/>
  <c r="M54" i="22" a="1"/>
  <c r="M54" i="22" s="1"/>
  <c r="M263" i="40" s="1"/>
  <c r="M86" i="22" a="1"/>
  <c r="M86" i="22" s="1"/>
  <c r="M343" i="40" s="1"/>
  <c r="M118" i="22" a="1"/>
  <c r="M118" i="22" s="1"/>
  <c r="M158" i="22" a="1"/>
  <c r="M158" i="22" s="1"/>
  <c r="M198" i="22" a="1"/>
  <c r="M198" i="22" s="1"/>
  <c r="M230" i="22" a="1"/>
  <c r="M230" i="22" s="1"/>
  <c r="M278" i="22" a="1"/>
  <c r="M278" i="22" s="1"/>
  <c r="M30" i="21" a="1"/>
  <c r="M30" i="21" s="1"/>
  <c r="P305" i="40" s="1"/>
  <c r="M62" i="21" a="1"/>
  <c r="M62" i="21" s="1"/>
  <c r="P329" i="40" s="1"/>
  <c r="M94" i="21" a="1"/>
  <c r="M94" i="21" s="1"/>
  <c r="P294" i="40" s="1"/>
  <c r="M126" i="21" a="1"/>
  <c r="M126" i="21" s="1"/>
  <c r="M174" i="21" a="1"/>
  <c r="M174" i="21" s="1"/>
  <c r="M237" i="13" a="1"/>
  <c r="M237" i="13" s="1"/>
  <c r="M189" i="13" a="1"/>
  <c r="M189" i="13" s="1"/>
  <c r="M117" i="13" a="1"/>
  <c r="M117" i="13" s="1"/>
  <c r="M93" i="13" a="1"/>
  <c r="M93" i="13" s="1"/>
  <c r="G256" i="40" s="1"/>
  <c r="M45" i="13" a="1"/>
  <c r="M45" i="13" s="1"/>
  <c r="G305" i="40" s="1"/>
  <c r="M13" i="13" a="1"/>
  <c r="M13" i="13" s="1"/>
  <c r="G320" i="40" s="1"/>
  <c r="M87" i="20" a="1"/>
  <c r="M87" i="20" s="1"/>
  <c r="J340" i="40" s="1"/>
  <c r="M119" i="20" a="1"/>
  <c r="M119" i="20" s="1"/>
  <c r="M151" i="20" a="1"/>
  <c r="M151" i="20" s="1"/>
  <c r="M183" i="20" a="1"/>
  <c r="M183" i="20" s="1"/>
  <c r="M215" i="20" a="1"/>
  <c r="M215" i="20" s="1"/>
  <c r="M255" i="20" a="1"/>
  <c r="M255" i="20" s="1"/>
  <c r="M287" i="20" a="1"/>
  <c r="M287" i="20" s="1"/>
  <c r="M31" i="22" a="1"/>
  <c r="M31" i="22" s="1"/>
  <c r="M254" i="40" s="1"/>
  <c r="M47" i="22" a="1"/>
  <c r="M47" i="22" s="1"/>
  <c r="M296" i="40" s="1"/>
  <c r="M71" i="22" a="1"/>
  <c r="M71" i="22" s="1"/>
  <c r="M302" i="40" s="1"/>
  <c r="M87" i="22" a="1"/>
  <c r="M87" i="22" s="1"/>
  <c r="M344" i="40" s="1"/>
  <c r="M111" i="22" a="1"/>
  <c r="M111" i="22" s="1"/>
  <c r="M127" i="22" a="1"/>
  <c r="M127" i="22" s="1"/>
  <c r="M151" i="22" a="1"/>
  <c r="M151" i="22" s="1"/>
  <c r="M175" i="22" a="1"/>
  <c r="M175" i="22" s="1"/>
  <c r="M183" i="22" a="1"/>
  <c r="M183" i="22" s="1"/>
  <c r="M191" i="22" a="1"/>
  <c r="M191" i="22" s="1"/>
  <c r="M199" i="22" a="1"/>
  <c r="M199" i="22" s="1"/>
  <c r="M207" i="22" a="1"/>
  <c r="M207" i="22" s="1"/>
  <c r="M215" i="22" a="1"/>
  <c r="M215" i="22" s="1"/>
  <c r="M223" i="22" a="1"/>
  <c r="M223" i="22" s="1"/>
  <c r="M231" i="22" a="1"/>
  <c r="M231" i="22" s="1"/>
  <c r="M239" i="22" a="1"/>
  <c r="M239" i="22" s="1"/>
  <c r="M247" i="22" a="1"/>
  <c r="M247" i="22" s="1"/>
  <c r="M255" i="22" a="1"/>
  <c r="M255" i="22" s="1"/>
  <c r="M263" i="22" a="1"/>
  <c r="M263" i="22" s="1"/>
  <c r="M271" i="22" a="1"/>
  <c r="M271" i="22" s="1"/>
  <c r="M279" i="22" a="1"/>
  <c r="M279" i="22" s="1"/>
  <c r="M287" i="22" a="1"/>
  <c r="M287" i="22" s="1"/>
  <c r="M15" i="21" a="1"/>
  <c r="M15" i="21" s="1"/>
  <c r="P280" i="40" s="1"/>
  <c r="M23" i="21" a="1"/>
  <c r="M23" i="21" s="1"/>
  <c r="P288" i="40" s="1"/>
  <c r="M31" i="21" a="1"/>
  <c r="M31" i="21" s="1"/>
  <c r="P306" i="40" s="1"/>
  <c r="M39" i="21" a="1"/>
  <c r="M39" i="21" s="1"/>
  <c r="P340" i="40" s="1"/>
  <c r="M47" i="21" a="1"/>
  <c r="M47" i="21" s="1"/>
  <c r="P361" i="40" s="1"/>
  <c r="M55" i="21" a="1"/>
  <c r="M55" i="21" s="1"/>
  <c r="P309" i="40" s="1"/>
  <c r="M63" i="21" a="1"/>
  <c r="M63" i="21" s="1"/>
  <c r="P330" i="40" s="1"/>
  <c r="M71" i="21" a="1"/>
  <c r="M71" i="21" s="1"/>
  <c r="P352" i="40" s="1"/>
  <c r="M79" i="21" a="1"/>
  <c r="M79" i="21" s="1"/>
  <c r="P254" i="40" s="1"/>
  <c r="M87" i="21" a="1"/>
  <c r="M87" i="21" s="1"/>
  <c r="P274" i="40" s="1"/>
  <c r="M95" i="21" a="1"/>
  <c r="M95" i="21" s="1"/>
  <c r="P295" i="40" s="1"/>
  <c r="M103" i="21" a="1"/>
  <c r="M103" i="21" s="1"/>
  <c r="M111" i="21" a="1"/>
  <c r="M111" i="21" s="1"/>
  <c r="M119" i="21" a="1"/>
  <c r="M119" i="21" s="1"/>
  <c r="M127" i="21" a="1"/>
  <c r="M127" i="21" s="1"/>
  <c r="M135" i="21" a="1"/>
  <c r="M135" i="21" s="1"/>
  <c r="M143" i="21" a="1"/>
  <c r="M143" i="21" s="1"/>
  <c r="M151" i="21" a="1"/>
  <c r="M151" i="21" s="1"/>
  <c r="M159" i="21" a="1"/>
  <c r="M159" i="21" s="1"/>
  <c r="M167" i="21" a="1"/>
  <c r="M167" i="21" s="1"/>
  <c r="M175" i="21" a="1"/>
  <c r="M175" i="21" s="1"/>
  <c r="M183" i="21" a="1"/>
  <c r="M183" i="21" s="1"/>
  <c r="M191" i="21" a="1"/>
  <c r="M191" i="21" s="1"/>
  <c r="M199" i="21" a="1"/>
  <c r="M199" i="21" s="1"/>
  <c r="M207" i="21" a="1"/>
  <c r="M207" i="21" s="1"/>
  <c r="M215" i="21" a="1"/>
  <c r="M215" i="21" s="1"/>
  <c r="M223" i="21" a="1"/>
  <c r="M223" i="21" s="1"/>
  <c r="M231" i="21" a="1"/>
  <c r="M231" i="21" s="1"/>
  <c r="M239" i="21" a="1"/>
  <c r="M239" i="21" s="1"/>
  <c r="M247" i="21" a="1"/>
  <c r="M247" i="21" s="1"/>
  <c r="M255" i="21" a="1"/>
  <c r="M255" i="21" s="1"/>
  <c r="M263" i="21" a="1"/>
  <c r="M263" i="21" s="1"/>
  <c r="M271" i="21" a="1"/>
  <c r="M271" i="21" s="1"/>
  <c r="M279" i="21" a="1"/>
  <c r="M279" i="21" s="1"/>
  <c r="M287" i="21" a="1"/>
  <c r="M287" i="21" s="1"/>
  <c r="M158" i="20" a="1"/>
  <c r="M158" i="20" s="1"/>
  <c r="M174" i="20" a="1"/>
  <c r="M174" i="20" s="1"/>
  <c r="M190" i="20" a="1"/>
  <c r="M190" i="20" s="1"/>
  <c r="M206" i="20" a="1"/>
  <c r="M206" i="20" s="1"/>
  <c r="M222" i="20" a="1"/>
  <c r="M222" i="20" s="1"/>
  <c r="M246" i="20" a="1"/>
  <c r="M246" i="20" s="1"/>
  <c r="M262" i="20" a="1"/>
  <c r="M262" i="20" s="1"/>
  <c r="M286" i="20" a="1"/>
  <c r="M286" i="20" s="1"/>
  <c r="M14" i="22" a="1"/>
  <c r="M14" i="22" s="1"/>
  <c r="M329" i="40" s="1"/>
  <c r="M30" i="22" a="1"/>
  <c r="M30" i="22" s="1"/>
  <c r="M253" i="40" s="1"/>
  <c r="M46" i="22" a="1"/>
  <c r="M46" i="22" s="1"/>
  <c r="M295" i="40" s="1"/>
  <c r="M70" i="22" a="1"/>
  <c r="M70" i="22" s="1"/>
  <c r="M301" i="40" s="1"/>
  <c r="M94" i="22" a="1"/>
  <c r="M94" i="22" s="1"/>
  <c r="M110" i="22" a="1"/>
  <c r="M110" i="22" s="1"/>
  <c r="M134" i="22" a="1"/>
  <c r="M134" i="22" s="1"/>
  <c r="M150" i="22" a="1"/>
  <c r="M150" i="22" s="1"/>
  <c r="M174" i="22" a="1"/>
  <c r="M174" i="22" s="1"/>
  <c r="M190" i="22" a="1"/>
  <c r="M190" i="22" s="1"/>
  <c r="M214" i="22" a="1"/>
  <c r="M214" i="22" s="1"/>
  <c r="M238" i="22" a="1"/>
  <c r="M238" i="22" s="1"/>
  <c r="M254" i="22" a="1"/>
  <c r="M254" i="22" s="1"/>
  <c r="M262" i="22" a="1"/>
  <c r="M262" i="22" s="1"/>
  <c r="M286" i="22" a="1"/>
  <c r="M286" i="22" s="1"/>
  <c r="M14" i="21" a="1"/>
  <c r="M14" i="21" s="1"/>
  <c r="P279" i="40" s="1"/>
  <c r="M38" i="21" a="1"/>
  <c r="M38" i="21" s="1"/>
  <c r="P339" i="40" s="1"/>
  <c r="M54" i="21" a="1"/>
  <c r="M54" i="21" s="1"/>
  <c r="P368" i="40" s="1"/>
  <c r="M78" i="21" a="1"/>
  <c r="M78" i="21" s="1"/>
  <c r="P253" i="40" s="1"/>
  <c r="M102" i="21" a="1"/>
  <c r="M102" i="21" s="1"/>
  <c r="M118" i="21" a="1"/>
  <c r="M118" i="21" s="1"/>
  <c r="M142" i="21" a="1"/>
  <c r="M142" i="21" s="1"/>
  <c r="M158" i="21" a="1"/>
  <c r="M158" i="21" s="1"/>
  <c r="M182" i="21" a="1"/>
  <c r="M182" i="21" s="1"/>
  <c r="M198" i="21" a="1"/>
  <c r="M198" i="21" s="1"/>
  <c r="M214" i="21" a="1"/>
  <c r="M214" i="21" s="1"/>
  <c r="M230" i="21" a="1"/>
  <c r="M230" i="21" s="1"/>
  <c r="M246" i="21" a="1"/>
  <c r="M246" i="21" s="1"/>
  <c r="M262" i="21" a="1"/>
  <c r="M262" i="21" s="1"/>
  <c r="M278" i="21" a="1"/>
  <c r="M278" i="21" s="1"/>
  <c r="M285" i="13" a="1"/>
  <c r="M285" i="13" s="1"/>
  <c r="M269" i="13" a="1"/>
  <c r="M269" i="13" s="1"/>
  <c r="M253" i="13" a="1"/>
  <c r="M253" i="13" s="1"/>
  <c r="M229" i="13" a="1"/>
  <c r="M229" i="13" s="1"/>
  <c r="M213" i="13" a="1"/>
  <c r="M213" i="13" s="1"/>
  <c r="M197" i="13" a="1"/>
  <c r="M197" i="13" s="1"/>
  <c r="M173" i="13" a="1"/>
  <c r="M173" i="13" s="1"/>
  <c r="M157" i="13" a="1"/>
  <c r="M157" i="13" s="1"/>
  <c r="M141" i="13" a="1"/>
  <c r="M141" i="13" s="1"/>
  <c r="M125" i="13" a="1"/>
  <c r="M125" i="13" s="1"/>
  <c r="M109" i="13" a="1"/>
  <c r="M109" i="13" s="1"/>
  <c r="M101" i="13" a="1"/>
  <c r="M101" i="13" s="1"/>
  <c r="M85" i="13" a="1"/>
  <c r="M85" i="13" s="1"/>
  <c r="G292" i="40" s="1"/>
  <c r="M77" i="13" a="1"/>
  <c r="M77" i="13" s="1"/>
  <c r="G250" i="40" s="1"/>
  <c r="M69" i="13" a="1"/>
  <c r="M69" i="13" s="1"/>
  <c r="G332" i="40" s="1"/>
  <c r="M61" i="13" a="1"/>
  <c r="M61" i="13" s="1"/>
  <c r="G254" i="40" s="1"/>
  <c r="M53" i="13" a="1"/>
  <c r="M53" i="13" s="1"/>
  <c r="G329" i="40" s="1"/>
  <c r="M37" i="13" a="1"/>
  <c r="M37" i="13" s="1"/>
  <c r="G366" i="40" s="1"/>
  <c r="M29" i="13" a="1"/>
  <c r="M29" i="13" s="1"/>
  <c r="G302" i="40" s="1"/>
  <c r="M21" i="13" a="1"/>
  <c r="M21" i="13" s="1"/>
  <c r="M15" i="20" a="1"/>
  <c r="M15" i="20" s="1"/>
  <c r="J332" i="40" s="1"/>
  <c r="M31" i="20" a="1"/>
  <c r="M31" i="20" s="1"/>
  <c r="M47" i="20" a="1"/>
  <c r="M47" i="20" s="1"/>
  <c r="J292" i="40" s="1"/>
  <c r="M63" i="20" a="1"/>
  <c r="M63" i="20" s="1"/>
  <c r="M79" i="20" a="1"/>
  <c r="M79" i="20" s="1"/>
  <c r="M103" i="20" a="1"/>
  <c r="M103" i="20" s="1"/>
  <c r="M127" i="20" a="1"/>
  <c r="M127" i="20" s="1"/>
  <c r="M143" i="20" a="1"/>
  <c r="M143" i="20" s="1"/>
  <c r="M167" i="20" a="1"/>
  <c r="M167" i="20" s="1"/>
  <c r="M191" i="20" a="1"/>
  <c r="M191" i="20" s="1"/>
  <c r="M207" i="20" a="1"/>
  <c r="M207" i="20" s="1"/>
  <c r="M231" i="20" a="1"/>
  <c r="M231" i="20" s="1"/>
  <c r="M247" i="20" a="1"/>
  <c r="M247" i="20" s="1"/>
  <c r="M271" i="20" a="1"/>
  <c r="M271" i="20" s="1"/>
  <c r="M15" i="22" a="1"/>
  <c r="M15" i="22" s="1"/>
  <c r="M330" i="40" s="1"/>
  <c r="M284" i="13" a="1"/>
  <c r="M284" i="13" s="1"/>
  <c r="M268" i="13" a="1"/>
  <c r="M268" i="13" s="1"/>
  <c r="M252" i="13" a="1"/>
  <c r="M252" i="13" s="1"/>
  <c r="M236" i="13" a="1"/>
  <c r="M236" i="13" s="1"/>
  <c r="M220" i="13" a="1"/>
  <c r="M220" i="13" s="1"/>
  <c r="M204" i="13" a="1"/>
  <c r="M204" i="13" s="1"/>
  <c r="M188" i="13" a="1"/>
  <c r="M188" i="13" s="1"/>
  <c r="M180" i="13" a="1"/>
  <c r="M180" i="13" s="1"/>
  <c r="M172" i="13" a="1"/>
  <c r="M172" i="13" s="1"/>
  <c r="M164" i="13" a="1"/>
  <c r="M164" i="13" s="1"/>
  <c r="M156" i="13" a="1"/>
  <c r="M156" i="13" s="1"/>
  <c r="M148" i="13" a="1"/>
  <c r="M148" i="13" s="1"/>
  <c r="M140" i="13" a="1"/>
  <c r="M140" i="13" s="1"/>
  <c r="M132" i="13" a="1"/>
  <c r="M132" i="13" s="1"/>
  <c r="M124" i="13" a="1"/>
  <c r="M124" i="13" s="1"/>
  <c r="M116" i="13" a="1"/>
  <c r="M116" i="13" s="1"/>
  <c r="M108" i="13" a="1"/>
  <c r="M108" i="13" s="1"/>
  <c r="M100" i="13" a="1"/>
  <c r="M100" i="13" s="1"/>
  <c r="M92" i="13" a="1"/>
  <c r="M92" i="13" s="1"/>
  <c r="G298" i="40" s="1"/>
  <c r="M84" i="13" a="1"/>
  <c r="M84" i="13" s="1"/>
  <c r="G354" i="40" s="1"/>
  <c r="M76" i="13" a="1"/>
  <c r="M76" i="13" s="1"/>
  <c r="G289" i="40" s="1"/>
  <c r="M68" i="13" a="1"/>
  <c r="M68" i="13" s="1"/>
  <c r="G331" i="40" s="1"/>
  <c r="M60" i="13" a="1"/>
  <c r="M60" i="13" s="1"/>
  <c r="G350" i="40" s="1"/>
  <c r="M52" i="13" a="1"/>
  <c r="M52" i="13" s="1"/>
  <c r="G309" i="40" s="1"/>
  <c r="M44" i="13" a="1"/>
  <c r="M44" i="13" s="1"/>
  <c r="G286" i="40" s="1"/>
  <c r="M36" i="13" a="1"/>
  <c r="M36" i="13" s="1"/>
  <c r="G304" i="40" s="1"/>
  <c r="M28" i="13" a="1"/>
  <c r="M28" i="13" s="1"/>
  <c r="G322" i="40" s="1"/>
  <c r="M20" i="13" a="1"/>
  <c r="M20" i="13" s="1"/>
  <c r="G281" i="40" s="1"/>
  <c r="M12" i="13" a="1"/>
  <c r="M12" i="13" s="1"/>
  <c r="G360" i="40" s="1"/>
  <c r="M8" i="20" a="1"/>
  <c r="M8" i="20" s="1"/>
  <c r="J253" i="40" s="1"/>
  <c r="M16" i="20" a="1"/>
  <c r="M16" i="20" s="1"/>
  <c r="J296" i="40" s="1"/>
  <c r="M24" i="20" a="1"/>
  <c r="M24" i="20" s="1"/>
  <c r="M32" i="20" a="1"/>
  <c r="M32" i="20" s="1"/>
  <c r="M40" i="20" a="1"/>
  <c r="M40" i="20" s="1"/>
  <c r="J312" i="40" s="1"/>
  <c r="M48" i="20" a="1"/>
  <c r="M48" i="20" s="1"/>
  <c r="J295" i="40" s="1"/>
  <c r="M56" i="20" a="1"/>
  <c r="M56" i="20" s="1"/>
  <c r="M64" i="20" a="1"/>
  <c r="M64" i="20" s="1"/>
  <c r="M72" i="20" a="1"/>
  <c r="M72" i="20" s="1"/>
  <c r="M80" i="20" a="1"/>
  <c r="M80" i="20" s="1"/>
  <c r="M88" i="20" a="1"/>
  <c r="M88" i="20" s="1"/>
  <c r="J286" i="40" s="1"/>
  <c r="M96" i="20" a="1"/>
  <c r="M96" i="20" s="1"/>
  <c r="M104" i="20" a="1"/>
  <c r="M104" i="20" s="1"/>
  <c r="M112" i="20" a="1"/>
  <c r="M112" i="20" s="1"/>
  <c r="M120" i="20" a="1"/>
  <c r="M120" i="20" s="1"/>
  <c r="M128" i="20" a="1"/>
  <c r="M128" i="20" s="1"/>
  <c r="M136" i="20" a="1"/>
  <c r="M136" i="20" s="1"/>
  <c r="M144" i="20" a="1"/>
  <c r="M144" i="20" s="1"/>
  <c r="M152" i="20" a="1"/>
  <c r="M152" i="20" s="1"/>
  <c r="M160" i="20" a="1"/>
  <c r="M160" i="20" s="1"/>
  <c r="M168" i="20" a="1"/>
  <c r="M168" i="20" s="1"/>
  <c r="M176" i="20" a="1"/>
  <c r="M176" i="20" s="1"/>
  <c r="M184" i="20" a="1"/>
  <c r="M184" i="20" s="1"/>
  <c r="M192" i="20" a="1"/>
  <c r="M192" i="20" s="1"/>
  <c r="M200" i="20" a="1"/>
  <c r="M200" i="20" s="1"/>
  <c r="M208" i="20" a="1"/>
  <c r="M208" i="20" s="1"/>
  <c r="M216" i="20" a="1"/>
  <c r="M216" i="20" s="1"/>
  <c r="M224" i="20" a="1"/>
  <c r="M224" i="20" s="1"/>
  <c r="M232" i="20" a="1"/>
  <c r="M232" i="20" s="1"/>
  <c r="M240" i="20" a="1"/>
  <c r="M240" i="20" s="1"/>
  <c r="M248" i="20" a="1"/>
  <c r="M248" i="20" s="1"/>
  <c r="M256" i="20" a="1"/>
  <c r="M256" i="20" s="1"/>
  <c r="M264" i="20" a="1"/>
  <c r="M264" i="20" s="1"/>
  <c r="M272" i="20" a="1"/>
  <c r="M272" i="20" s="1"/>
  <c r="M280" i="20" a="1"/>
  <c r="M280" i="20" s="1"/>
  <c r="M288" i="20" a="1"/>
  <c r="M288" i="20" s="1"/>
  <c r="M8" i="22" a="1"/>
  <c r="M8" i="22" s="1"/>
  <c r="M311" i="40" s="1"/>
  <c r="M16" i="22" a="1"/>
  <c r="M16" i="22" s="1"/>
  <c r="M331" i="40" s="1"/>
  <c r="M24" i="22" a="1"/>
  <c r="M24" i="22" s="1"/>
  <c r="M353" i="40" s="1"/>
  <c r="M32" i="22" a="1"/>
  <c r="M32" i="22" s="1"/>
  <c r="M255" i="40" s="1"/>
  <c r="M40" i="22" a="1"/>
  <c r="M40" i="22" s="1"/>
  <c r="M289" i="40" s="1"/>
  <c r="M48" i="22" a="1"/>
  <c r="M48" i="22" s="1"/>
  <c r="M297" i="40" s="1"/>
  <c r="M56" i="22" a="1"/>
  <c r="M56" i="22" s="1"/>
  <c r="M265" i="40" s="1"/>
  <c r="M64" i="22" a="1"/>
  <c r="M64" i="22" s="1"/>
  <c r="M285" i="40" s="1"/>
  <c r="M72" i="22" a="1"/>
  <c r="M72" i="22" s="1"/>
  <c r="M303" i="40" s="1"/>
  <c r="M80" i="22" a="1"/>
  <c r="M80" i="22" s="1"/>
  <c r="M323" i="40" s="1"/>
  <c r="M88" i="22" a="1"/>
  <c r="M88" i="22" s="1"/>
  <c r="M345" i="40" s="1"/>
  <c r="M96" i="22" a="1"/>
  <c r="M96" i="22" s="1"/>
  <c r="M104" i="22" a="1"/>
  <c r="M104" i="22" s="1"/>
  <c r="M112" i="22" a="1"/>
  <c r="M112" i="22" s="1"/>
  <c r="M120" i="22" a="1"/>
  <c r="M120" i="22" s="1"/>
  <c r="M128" i="22" a="1"/>
  <c r="M128" i="22" s="1"/>
  <c r="M136" i="22" a="1"/>
  <c r="M136" i="22" s="1"/>
  <c r="M144" i="22" a="1"/>
  <c r="M144" i="22" s="1"/>
  <c r="M152" i="22" a="1"/>
  <c r="M152" i="22" s="1"/>
  <c r="M160" i="22" a="1"/>
  <c r="M160" i="22" s="1"/>
  <c r="M168" i="22" a="1"/>
  <c r="M168" i="22" s="1"/>
  <c r="M176" i="22" a="1"/>
  <c r="M176" i="22" s="1"/>
  <c r="M184" i="22" a="1"/>
  <c r="M184" i="22" s="1"/>
  <c r="M192" i="22" a="1"/>
  <c r="M192" i="22" s="1"/>
  <c r="M200" i="22" a="1"/>
  <c r="M200" i="22" s="1"/>
  <c r="M208" i="22" a="1"/>
  <c r="M208" i="22" s="1"/>
  <c r="M216" i="22" a="1"/>
  <c r="M216" i="22" s="1"/>
  <c r="M224" i="22" a="1"/>
  <c r="M224" i="22" s="1"/>
  <c r="M232" i="22" a="1"/>
  <c r="M232" i="22" s="1"/>
  <c r="M240" i="22" a="1"/>
  <c r="M240" i="22" s="1"/>
  <c r="M248" i="22" a="1"/>
  <c r="M248" i="22" s="1"/>
  <c r="M256" i="22" a="1"/>
  <c r="M256" i="22" s="1"/>
  <c r="M264" i="22" a="1"/>
  <c r="M264" i="22" s="1"/>
  <c r="M272" i="22" a="1"/>
  <c r="M272" i="22" s="1"/>
  <c r="M280" i="22" a="1"/>
  <c r="M280" i="22" s="1"/>
  <c r="M288" i="22" a="1"/>
  <c r="M288" i="22" s="1"/>
  <c r="M8" i="21" a="1"/>
  <c r="M8" i="21" s="1"/>
  <c r="P261" i="40" s="1"/>
  <c r="M16" i="21" a="1"/>
  <c r="M16" i="21" s="1"/>
  <c r="P281" i="40" s="1"/>
  <c r="M24" i="21" a="1"/>
  <c r="M24" i="21" s="1"/>
  <c r="P299" i="40" s="1"/>
  <c r="M32" i="21" a="1"/>
  <c r="M32" i="21" s="1"/>
  <c r="P319" i="40" s="1"/>
  <c r="M40" i="21" a="1"/>
  <c r="M40" i="21" s="1"/>
  <c r="P341" i="40" s="1"/>
  <c r="M48" i="21" a="1"/>
  <c r="M48" i="21" s="1"/>
  <c r="P362" i="40" s="1"/>
  <c r="M56" i="21" a="1"/>
  <c r="M56" i="21" s="1"/>
  <c r="P310" i="40" s="1"/>
  <c r="M64" i="21" a="1"/>
  <c r="M64" i="21" s="1"/>
  <c r="P331" i="40" s="1"/>
  <c r="M72" i="21" a="1"/>
  <c r="M72" i="21" s="1"/>
  <c r="P353" i="40" s="1"/>
  <c r="M80" i="21" a="1"/>
  <c r="M80" i="21" s="1"/>
  <c r="P255" i="40" s="1"/>
  <c r="M88" i="21" a="1"/>
  <c r="M88" i="21" s="1"/>
  <c r="P275" i="40" s="1"/>
  <c r="M96" i="21" a="1"/>
  <c r="M96" i="21" s="1"/>
  <c r="P296" i="40" s="1"/>
  <c r="M104" i="21" a="1"/>
  <c r="M104" i="21" s="1"/>
  <c r="M112" i="21" a="1"/>
  <c r="M112" i="21" s="1"/>
  <c r="M120" i="21" a="1"/>
  <c r="M120" i="21" s="1"/>
  <c r="M128" i="21" a="1"/>
  <c r="M128" i="21" s="1"/>
  <c r="M136" i="21" a="1"/>
  <c r="M136" i="21" s="1"/>
  <c r="M144" i="21" a="1"/>
  <c r="M144" i="21" s="1"/>
  <c r="M152" i="21" a="1"/>
  <c r="M152" i="21" s="1"/>
  <c r="M160" i="21" a="1"/>
  <c r="M160" i="21" s="1"/>
  <c r="M168" i="21" a="1"/>
  <c r="M168" i="21" s="1"/>
  <c r="M176" i="21" a="1"/>
  <c r="M176" i="21" s="1"/>
  <c r="M184" i="21" a="1"/>
  <c r="M184" i="21" s="1"/>
  <c r="M192" i="21" a="1"/>
  <c r="M192" i="21" s="1"/>
  <c r="M200" i="21" a="1"/>
  <c r="M200" i="21" s="1"/>
  <c r="M208" i="21" a="1"/>
  <c r="M208" i="21" s="1"/>
  <c r="M216" i="21" a="1"/>
  <c r="M216" i="21" s="1"/>
  <c r="M224" i="21" a="1"/>
  <c r="M224" i="21" s="1"/>
  <c r="M232" i="21" a="1"/>
  <c r="M232" i="21" s="1"/>
  <c r="M240" i="21" a="1"/>
  <c r="M240" i="21" s="1"/>
  <c r="M248" i="21" a="1"/>
  <c r="M248" i="21" s="1"/>
  <c r="M256" i="21" a="1"/>
  <c r="M256" i="21" s="1"/>
  <c r="M264" i="21" a="1"/>
  <c r="M264" i="21" s="1"/>
  <c r="M272" i="21" a="1"/>
  <c r="M272" i="21" s="1"/>
  <c r="M280" i="21" a="1"/>
  <c r="M280" i="21" s="1"/>
  <c r="M288" i="21" a="1"/>
  <c r="M288" i="21" s="1"/>
  <c r="M166" i="20" a="1"/>
  <c r="M166" i="20" s="1"/>
  <c r="M182" i="20" a="1"/>
  <c r="M182" i="20" s="1"/>
  <c r="M198" i="20" a="1"/>
  <c r="M198" i="20" s="1"/>
  <c r="M214" i="20" a="1"/>
  <c r="M214" i="20" s="1"/>
  <c r="M230" i="20" a="1"/>
  <c r="M230" i="20" s="1"/>
  <c r="M238" i="20" a="1"/>
  <c r="M238" i="20" s="1"/>
  <c r="M254" i="20" a="1"/>
  <c r="M254" i="20" s="1"/>
  <c r="M278" i="20" a="1"/>
  <c r="M278" i="20" s="1"/>
  <c r="M22" i="22" a="1"/>
  <c r="M22" i="22" s="1"/>
  <c r="M351" i="40" s="1"/>
  <c r="M38" i="22" a="1"/>
  <c r="M38" i="22" s="1"/>
  <c r="M275" i="40" s="1"/>
  <c r="M62" i="22" a="1"/>
  <c r="M62" i="22" s="1"/>
  <c r="M283" i="40" s="1"/>
  <c r="M78" i="22" a="1"/>
  <c r="M78" i="22" s="1"/>
  <c r="M321" i="40" s="1"/>
  <c r="M102" i="22" a="1"/>
  <c r="M102" i="22" s="1"/>
  <c r="M126" i="22" a="1"/>
  <c r="M126" i="22" s="1"/>
  <c r="M142" i="22" a="1"/>
  <c r="M142" i="22" s="1"/>
  <c r="M166" i="22" a="1"/>
  <c r="M166" i="22" s="1"/>
  <c r="M182" i="22" a="1"/>
  <c r="M182" i="22" s="1"/>
  <c r="M206" i="22" a="1"/>
  <c r="M206" i="22" s="1"/>
  <c r="M222" i="22" a="1"/>
  <c r="M222" i="22" s="1"/>
  <c r="M246" i="22" a="1"/>
  <c r="M246" i="22" s="1"/>
  <c r="M270" i="22" a="1"/>
  <c r="M270" i="22" s="1"/>
  <c r="M22" i="21" a="1"/>
  <c r="M22" i="21" s="1"/>
  <c r="P287" i="40" s="1"/>
  <c r="M46" i="21" a="1"/>
  <c r="M46" i="21" s="1"/>
  <c r="P360" i="40" s="1"/>
  <c r="M70" i="21" a="1"/>
  <c r="M70" i="21" s="1"/>
  <c r="P351" i="40" s="1"/>
  <c r="M86" i="21" a="1"/>
  <c r="M86" i="21" s="1"/>
  <c r="P273" i="40" s="1"/>
  <c r="M110" i="21" a="1"/>
  <c r="M110" i="21" s="1"/>
  <c r="M134" i="21" a="1"/>
  <c r="M134" i="21" s="1"/>
  <c r="M150" i="21" a="1"/>
  <c r="M150" i="21" s="1"/>
  <c r="M166" i="21" a="1"/>
  <c r="M166" i="21" s="1"/>
  <c r="M190" i="21" a="1"/>
  <c r="M190" i="21" s="1"/>
  <c r="M206" i="21" a="1"/>
  <c r="M206" i="21" s="1"/>
  <c r="M222" i="21" a="1"/>
  <c r="M222" i="21" s="1"/>
  <c r="M238" i="21" a="1"/>
  <c r="M238" i="21" s="1"/>
  <c r="M254" i="21" a="1"/>
  <c r="M254" i="21" s="1"/>
  <c r="M270" i="21" a="1"/>
  <c r="M270" i="21" s="1"/>
  <c r="M286" i="21" a="1"/>
  <c r="M286" i="21" s="1"/>
  <c r="M293" i="13" a="1"/>
  <c r="M293" i="13" s="1"/>
  <c r="M277" i="13" a="1"/>
  <c r="M277" i="13" s="1"/>
  <c r="M261" i="13" a="1"/>
  <c r="M261" i="13" s="1"/>
  <c r="M245" i="13" a="1"/>
  <c r="M245" i="13" s="1"/>
  <c r="M221" i="13" a="1"/>
  <c r="M221" i="13" s="1"/>
  <c r="M205" i="13" a="1"/>
  <c r="M205" i="13" s="1"/>
  <c r="M181" i="13" a="1"/>
  <c r="M181" i="13" s="1"/>
  <c r="M165" i="13" a="1"/>
  <c r="M165" i="13" s="1"/>
  <c r="M149" i="13" a="1"/>
  <c r="M149" i="13" s="1"/>
  <c r="M133" i="13" a="1"/>
  <c r="M133" i="13" s="1"/>
  <c r="M23" i="20" a="1"/>
  <c r="M23" i="20" s="1"/>
  <c r="J315" i="40" s="1"/>
  <c r="M39" i="20" a="1"/>
  <c r="M39" i="20" s="1"/>
  <c r="J275" i="40" s="1"/>
  <c r="M55" i="20" a="1"/>
  <c r="M55" i="20" s="1"/>
  <c r="J361" i="40" s="1"/>
  <c r="M71" i="20" a="1"/>
  <c r="M71" i="20" s="1"/>
  <c r="M95" i="20" a="1"/>
  <c r="M95" i="20" s="1"/>
  <c r="M111" i="20" a="1"/>
  <c r="M111" i="20" s="1"/>
  <c r="M135" i="20" a="1"/>
  <c r="M135" i="20" s="1"/>
  <c r="M159" i="20" a="1"/>
  <c r="M159" i="20" s="1"/>
  <c r="M175" i="20" a="1"/>
  <c r="M175" i="20" s="1"/>
  <c r="M199" i="20" a="1"/>
  <c r="M199" i="20" s="1"/>
  <c r="M223" i="20" a="1"/>
  <c r="M223" i="20" s="1"/>
  <c r="M239" i="20" a="1"/>
  <c r="M239" i="20" s="1"/>
  <c r="M263" i="20" a="1"/>
  <c r="M263" i="20" s="1"/>
  <c r="M279" i="20" a="1"/>
  <c r="M279" i="20" s="1"/>
  <c r="M23" i="22" a="1"/>
  <c r="M23" i="22" s="1"/>
  <c r="M352" i="40" s="1"/>
  <c r="M39" i="22" a="1"/>
  <c r="M39" i="22" s="1"/>
  <c r="M277" i="40" s="1"/>
  <c r="M55" i="22" a="1"/>
  <c r="M55" i="22" s="1"/>
  <c r="M264" i="40" s="1"/>
  <c r="M63" i="22" a="1"/>
  <c r="M63" i="22" s="1"/>
  <c r="M284" i="40" s="1"/>
  <c r="M79" i="22" a="1"/>
  <c r="M79" i="22" s="1"/>
  <c r="M322" i="40" s="1"/>
  <c r="M95" i="22" a="1"/>
  <c r="M95" i="22" s="1"/>
  <c r="M103" i="22" a="1"/>
  <c r="M103" i="22" s="1"/>
  <c r="M119" i="22" a="1"/>
  <c r="M119" i="22" s="1"/>
  <c r="M135" i="22" a="1"/>
  <c r="M135" i="22" s="1"/>
  <c r="M143" i="22" a="1"/>
  <c r="M143" i="22" s="1"/>
  <c r="M159" i="22" a="1"/>
  <c r="M159" i="22" s="1"/>
  <c r="M167" i="22" a="1"/>
  <c r="M167" i="22" s="1"/>
  <c r="M292" i="13" a="1"/>
  <c r="M292" i="13" s="1"/>
  <c r="M276" i="13" a="1"/>
  <c r="M276" i="13" s="1"/>
  <c r="M260" i="13" a="1"/>
  <c r="M260" i="13" s="1"/>
  <c r="M244" i="13" a="1"/>
  <c r="M244" i="13" s="1"/>
  <c r="M228" i="13" a="1"/>
  <c r="M228" i="13" s="1"/>
  <c r="M212" i="13" a="1"/>
  <c r="M212" i="13" s="1"/>
  <c r="M196" i="13" a="1"/>
  <c r="M196" i="13" s="1"/>
  <c r="M291" i="13" a="1"/>
  <c r="M291" i="13" s="1"/>
  <c r="M283" i="13" a="1"/>
  <c r="M283" i="13" s="1"/>
  <c r="M275" i="13" a="1"/>
  <c r="M275" i="13" s="1"/>
  <c r="M267" i="13" a="1"/>
  <c r="M267" i="13" s="1"/>
  <c r="M259" i="13" a="1"/>
  <c r="M259" i="13" s="1"/>
  <c r="M251" i="13" a="1"/>
  <c r="M251" i="13" s="1"/>
  <c r="M243" i="13" a="1"/>
  <c r="M243" i="13" s="1"/>
  <c r="M235" i="13" a="1"/>
  <c r="M235" i="13" s="1"/>
  <c r="M227" i="13" a="1"/>
  <c r="M227" i="13" s="1"/>
  <c r="M219" i="13" a="1"/>
  <c r="M219" i="13" s="1"/>
  <c r="M211" i="13" a="1"/>
  <c r="M211" i="13" s="1"/>
  <c r="M203" i="13" a="1"/>
  <c r="M203" i="13" s="1"/>
  <c r="M195" i="13" a="1"/>
  <c r="M195" i="13" s="1"/>
  <c r="M187" i="13" a="1"/>
  <c r="M187" i="13" s="1"/>
  <c r="M179" i="13" a="1"/>
  <c r="M179" i="13" s="1"/>
  <c r="M171" i="13" a="1"/>
  <c r="M171" i="13" s="1"/>
  <c r="M163" i="13" a="1"/>
  <c r="M163" i="13" s="1"/>
  <c r="M155" i="13" a="1"/>
  <c r="M155" i="13" s="1"/>
  <c r="M147" i="13" a="1"/>
  <c r="M147" i="13" s="1"/>
  <c r="M139" i="13" a="1"/>
  <c r="M139" i="13" s="1"/>
  <c r="M131" i="13" a="1"/>
  <c r="M131" i="13" s="1"/>
  <c r="M123" i="13" a="1"/>
  <c r="M123" i="13" s="1"/>
  <c r="M115" i="13" a="1"/>
  <c r="M115" i="13" s="1"/>
  <c r="M107" i="13" a="1"/>
  <c r="M107" i="13" s="1"/>
  <c r="M99" i="13" a="1"/>
  <c r="M99" i="13" s="1"/>
  <c r="M91" i="13" a="1"/>
  <c r="M91" i="13" s="1"/>
  <c r="G317" i="40" s="1"/>
  <c r="M83" i="13" a="1"/>
  <c r="M83" i="13" s="1"/>
  <c r="G253" i="40" s="1"/>
  <c r="M75" i="13" a="1"/>
  <c r="M75" i="13" s="1"/>
  <c r="G333" i="40" s="1"/>
  <c r="M67" i="13" a="1"/>
  <c r="M67" i="13" s="1"/>
  <c r="G311" i="40" s="1"/>
  <c r="M59" i="13" a="1"/>
  <c r="M59" i="13" s="1"/>
  <c r="G310" i="40" s="1"/>
  <c r="M51" i="13" a="1"/>
  <c r="M51" i="13" s="1"/>
  <c r="M43" i="13" a="1"/>
  <c r="M43" i="13" s="1"/>
  <c r="G265" i="40" s="1"/>
  <c r="M35" i="13" a="1"/>
  <c r="M35" i="13" s="1"/>
  <c r="M27" i="13" a="1"/>
  <c r="M27" i="13" s="1"/>
  <c r="G363" i="40" s="1"/>
  <c r="M19" i="13" a="1"/>
  <c r="M19" i="13" s="1"/>
  <c r="G321" i="40" s="1"/>
  <c r="M11" i="13" a="1"/>
  <c r="M11" i="13" s="1"/>
  <c r="M9" i="20" a="1"/>
  <c r="M9" i="20" s="1"/>
  <c r="J354" i="40" s="1"/>
  <c r="M17" i="20" a="1"/>
  <c r="M17" i="20" s="1"/>
  <c r="J250" i="40" s="1"/>
  <c r="M25" i="20" a="1"/>
  <c r="M25" i="20" s="1"/>
  <c r="M33" i="20" a="1"/>
  <c r="M33" i="20" s="1"/>
  <c r="M41" i="20" a="1"/>
  <c r="M41" i="20" s="1"/>
  <c r="J334" i="40" s="1"/>
  <c r="M49" i="20" a="1"/>
  <c r="M49" i="20" s="1"/>
  <c r="J297" i="40" s="1"/>
  <c r="M57" i="20" a="1"/>
  <c r="M57" i="20" s="1"/>
  <c r="J304" i="40" s="1"/>
  <c r="M65" i="20" a="1"/>
  <c r="M65" i="20" s="1"/>
  <c r="M73" i="20" a="1"/>
  <c r="M73" i="20" s="1"/>
  <c r="M81" i="20" a="1"/>
  <c r="M81" i="20" s="1"/>
  <c r="J279" i="40" s="1"/>
  <c r="M89" i="20" a="1"/>
  <c r="M89" i="20" s="1"/>
  <c r="J365" i="40" s="1"/>
  <c r="M97" i="20" a="1"/>
  <c r="M97" i="20" s="1"/>
  <c r="M105" i="20" a="1"/>
  <c r="M105" i="20" s="1"/>
  <c r="M113" i="20" a="1"/>
  <c r="M113" i="20" s="1"/>
  <c r="M121" i="20" a="1"/>
  <c r="M121" i="20" s="1"/>
  <c r="M129" i="20" a="1"/>
  <c r="M129" i="20" s="1"/>
  <c r="M137" i="20" a="1"/>
  <c r="M137" i="20" s="1"/>
  <c r="M145" i="20" a="1"/>
  <c r="M145" i="20" s="1"/>
  <c r="M153" i="20" a="1"/>
  <c r="M153" i="20" s="1"/>
  <c r="M161" i="20" a="1"/>
  <c r="M161" i="20" s="1"/>
  <c r="M169" i="20" a="1"/>
  <c r="M169" i="20" s="1"/>
  <c r="M177" i="20" a="1"/>
  <c r="M177" i="20" s="1"/>
  <c r="M185" i="20" a="1"/>
  <c r="M185" i="20" s="1"/>
  <c r="M193" i="20" a="1"/>
  <c r="M193" i="20" s="1"/>
  <c r="M201" i="20" a="1"/>
  <c r="M201" i="20" s="1"/>
  <c r="M209" i="20" a="1"/>
  <c r="M209" i="20" s="1"/>
  <c r="M217" i="20" a="1"/>
  <c r="M217" i="20" s="1"/>
  <c r="M225" i="20" a="1"/>
  <c r="M225" i="20" s="1"/>
  <c r="M233" i="20" a="1"/>
  <c r="M233" i="20" s="1"/>
  <c r="M241" i="20" a="1"/>
  <c r="M241" i="20" s="1"/>
  <c r="M249" i="20" a="1"/>
  <c r="M249" i="20" s="1"/>
  <c r="M257" i="20" a="1"/>
  <c r="M257" i="20" s="1"/>
  <c r="M265" i="20" a="1"/>
  <c r="M265" i="20" s="1"/>
  <c r="M273" i="20" a="1"/>
  <c r="M273" i="20" s="1"/>
  <c r="M281" i="20" a="1"/>
  <c r="M281" i="20" s="1"/>
  <c r="M289" i="20" a="1"/>
  <c r="M289" i="20" s="1"/>
  <c r="M9" i="22" a="1"/>
  <c r="M9" i="22" s="1"/>
  <c r="M312" i="40" s="1"/>
  <c r="M17" i="22" a="1"/>
  <c r="M17" i="22" s="1"/>
  <c r="M332" i="40" s="1"/>
  <c r="M25" i="22" a="1"/>
  <c r="M25" i="22" s="1"/>
  <c r="M354" i="40" s="1"/>
  <c r="M33" i="22" a="1"/>
  <c r="M33" i="22" s="1"/>
  <c r="M41" i="22" a="1"/>
  <c r="M41" i="22" s="1"/>
  <c r="M290" i="40" s="1"/>
  <c r="M49" i="22" a="1"/>
  <c r="M49" i="22" s="1"/>
  <c r="M298" i="40" s="1"/>
  <c r="M57" i="22" a="1"/>
  <c r="M57" i="22" s="1"/>
  <c r="M266" i="40" s="1"/>
  <c r="M65" i="22" a="1"/>
  <c r="M65" i="22" s="1"/>
  <c r="M286" i="40" s="1"/>
  <c r="M73" i="22" a="1"/>
  <c r="M73" i="22" s="1"/>
  <c r="M304" i="40" s="1"/>
  <c r="M81" i="22" a="1"/>
  <c r="M81" i="22" s="1"/>
  <c r="M324" i="40" s="1"/>
  <c r="M89" i="22" a="1"/>
  <c r="M89" i="22" s="1"/>
  <c r="M359" i="40" s="1"/>
  <c r="M97" i="22" a="1"/>
  <c r="M97" i="22" s="1"/>
  <c r="M105" i="22" a="1"/>
  <c r="M105" i="22" s="1"/>
  <c r="M113" i="22" a="1"/>
  <c r="M113" i="22" s="1"/>
  <c r="M121" i="22" a="1"/>
  <c r="M121" i="22" s="1"/>
  <c r="M129" i="22" a="1"/>
  <c r="M129" i="22" s="1"/>
  <c r="M137" i="22" a="1"/>
  <c r="M137" i="22" s="1"/>
  <c r="M145" i="22" a="1"/>
  <c r="M145" i="22" s="1"/>
  <c r="M153" i="22" a="1"/>
  <c r="M153" i="22" s="1"/>
  <c r="M161" i="22" a="1"/>
  <c r="M161" i="22" s="1"/>
  <c r="M169" i="22" a="1"/>
  <c r="M169" i="22" s="1"/>
  <c r="M177" i="22" a="1"/>
  <c r="M177" i="22" s="1"/>
  <c r="M185" i="22" a="1"/>
  <c r="M185" i="22" s="1"/>
  <c r="M193" i="22" a="1"/>
  <c r="M193" i="22" s="1"/>
  <c r="M201" i="22" a="1"/>
  <c r="M201" i="22" s="1"/>
  <c r="M209" i="22" a="1"/>
  <c r="M209" i="22" s="1"/>
  <c r="M217" i="22" a="1"/>
  <c r="M217" i="22" s="1"/>
  <c r="M225" i="22" a="1"/>
  <c r="M225" i="22" s="1"/>
  <c r="M233" i="22" a="1"/>
  <c r="M233" i="22" s="1"/>
  <c r="M241" i="22" a="1"/>
  <c r="M241" i="22" s="1"/>
  <c r="M249" i="22" a="1"/>
  <c r="M249" i="22" s="1"/>
  <c r="M257" i="22" a="1"/>
  <c r="M257" i="22" s="1"/>
  <c r="M265" i="22" a="1"/>
  <c r="M265" i="22" s="1"/>
  <c r="M273" i="22" a="1"/>
  <c r="M273" i="22" s="1"/>
  <c r="M281" i="22" a="1"/>
  <c r="M281" i="22" s="1"/>
  <c r="M289" i="22" a="1"/>
  <c r="M289" i="22" s="1"/>
  <c r="M9" i="21" a="1"/>
  <c r="M9" i="21" s="1"/>
  <c r="P262" i="40" s="1"/>
  <c r="M17" i="21" a="1"/>
  <c r="M17" i="21" s="1"/>
  <c r="P282" i="40" s="1"/>
  <c r="M25" i="21" a="1"/>
  <c r="M25" i="21" s="1"/>
  <c r="P300" i="40" s="1"/>
  <c r="M33" i="21" a="1"/>
  <c r="M33" i="21" s="1"/>
  <c r="P320" i="40" s="1"/>
  <c r="M41" i="21" a="1"/>
  <c r="M41" i="21" s="1"/>
  <c r="P342" i="40" s="1"/>
  <c r="M49" i="21" a="1"/>
  <c r="M49" i="21" s="1"/>
  <c r="P363" i="40" s="1"/>
  <c r="M57" i="21" a="1"/>
  <c r="M57" i="21" s="1"/>
  <c r="P311" i="40" s="1"/>
  <c r="M65" i="21" a="1"/>
  <c r="M65" i="21" s="1"/>
  <c r="P332" i="40" s="1"/>
  <c r="M73" i="21" a="1"/>
  <c r="M73" i="21" s="1"/>
  <c r="P354" i="40" s="1"/>
  <c r="M81" i="21" a="1"/>
  <c r="M81" i="21" s="1"/>
  <c r="P256" i="40" s="1"/>
  <c r="M89" i="21" a="1"/>
  <c r="M89" i="21" s="1"/>
  <c r="P289" i="40" s="1"/>
  <c r="M97" i="21" a="1"/>
  <c r="M97" i="21" s="1"/>
  <c r="P297" i="40" s="1"/>
  <c r="M105" i="21" a="1"/>
  <c r="M105" i="21" s="1"/>
  <c r="M113" i="21" a="1"/>
  <c r="M113" i="21" s="1"/>
  <c r="M121" i="21" a="1"/>
  <c r="M121" i="21" s="1"/>
  <c r="M129" i="21" a="1"/>
  <c r="M129" i="21" s="1"/>
  <c r="M137" i="21" a="1"/>
  <c r="M137" i="21" s="1"/>
  <c r="M145" i="21" a="1"/>
  <c r="M145" i="21" s="1"/>
  <c r="M153" i="21" a="1"/>
  <c r="M153" i="21" s="1"/>
  <c r="M161" i="21" a="1"/>
  <c r="M161" i="21" s="1"/>
  <c r="M169" i="21" a="1"/>
  <c r="M169" i="21" s="1"/>
  <c r="M177" i="21" a="1"/>
  <c r="M177" i="21" s="1"/>
  <c r="M185" i="21" a="1"/>
  <c r="M185" i="21" s="1"/>
  <c r="M193" i="21" a="1"/>
  <c r="M193" i="21" s="1"/>
  <c r="M201" i="21" a="1"/>
  <c r="M201" i="21" s="1"/>
  <c r="M209" i="21" a="1"/>
  <c r="M209" i="21" s="1"/>
  <c r="M217" i="21" a="1"/>
  <c r="M217" i="21" s="1"/>
  <c r="M225" i="21" a="1"/>
  <c r="M225" i="21" s="1"/>
  <c r="M233" i="21" a="1"/>
  <c r="M233" i="21" s="1"/>
  <c r="M241" i="21" a="1"/>
  <c r="M241" i="21" s="1"/>
  <c r="M249" i="21" a="1"/>
  <c r="M249" i="21" s="1"/>
  <c r="M257" i="21" a="1"/>
  <c r="M257" i="21" s="1"/>
  <c r="M265" i="21" a="1"/>
  <c r="M265" i="21" s="1"/>
  <c r="M273" i="21" a="1"/>
  <c r="M273" i="21" s="1"/>
  <c r="M281" i="21" a="1"/>
  <c r="M281" i="21" s="1"/>
  <c r="M289" i="21" a="1"/>
  <c r="M289" i="21" s="1"/>
  <c r="M250" i="13" a="1"/>
  <c r="M250" i="13" s="1"/>
  <c r="M226" i="13" a="1"/>
  <c r="M226" i="13" s="1"/>
  <c r="M202" i="13" a="1"/>
  <c r="M202" i="13" s="1"/>
  <c r="M178" i="13" a="1"/>
  <c r="M178" i="13" s="1"/>
  <c r="M162" i="13" a="1"/>
  <c r="M162" i="13" s="1"/>
  <c r="M146" i="13" a="1"/>
  <c r="M146" i="13" s="1"/>
  <c r="M130" i="13" a="1"/>
  <c r="M130" i="13" s="1"/>
  <c r="M114" i="13" a="1"/>
  <c r="M114" i="13" s="1"/>
  <c r="M90" i="13" a="1"/>
  <c r="M90" i="13" s="1"/>
  <c r="G293" i="40" s="1"/>
  <c r="M66" i="13" a="1"/>
  <c r="M66" i="13" s="1"/>
  <c r="G351" i="40" s="1"/>
  <c r="M34" i="13" a="1"/>
  <c r="M34" i="13" s="1"/>
  <c r="M18" i="13" a="1"/>
  <c r="M18" i="13" s="1"/>
  <c r="G361" i="40" s="1"/>
  <c r="M18" i="20" a="1"/>
  <c r="M18" i="20" s="1"/>
  <c r="J290" i="40" s="1"/>
  <c r="M26" i="20" a="1"/>
  <c r="M26" i="20" s="1"/>
  <c r="M34" i="20" a="1"/>
  <c r="M34" i="20" s="1"/>
  <c r="M42" i="20" a="1"/>
  <c r="M42" i="20" s="1"/>
  <c r="J254" i="40" s="1"/>
  <c r="M50" i="20" a="1"/>
  <c r="M50" i="20" s="1"/>
  <c r="J331" i="40" s="1"/>
  <c r="M58" i="20" a="1"/>
  <c r="M58" i="20" s="1"/>
  <c r="J367" i="40" s="1"/>
  <c r="M66" i="20" a="1"/>
  <c r="M66" i="20" s="1"/>
  <c r="M74" i="20" a="1"/>
  <c r="M74" i="20" s="1"/>
  <c r="M82" i="20" a="1"/>
  <c r="M82" i="20" s="1"/>
  <c r="J261" i="40" s="1"/>
  <c r="M90" i="20" a="1"/>
  <c r="M90" i="20" s="1"/>
  <c r="J285" i="40" s="1"/>
  <c r="M98" i="20" a="1"/>
  <c r="M98" i="20" s="1"/>
  <c r="M106" i="20" a="1"/>
  <c r="M106" i="20" s="1"/>
  <c r="M114" i="20" a="1"/>
  <c r="M114" i="20" s="1"/>
  <c r="M122" i="20" a="1"/>
  <c r="M122" i="20" s="1"/>
  <c r="M130" i="20" a="1"/>
  <c r="M130" i="20" s="1"/>
  <c r="M138" i="20" a="1"/>
  <c r="M138" i="20" s="1"/>
  <c r="M146" i="20" a="1"/>
  <c r="M146" i="20" s="1"/>
  <c r="M154" i="20" a="1"/>
  <c r="M154" i="20" s="1"/>
  <c r="M162" i="20" a="1"/>
  <c r="M162" i="20" s="1"/>
  <c r="M170" i="20" a="1"/>
  <c r="M170" i="20" s="1"/>
  <c r="M178" i="20" a="1"/>
  <c r="M178" i="20" s="1"/>
  <c r="M186" i="20" a="1"/>
  <c r="M186" i="20" s="1"/>
  <c r="M194" i="20" a="1"/>
  <c r="M194" i="20" s="1"/>
  <c r="M202" i="20" a="1"/>
  <c r="M202" i="20" s="1"/>
  <c r="M210" i="20" a="1"/>
  <c r="M210" i="20" s="1"/>
  <c r="M218" i="20" a="1"/>
  <c r="M218" i="20" s="1"/>
  <c r="M226" i="20" a="1"/>
  <c r="M226" i="20" s="1"/>
  <c r="M234" i="20" a="1"/>
  <c r="M234" i="20" s="1"/>
  <c r="M242" i="20" a="1"/>
  <c r="M242" i="20" s="1"/>
  <c r="M250" i="20" a="1"/>
  <c r="M250" i="20" s="1"/>
  <c r="M258" i="20" a="1"/>
  <c r="M258" i="20" s="1"/>
  <c r="M266" i="20" a="1"/>
  <c r="M266" i="20" s="1"/>
  <c r="M274" i="20" a="1"/>
  <c r="M274" i="20" s="1"/>
  <c r="M282" i="20" a="1"/>
  <c r="M282" i="20" s="1"/>
  <c r="M290" i="20" a="1"/>
  <c r="M290" i="20" s="1"/>
  <c r="M10" i="22" a="1"/>
  <c r="M10" i="22" s="1"/>
  <c r="M313" i="40" s="1"/>
  <c r="M18" i="22" a="1"/>
  <c r="M18" i="22" s="1"/>
  <c r="M333" i="40" s="1"/>
  <c r="M26" i="22" a="1"/>
  <c r="M26" i="22" s="1"/>
  <c r="M34" i="22" a="1"/>
  <c r="M34" i="22" s="1"/>
  <c r="M270" i="40" s="1"/>
  <c r="M42" i="22" a="1"/>
  <c r="M42" i="22" s="1"/>
  <c r="M291" i="40" s="1"/>
  <c r="M50" i="22" a="1"/>
  <c r="M50" i="22" s="1"/>
  <c r="M58" i="22" a="1"/>
  <c r="M58" i="22" s="1"/>
  <c r="M279" i="40" s="1"/>
  <c r="M66" i="22" a="1"/>
  <c r="M66" i="22" s="1"/>
  <c r="M287" i="40" s="1"/>
  <c r="M74" i="22" a="1"/>
  <c r="M74" i="22" s="1"/>
  <c r="M305" i="40" s="1"/>
  <c r="M82" i="22" a="1"/>
  <c r="M82" i="22" s="1"/>
  <c r="M339" i="40" s="1"/>
  <c r="M90" i="22" a="1"/>
  <c r="M90" i="22" s="1"/>
  <c r="M360" i="40" s="1"/>
  <c r="M98" i="22" a="1"/>
  <c r="M98" i="22" s="1"/>
  <c r="M106" i="22" a="1"/>
  <c r="M106" i="22" s="1"/>
  <c r="M114" i="22" a="1"/>
  <c r="M114" i="22" s="1"/>
  <c r="M122" i="22" a="1"/>
  <c r="M122" i="22" s="1"/>
  <c r="M130" i="22" a="1"/>
  <c r="M130" i="22" s="1"/>
  <c r="M138" i="22" a="1"/>
  <c r="M138" i="22" s="1"/>
  <c r="M146" i="22" a="1"/>
  <c r="M146" i="22" s="1"/>
  <c r="M154" i="22" a="1"/>
  <c r="M154" i="22" s="1"/>
  <c r="M162" i="22" a="1"/>
  <c r="M162" i="22" s="1"/>
  <c r="M170" i="22" a="1"/>
  <c r="M170" i="22" s="1"/>
  <c r="M178" i="22" a="1"/>
  <c r="M178" i="22" s="1"/>
  <c r="M186" i="22" a="1"/>
  <c r="M186" i="22" s="1"/>
  <c r="M194" i="22" a="1"/>
  <c r="M194" i="22" s="1"/>
  <c r="M202" i="22" a="1"/>
  <c r="M202" i="22" s="1"/>
  <c r="M210" i="22" a="1"/>
  <c r="M210" i="22" s="1"/>
  <c r="M218" i="22" a="1"/>
  <c r="M218" i="22" s="1"/>
  <c r="M226" i="22" a="1"/>
  <c r="M226" i="22" s="1"/>
  <c r="M234" i="22" a="1"/>
  <c r="M234" i="22" s="1"/>
  <c r="M242" i="22" a="1"/>
  <c r="M242" i="22" s="1"/>
  <c r="M250" i="22" a="1"/>
  <c r="M250" i="22" s="1"/>
  <c r="M258" i="22" a="1"/>
  <c r="M258" i="22" s="1"/>
  <c r="M266" i="22" a="1"/>
  <c r="M266" i="22" s="1"/>
  <c r="M274" i="22" a="1"/>
  <c r="M274" i="22" s="1"/>
  <c r="M282" i="22" a="1"/>
  <c r="M282" i="22" s="1"/>
  <c r="M290" i="22" a="1"/>
  <c r="M290" i="22" s="1"/>
  <c r="M10" i="21" a="1"/>
  <c r="M10" i="21" s="1"/>
  <c r="P263" i="40" s="1"/>
  <c r="M18" i="21" a="1"/>
  <c r="M18" i="21" s="1"/>
  <c r="P283" i="40" s="1"/>
  <c r="M26" i="21" a="1"/>
  <c r="M26" i="21" s="1"/>
  <c r="P301" i="40" s="1"/>
  <c r="M34" i="21" a="1"/>
  <c r="M34" i="21" s="1"/>
  <c r="P321" i="40" s="1"/>
  <c r="M42" i="21" a="1"/>
  <c r="M42" i="21" s="1"/>
  <c r="P343" i="40" s="1"/>
  <c r="M50" i="21" a="1"/>
  <c r="M50" i="21" s="1"/>
  <c r="P364" i="40" s="1"/>
  <c r="M58" i="21" a="1"/>
  <c r="M58" i="21" s="1"/>
  <c r="P312" i="40" s="1"/>
  <c r="M66" i="21" a="1"/>
  <c r="M66" i="21" s="1"/>
  <c r="P333" i="40" s="1"/>
  <c r="M74" i="21" a="1"/>
  <c r="M74" i="21" s="1"/>
  <c r="M82" i="21" a="1"/>
  <c r="M82" i="21" s="1"/>
  <c r="P269" i="40" s="1"/>
  <c r="M90" i="21" a="1"/>
  <c r="M90" i="21" s="1"/>
  <c r="P290" i="40" s="1"/>
  <c r="M98" i="21" a="1"/>
  <c r="M98" i="21" s="1"/>
  <c r="P298" i="40" s="1"/>
  <c r="M106" i="21" a="1"/>
  <c r="M106" i="21" s="1"/>
  <c r="M114" i="21" a="1"/>
  <c r="M114" i="21" s="1"/>
  <c r="M122" i="21" a="1"/>
  <c r="M122" i="21" s="1"/>
  <c r="M130" i="21" a="1"/>
  <c r="M130" i="21" s="1"/>
  <c r="M138" i="21" a="1"/>
  <c r="M138" i="21" s="1"/>
  <c r="M146" i="21" a="1"/>
  <c r="M146" i="21" s="1"/>
  <c r="M154" i="21" a="1"/>
  <c r="M154" i="21" s="1"/>
  <c r="M162" i="21" a="1"/>
  <c r="M162" i="21" s="1"/>
  <c r="M170" i="21" a="1"/>
  <c r="M170" i="21" s="1"/>
  <c r="M178" i="21" a="1"/>
  <c r="M178" i="21" s="1"/>
  <c r="M186" i="21" a="1"/>
  <c r="M186" i="21" s="1"/>
  <c r="M194" i="21" a="1"/>
  <c r="M194" i="21" s="1"/>
  <c r="M202" i="21" a="1"/>
  <c r="M202" i="21" s="1"/>
  <c r="M210" i="21" a="1"/>
  <c r="M210" i="21" s="1"/>
  <c r="M218" i="21" a="1"/>
  <c r="M218" i="21" s="1"/>
  <c r="M226" i="21" a="1"/>
  <c r="M226" i="21" s="1"/>
  <c r="M234" i="21" a="1"/>
  <c r="M234" i="21" s="1"/>
  <c r="M242" i="21" a="1"/>
  <c r="M242" i="21" s="1"/>
  <c r="M250" i="21" a="1"/>
  <c r="M250" i="21" s="1"/>
  <c r="M258" i="21" a="1"/>
  <c r="M258" i="21" s="1"/>
  <c r="M266" i="21" a="1"/>
  <c r="M266" i="21" s="1"/>
  <c r="M274" i="21" a="1"/>
  <c r="M274" i="21" s="1"/>
  <c r="M282" i="21" a="1"/>
  <c r="M282" i="21" s="1"/>
  <c r="M290" i="21" a="1"/>
  <c r="M290" i="21" s="1"/>
  <c r="M234" i="13" a="1"/>
  <c r="M234" i="13" s="1"/>
  <c r="M186" i="13" a="1"/>
  <c r="M186" i="13" s="1"/>
  <c r="M98" i="13" a="1"/>
  <c r="M98" i="13" s="1"/>
  <c r="M58" i="13" a="1"/>
  <c r="M58" i="13" s="1"/>
  <c r="G296" i="40" s="1"/>
  <c r="M10" i="20" a="1"/>
  <c r="M10" i="20" s="1"/>
  <c r="J311" i="40" s="1"/>
  <c r="M273" i="13" a="1"/>
  <c r="M273" i="13" s="1"/>
  <c r="M241" i="13" a="1"/>
  <c r="M241" i="13" s="1"/>
  <c r="M217" i="13" a="1"/>
  <c r="M217" i="13" s="1"/>
  <c r="M185" i="13" a="1"/>
  <c r="M185" i="13" s="1"/>
  <c r="M161" i="13" a="1"/>
  <c r="M161" i="13" s="1"/>
  <c r="M153" i="13" a="1"/>
  <c r="M153" i="13" s="1"/>
  <c r="M145" i="13" a="1"/>
  <c r="M145" i="13" s="1"/>
  <c r="M137" i="13" a="1"/>
  <c r="M137" i="13" s="1"/>
  <c r="M129" i="13" a="1"/>
  <c r="M129" i="13" s="1"/>
  <c r="M121" i="13" a="1"/>
  <c r="M121" i="13" s="1"/>
  <c r="M113" i="13" a="1"/>
  <c r="M113" i="13" s="1"/>
  <c r="M105" i="13" a="1"/>
  <c r="M105" i="13" s="1"/>
  <c r="M97" i="13" a="1"/>
  <c r="M97" i="13" s="1"/>
  <c r="M89" i="13" a="1"/>
  <c r="M89" i="13" s="1"/>
  <c r="G294" i="40" s="1"/>
  <c r="M81" i="13" a="1"/>
  <c r="M81" i="13" s="1"/>
  <c r="G315" i="40" s="1"/>
  <c r="M73" i="13" a="1"/>
  <c r="M73" i="13" s="1"/>
  <c r="G252" i="40" s="1"/>
  <c r="M65" i="13" a="1"/>
  <c r="M65" i="13" s="1"/>
  <c r="G295" i="40" s="1"/>
  <c r="M57" i="13" a="1"/>
  <c r="M57" i="13" s="1"/>
  <c r="G330" i="40" s="1"/>
  <c r="M49" i="13" a="1"/>
  <c r="M49" i="13" s="1"/>
  <c r="G367" i="40" s="1"/>
  <c r="M41" i="13" a="1"/>
  <c r="M41" i="13" s="1"/>
  <c r="G365" i="40" s="1"/>
  <c r="M33" i="13" a="1"/>
  <c r="M33" i="13" s="1"/>
  <c r="M25" i="13" a="1"/>
  <c r="M25" i="13" s="1"/>
  <c r="G282" i="40" s="1"/>
  <c r="M17" i="13" a="1"/>
  <c r="M17" i="13" s="1"/>
  <c r="G300" i="40" s="1"/>
  <c r="M11" i="20" a="1"/>
  <c r="M11" i="20" s="1"/>
  <c r="J351" i="40" s="1"/>
  <c r="M19" i="20" a="1"/>
  <c r="M19" i="20" s="1"/>
  <c r="J270" i="40" s="1"/>
  <c r="M27" i="20" a="1"/>
  <c r="M27" i="20" s="1"/>
  <c r="M35" i="20" a="1"/>
  <c r="M35" i="20" s="1"/>
  <c r="M43" i="20" a="1"/>
  <c r="M43" i="20" s="1"/>
  <c r="J310" i="40" s="1"/>
  <c r="M51" i="20" a="1"/>
  <c r="M51" i="20" s="1"/>
  <c r="M59" i="20" a="1"/>
  <c r="M59" i="20" s="1"/>
  <c r="J288" i="40" s="1"/>
  <c r="M67" i="20" a="1"/>
  <c r="M67" i="20" s="1"/>
  <c r="M75" i="20" a="1"/>
  <c r="M75" i="20" s="1"/>
  <c r="M83" i="20" a="1"/>
  <c r="M83" i="20" s="1"/>
  <c r="J299" i="40" s="1"/>
  <c r="M91" i="20" a="1"/>
  <c r="M91" i="20" s="1"/>
  <c r="J305" i="40" s="1"/>
  <c r="M99" i="20" a="1"/>
  <c r="M99" i="20" s="1"/>
  <c r="M107" i="20" a="1"/>
  <c r="M107" i="20" s="1"/>
  <c r="M115" i="20" a="1"/>
  <c r="M115" i="20" s="1"/>
  <c r="M123" i="20" a="1"/>
  <c r="M123" i="20" s="1"/>
  <c r="M131" i="20" a="1"/>
  <c r="M131" i="20" s="1"/>
  <c r="M139" i="20" a="1"/>
  <c r="M139" i="20" s="1"/>
  <c r="M147" i="20" a="1"/>
  <c r="M147" i="20" s="1"/>
  <c r="M155" i="20" a="1"/>
  <c r="M155" i="20" s="1"/>
  <c r="M163" i="20" a="1"/>
  <c r="M163" i="20" s="1"/>
  <c r="M171" i="20" a="1"/>
  <c r="M171" i="20" s="1"/>
  <c r="M179" i="20" a="1"/>
  <c r="M179" i="20" s="1"/>
  <c r="M187" i="20" a="1"/>
  <c r="M187" i="20" s="1"/>
  <c r="M195" i="20" a="1"/>
  <c r="M195" i="20" s="1"/>
  <c r="M203" i="20" a="1"/>
  <c r="M203" i="20" s="1"/>
  <c r="M211" i="20" a="1"/>
  <c r="M211" i="20" s="1"/>
  <c r="M219" i="20" a="1"/>
  <c r="M219" i="20" s="1"/>
  <c r="M227" i="20" a="1"/>
  <c r="M227" i="20" s="1"/>
  <c r="M235" i="20" a="1"/>
  <c r="M235" i="20" s="1"/>
  <c r="M243" i="20" a="1"/>
  <c r="M243" i="20" s="1"/>
  <c r="M251" i="20" a="1"/>
  <c r="M251" i="20" s="1"/>
  <c r="M259" i="20" a="1"/>
  <c r="M259" i="20" s="1"/>
  <c r="M267" i="20" a="1"/>
  <c r="M267" i="20" s="1"/>
  <c r="M275" i="20" a="1"/>
  <c r="M275" i="20" s="1"/>
  <c r="M283" i="20" a="1"/>
  <c r="M283" i="20" s="1"/>
  <c r="M291" i="20" a="1"/>
  <c r="M291" i="20" s="1"/>
  <c r="M11" i="22" a="1"/>
  <c r="M11" i="22" s="1"/>
  <c r="M315" i="40" s="1"/>
  <c r="M19" i="22" a="1"/>
  <c r="M19" i="22" s="1"/>
  <c r="M334" i="40" s="1"/>
  <c r="M27" i="22" a="1"/>
  <c r="M27" i="22" s="1"/>
  <c r="M250" i="40" s="1"/>
  <c r="M35" i="22" a="1"/>
  <c r="M35" i="22" s="1"/>
  <c r="M271" i="40" s="1"/>
  <c r="M43" i="22" a="1"/>
  <c r="M43" i="22" s="1"/>
  <c r="M292" i="40" s="1"/>
  <c r="M51" i="22" a="1"/>
  <c r="M51" i="22" s="1"/>
  <c r="M260" i="40" s="1"/>
  <c r="M59" i="22" a="1"/>
  <c r="M59" i="22" s="1"/>
  <c r="M280" i="40" s="1"/>
  <c r="M67" i="22" a="1"/>
  <c r="M67" i="22" s="1"/>
  <c r="M288" i="40" s="1"/>
  <c r="M75" i="22" a="1"/>
  <c r="M75" i="22" s="1"/>
  <c r="M306" i="40" s="1"/>
  <c r="M83" i="22" a="1"/>
  <c r="M83" i="22" s="1"/>
  <c r="M340" i="40" s="1"/>
  <c r="M91" i="22" a="1"/>
  <c r="M91" i="22" s="1"/>
  <c r="M99" i="22" a="1"/>
  <c r="M99" i="22" s="1"/>
  <c r="M107" i="22" a="1"/>
  <c r="M107" i="22" s="1"/>
  <c r="M115" i="22" a="1"/>
  <c r="M115" i="22" s="1"/>
  <c r="M123" i="22" a="1"/>
  <c r="M123" i="22" s="1"/>
  <c r="M131" i="22" a="1"/>
  <c r="M131" i="22" s="1"/>
  <c r="M139" i="22" a="1"/>
  <c r="M139" i="22" s="1"/>
  <c r="M147" i="22" a="1"/>
  <c r="M147" i="22" s="1"/>
  <c r="M155" i="22" a="1"/>
  <c r="M155" i="22" s="1"/>
  <c r="M163" i="22" a="1"/>
  <c r="M163" i="22" s="1"/>
  <c r="M171" i="22" a="1"/>
  <c r="M171" i="22" s="1"/>
  <c r="M179" i="22" a="1"/>
  <c r="M179" i="22" s="1"/>
  <c r="M187" i="22" a="1"/>
  <c r="M187" i="22" s="1"/>
  <c r="M195" i="22" a="1"/>
  <c r="M195" i="22" s="1"/>
  <c r="M203" i="22" a="1"/>
  <c r="M203" i="22" s="1"/>
  <c r="M211" i="22" a="1"/>
  <c r="M211" i="22" s="1"/>
  <c r="M219" i="22" a="1"/>
  <c r="M219" i="22" s="1"/>
  <c r="M227" i="22" a="1"/>
  <c r="M227" i="22" s="1"/>
  <c r="M235" i="22" a="1"/>
  <c r="M235" i="22" s="1"/>
  <c r="M243" i="22" a="1"/>
  <c r="M243" i="22" s="1"/>
  <c r="M251" i="22" a="1"/>
  <c r="M251" i="22" s="1"/>
  <c r="M259" i="22" a="1"/>
  <c r="M259" i="22" s="1"/>
  <c r="M267" i="22" a="1"/>
  <c r="M267" i="22" s="1"/>
  <c r="M275" i="22" a="1"/>
  <c r="M275" i="22" s="1"/>
  <c r="M283" i="22" a="1"/>
  <c r="M283" i="22" s="1"/>
  <c r="M291" i="22" a="1"/>
  <c r="M291" i="22" s="1"/>
  <c r="M11" i="21" a="1"/>
  <c r="M11" i="21" s="1"/>
  <c r="P264" i="40" s="1"/>
  <c r="M19" i="21" a="1"/>
  <c r="M19" i="21" s="1"/>
  <c r="P284" i="40" s="1"/>
  <c r="M27" i="21" a="1"/>
  <c r="M27" i="21" s="1"/>
  <c r="P302" i="40" s="1"/>
  <c r="M35" i="21" a="1"/>
  <c r="M35" i="21" s="1"/>
  <c r="P322" i="40" s="1"/>
  <c r="M43" i="21" a="1"/>
  <c r="M43" i="21" s="1"/>
  <c r="P344" i="40" s="1"/>
  <c r="M51" i="21" a="1"/>
  <c r="M51" i="21" s="1"/>
  <c r="P365" i="40" s="1"/>
  <c r="M59" i="21" a="1"/>
  <c r="M59" i="21" s="1"/>
  <c r="P313" i="40" s="1"/>
  <c r="M67" i="21" a="1"/>
  <c r="M67" i="21" s="1"/>
  <c r="P334" i="40" s="1"/>
  <c r="M75" i="21" a="1"/>
  <c r="M75" i="21" s="1"/>
  <c r="P250" i="40" s="1"/>
  <c r="M83" i="21" a="1"/>
  <c r="M83" i="21" s="1"/>
  <c r="P270" i="40" s="1"/>
  <c r="M91" i="21" a="1"/>
  <c r="M91" i="21" s="1"/>
  <c r="P291" i="40" s="1"/>
  <c r="M99" i="21" a="1"/>
  <c r="M99" i="21" s="1"/>
  <c r="M107" i="21" a="1"/>
  <c r="M107" i="21" s="1"/>
  <c r="M115" i="21" a="1"/>
  <c r="M115" i="21" s="1"/>
  <c r="M123" i="21" a="1"/>
  <c r="M123" i="21" s="1"/>
  <c r="M131" i="21" a="1"/>
  <c r="M131" i="21" s="1"/>
  <c r="M139" i="21" a="1"/>
  <c r="M139" i="21" s="1"/>
  <c r="M147" i="21" a="1"/>
  <c r="M147" i="21" s="1"/>
  <c r="M155" i="21" a="1"/>
  <c r="M155" i="21" s="1"/>
  <c r="M163" i="21" a="1"/>
  <c r="M163" i="21" s="1"/>
  <c r="M171" i="21" a="1"/>
  <c r="M171" i="21" s="1"/>
  <c r="M179" i="21" a="1"/>
  <c r="M179" i="21" s="1"/>
  <c r="M187" i="21" a="1"/>
  <c r="M187" i="21" s="1"/>
  <c r="M195" i="21" a="1"/>
  <c r="M195" i="21" s="1"/>
  <c r="M203" i="21" a="1"/>
  <c r="M203" i="21" s="1"/>
  <c r="M211" i="21" a="1"/>
  <c r="M211" i="21" s="1"/>
  <c r="M219" i="21" a="1"/>
  <c r="M219" i="21" s="1"/>
  <c r="M227" i="21" a="1"/>
  <c r="M227" i="21" s="1"/>
  <c r="M235" i="21" a="1"/>
  <c r="M235" i="21" s="1"/>
  <c r="M243" i="21" a="1"/>
  <c r="M243" i="21" s="1"/>
  <c r="M251" i="21" a="1"/>
  <c r="M251" i="21" s="1"/>
  <c r="M259" i="21" a="1"/>
  <c r="M259" i="21" s="1"/>
  <c r="M267" i="21" a="1"/>
  <c r="M267" i="21" s="1"/>
  <c r="M275" i="21" a="1"/>
  <c r="M275" i="21" s="1"/>
  <c r="M283" i="21" a="1"/>
  <c r="M283" i="21" s="1"/>
  <c r="M291" i="21" a="1"/>
  <c r="M291" i="21" s="1"/>
  <c r="L249" i="40"/>
  <c r="I249" i="40"/>
  <c r="O249" i="40"/>
  <c r="F249" i="40"/>
  <c r="M7" i="21" a="1"/>
  <c r="M7" i="21" s="1"/>
  <c r="P260" i="40" s="1"/>
  <c r="M9" i="13" a="1"/>
  <c r="M9" i="13" s="1"/>
  <c r="G299" i="40" s="1"/>
  <c r="M8" i="13" a="1"/>
  <c r="M8" i="13" s="1"/>
  <c r="M7" i="13" a="1"/>
  <c r="M7" i="13" s="1"/>
  <c r="M6" i="20" a="1"/>
  <c r="M6" i="20" s="1"/>
  <c r="M7" i="22" a="1"/>
  <c r="M7" i="22" s="1"/>
  <c r="M6" i="22" a="1"/>
  <c r="M6" i="22" s="1"/>
  <c r="M309" i="40" s="1"/>
  <c r="M6" i="21" a="1"/>
  <c r="M6" i="21" s="1"/>
  <c r="A1" i="27"/>
  <c r="A2" i="27"/>
  <c r="J362" i="40" l="1"/>
  <c r="K262" i="40"/>
  <c r="K46" i="40"/>
  <c r="P249" i="40"/>
  <c r="T529" i="40"/>
  <c r="S529" i="40"/>
  <c r="U496" i="40"/>
  <c r="T496" i="40"/>
  <c r="M368" i="40"/>
  <c r="M367" i="40"/>
  <c r="M366" i="40"/>
  <c r="M365" i="40"/>
  <c r="Q365" i="40" s="1"/>
  <c r="T365" i="40" s="1"/>
  <c r="M364" i="40"/>
  <c r="M363" i="40"/>
  <c r="N368" i="40"/>
  <c r="N152" i="40"/>
  <c r="N151" i="40"/>
  <c r="N367" i="40"/>
  <c r="N150" i="40"/>
  <c r="N366" i="40"/>
  <c r="N149" i="40"/>
  <c r="N365" i="40"/>
  <c r="N148" i="40"/>
  <c r="N364" i="40"/>
  <c r="N147" i="40"/>
  <c r="N363" i="40"/>
  <c r="N362" i="40"/>
  <c r="N146" i="40"/>
  <c r="M361" i="40"/>
  <c r="Q361" i="40" s="1"/>
  <c r="R361" i="40" s="1"/>
  <c r="M362" i="40"/>
  <c r="N145" i="40"/>
  <c r="N361" i="40"/>
  <c r="N144" i="40"/>
  <c r="N360" i="40"/>
  <c r="N143" i="40"/>
  <c r="N359" i="40"/>
  <c r="Q343" i="40"/>
  <c r="T343" i="40" s="1"/>
  <c r="Q345" i="40"/>
  <c r="T345" i="40" s="1"/>
  <c r="N345" i="40"/>
  <c r="N129" i="40"/>
  <c r="N128" i="40"/>
  <c r="N344" i="40"/>
  <c r="N127" i="40"/>
  <c r="N343" i="40"/>
  <c r="N342" i="40"/>
  <c r="N126" i="40"/>
  <c r="Q342" i="40"/>
  <c r="R342" i="40" s="1"/>
  <c r="N125" i="40"/>
  <c r="N341" i="40"/>
  <c r="N124" i="40"/>
  <c r="N340" i="40"/>
  <c r="N123" i="40"/>
  <c r="N339" i="40"/>
  <c r="N324" i="40"/>
  <c r="N108" i="40"/>
  <c r="N107" i="40"/>
  <c r="N323" i="40"/>
  <c r="N322" i="40"/>
  <c r="N106" i="40"/>
  <c r="N105" i="40"/>
  <c r="N321" i="40"/>
  <c r="N320" i="40"/>
  <c r="N104" i="40"/>
  <c r="N103" i="40"/>
  <c r="N319" i="40"/>
  <c r="N90" i="40"/>
  <c r="N306" i="40"/>
  <c r="N89" i="40"/>
  <c r="N305" i="40"/>
  <c r="N88" i="40"/>
  <c r="N304" i="40"/>
  <c r="N87" i="40"/>
  <c r="N303" i="40"/>
  <c r="N302" i="40"/>
  <c r="N86" i="40"/>
  <c r="N85" i="40"/>
  <c r="N301" i="40"/>
  <c r="N84" i="40"/>
  <c r="N300" i="40"/>
  <c r="N299" i="40"/>
  <c r="N83" i="40"/>
  <c r="N72" i="40"/>
  <c r="N288" i="40"/>
  <c r="N71" i="40"/>
  <c r="N287" i="40"/>
  <c r="N286" i="40"/>
  <c r="N70" i="40"/>
  <c r="N285" i="40"/>
  <c r="N69" i="40"/>
  <c r="N284" i="40"/>
  <c r="N68" i="40"/>
  <c r="N283" i="40"/>
  <c r="N67" i="40"/>
  <c r="N282" i="40"/>
  <c r="N66" i="40"/>
  <c r="N281" i="40"/>
  <c r="N65" i="40"/>
  <c r="N280" i="40"/>
  <c r="N64" i="40"/>
  <c r="N279" i="40"/>
  <c r="N63" i="40"/>
  <c r="N50" i="40"/>
  <c r="N266" i="40"/>
  <c r="N265" i="40"/>
  <c r="N49" i="40"/>
  <c r="N264" i="40"/>
  <c r="N48" i="40"/>
  <c r="N263" i="40"/>
  <c r="N47" i="40"/>
  <c r="N262" i="40"/>
  <c r="N46" i="40"/>
  <c r="N45" i="40"/>
  <c r="N261" i="40"/>
  <c r="N44" i="40"/>
  <c r="N260" i="40"/>
  <c r="N43" i="40"/>
  <c r="N259" i="40"/>
  <c r="S496" i="40"/>
  <c r="N82" i="40"/>
  <c r="N298" i="40"/>
  <c r="R521" i="40"/>
  <c r="U521" i="40"/>
  <c r="N81" i="40"/>
  <c r="N297" i="40"/>
  <c r="N80" i="40"/>
  <c r="N296" i="40"/>
  <c r="N79" i="40"/>
  <c r="N295" i="40"/>
  <c r="N78" i="40"/>
  <c r="N294" i="40"/>
  <c r="N77" i="40"/>
  <c r="N293" i="40"/>
  <c r="N76" i="40"/>
  <c r="N292" i="40"/>
  <c r="Q277" i="40"/>
  <c r="R277" i="40" s="1"/>
  <c r="N75" i="40"/>
  <c r="N291" i="40"/>
  <c r="N74" i="40"/>
  <c r="N290" i="40"/>
  <c r="N73" i="40"/>
  <c r="N289" i="40"/>
  <c r="N277" i="40"/>
  <c r="N61" i="40"/>
  <c r="N59" i="40"/>
  <c r="N275" i="40"/>
  <c r="N58" i="40"/>
  <c r="N274" i="40"/>
  <c r="N273" i="40"/>
  <c r="N57" i="40"/>
  <c r="N55" i="40"/>
  <c r="N271" i="40"/>
  <c r="N270" i="40"/>
  <c r="N54" i="40"/>
  <c r="N53" i="40"/>
  <c r="N269" i="40"/>
  <c r="M256" i="40"/>
  <c r="Q256" i="40" s="1"/>
  <c r="T256" i="40" s="1"/>
  <c r="M269" i="40"/>
  <c r="N256" i="40"/>
  <c r="N40" i="40"/>
  <c r="N255" i="40"/>
  <c r="N39" i="40"/>
  <c r="N38" i="40"/>
  <c r="N254" i="40"/>
  <c r="N37" i="40"/>
  <c r="N253" i="40"/>
  <c r="N252" i="40"/>
  <c r="N36" i="40"/>
  <c r="N35" i="40"/>
  <c r="N251" i="40"/>
  <c r="N34" i="40"/>
  <c r="N250" i="40"/>
  <c r="N138" i="40"/>
  <c r="N354" i="40"/>
  <c r="N137" i="40"/>
  <c r="N353" i="40"/>
  <c r="N136" i="40"/>
  <c r="N352" i="40"/>
  <c r="N135" i="40"/>
  <c r="N351" i="40"/>
  <c r="N350" i="40"/>
  <c r="N134" i="40"/>
  <c r="N349" i="40"/>
  <c r="N133" i="40"/>
  <c r="N118" i="40"/>
  <c r="N334" i="40"/>
  <c r="N333" i="40"/>
  <c r="N117" i="40"/>
  <c r="N332" i="40"/>
  <c r="N116" i="40"/>
  <c r="N331" i="40"/>
  <c r="N115" i="40"/>
  <c r="N330" i="40"/>
  <c r="N114" i="40"/>
  <c r="N329" i="40"/>
  <c r="N113" i="40"/>
  <c r="N318" i="40"/>
  <c r="N102" i="40"/>
  <c r="N317" i="40"/>
  <c r="N101" i="40"/>
  <c r="N99" i="40"/>
  <c r="N315" i="40"/>
  <c r="N313" i="40"/>
  <c r="N97" i="40"/>
  <c r="N96" i="40"/>
  <c r="N312" i="40"/>
  <c r="N95" i="40"/>
  <c r="N311" i="40"/>
  <c r="M259" i="40"/>
  <c r="M310" i="40"/>
  <c r="Q310" i="40" s="1"/>
  <c r="R310" i="40" s="1"/>
  <c r="N310" i="40"/>
  <c r="N94" i="40"/>
  <c r="N309" i="40"/>
  <c r="N93" i="40"/>
  <c r="K107" i="40"/>
  <c r="K323" i="40"/>
  <c r="K143" i="40"/>
  <c r="K359" i="40"/>
  <c r="K152" i="40"/>
  <c r="K368" i="40"/>
  <c r="K89" i="40"/>
  <c r="K305" i="40"/>
  <c r="K285" i="40"/>
  <c r="K69" i="40"/>
  <c r="K149" i="40"/>
  <c r="K365" i="40"/>
  <c r="K286" i="40"/>
  <c r="K70" i="40"/>
  <c r="K124" i="40"/>
  <c r="K340" i="40"/>
  <c r="K264" i="40"/>
  <c r="K48" i="40"/>
  <c r="K104" i="40"/>
  <c r="K320" i="40"/>
  <c r="K83" i="40"/>
  <c r="K299" i="40"/>
  <c r="K45" i="40"/>
  <c r="K261" i="40"/>
  <c r="K279" i="40"/>
  <c r="K63" i="40"/>
  <c r="J282" i="40"/>
  <c r="Q282" i="40" s="1"/>
  <c r="R282" i="40" s="1"/>
  <c r="J300" i="40"/>
  <c r="Q300" i="40" s="1"/>
  <c r="T300" i="40" s="1"/>
  <c r="J266" i="40"/>
  <c r="Q266" i="40" s="1"/>
  <c r="R266" i="40" s="1"/>
  <c r="J263" i="40"/>
  <c r="J287" i="40"/>
  <c r="Q287" i="40" s="1"/>
  <c r="R287" i="40" s="1"/>
  <c r="J322" i="40"/>
  <c r="Q322" i="40" s="1"/>
  <c r="T322" i="40" s="1"/>
  <c r="J303" i="40"/>
  <c r="J363" i="40"/>
  <c r="J280" i="40"/>
  <c r="Q280" i="40" s="1"/>
  <c r="R280" i="40" s="1"/>
  <c r="J344" i="40"/>
  <c r="Q344" i="40" s="1"/>
  <c r="J302" i="40"/>
  <c r="Q302" i="40" s="1"/>
  <c r="R302" i="40" s="1"/>
  <c r="J283" i="40"/>
  <c r="J260" i="40"/>
  <c r="J306" i="40"/>
  <c r="Q306" i="40" s="1"/>
  <c r="T306" i="40" s="1"/>
  <c r="J319" i="40"/>
  <c r="J366" i="40"/>
  <c r="K300" i="40"/>
  <c r="K84" i="40"/>
  <c r="K50" i="40"/>
  <c r="K266" i="40"/>
  <c r="K263" i="40"/>
  <c r="K47" i="40"/>
  <c r="K71" i="40"/>
  <c r="K287" i="40"/>
  <c r="K106" i="40"/>
  <c r="K322" i="40"/>
  <c r="K303" i="40"/>
  <c r="K87" i="40"/>
  <c r="K147" i="40"/>
  <c r="K363" i="40"/>
  <c r="K280" i="40"/>
  <c r="K64" i="40"/>
  <c r="K128" i="40"/>
  <c r="K344" i="40"/>
  <c r="K86" i="40"/>
  <c r="K302" i="40"/>
  <c r="K67" i="40"/>
  <c r="K283" i="40"/>
  <c r="K44" i="40"/>
  <c r="K260" i="40"/>
  <c r="K282" i="40"/>
  <c r="K66" i="40"/>
  <c r="K90" i="40"/>
  <c r="K306" i="40"/>
  <c r="K103" i="40"/>
  <c r="K319" i="40"/>
  <c r="K366" i="40"/>
  <c r="K150" i="40"/>
  <c r="J324" i="40"/>
  <c r="Q324" i="40" s="1"/>
  <c r="R324" i="40" s="1"/>
  <c r="J360" i="40"/>
  <c r="Q360" i="40" s="1"/>
  <c r="R360" i="40" s="1"/>
  <c r="K144" i="40"/>
  <c r="K360" i="40"/>
  <c r="K324" i="40"/>
  <c r="K108" i="40"/>
  <c r="K125" i="40"/>
  <c r="K341" i="40"/>
  <c r="K85" i="40"/>
  <c r="K301" i="40"/>
  <c r="K265" i="40"/>
  <c r="K49" i="40"/>
  <c r="K72" i="40"/>
  <c r="K288" i="40"/>
  <c r="K367" i="40"/>
  <c r="K151" i="40"/>
  <c r="K88" i="40"/>
  <c r="K304" i="40"/>
  <c r="K362" i="40"/>
  <c r="K146" i="40"/>
  <c r="K145" i="40"/>
  <c r="K361" i="40"/>
  <c r="K105" i="40"/>
  <c r="K321" i="40"/>
  <c r="K65" i="40"/>
  <c r="K281" i="40"/>
  <c r="K284" i="40"/>
  <c r="K68" i="40"/>
  <c r="K43" i="40"/>
  <c r="K259" i="40"/>
  <c r="Q331" i="40"/>
  <c r="R331" i="40" s="1"/>
  <c r="K331" i="40"/>
  <c r="K115" i="40"/>
  <c r="Q297" i="40"/>
  <c r="R297" i="40" s="1"/>
  <c r="K81" i="40"/>
  <c r="K297" i="40"/>
  <c r="Q295" i="40"/>
  <c r="T295" i="40" s="1"/>
  <c r="K295" i="40"/>
  <c r="K79" i="40"/>
  <c r="K76" i="40"/>
  <c r="K292" i="40"/>
  <c r="Q292" i="40"/>
  <c r="R292" i="40" s="1"/>
  <c r="K352" i="40"/>
  <c r="K136" i="40"/>
  <c r="Q352" i="40"/>
  <c r="R352" i="40" s="1"/>
  <c r="K55" i="40"/>
  <c r="K271" i="40"/>
  <c r="Q271" i="40"/>
  <c r="T271" i="40" s="1"/>
  <c r="Q350" i="40"/>
  <c r="T350" i="40" s="1"/>
  <c r="K350" i="40"/>
  <c r="K134" i="40"/>
  <c r="K310" i="40"/>
  <c r="K94" i="40"/>
  <c r="Q254" i="40"/>
  <c r="R254" i="40" s="1"/>
  <c r="K254" i="40"/>
  <c r="K38" i="40"/>
  <c r="K334" i="40"/>
  <c r="K118" i="40"/>
  <c r="Q334" i="40"/>
  <c r="R334" i="40" s="1"/>
  <c r="K312" i="40"/>
  <c r="K96" i="40"/>
  <c r="Q312" i="40"/>
  <c r="R312" i="40" s="1"/>
  <c r="Q275" i="40"/>
  <c r="R275" i="40" s="1"/>
  <c r="K59" i="40"/>
  <c r="K275" i="40"/>
  <c r="K269" i="40"/>
  <c r="K53" i="40"/>
  <c r="K35" i="40"/>
  <c r="K251" i="40"/>
  <c r="Q289" i="40"/>
  <c r="R289" i="40" s="1"/>
  <c r="K73" i="40"/>
  <c r="K289" i="40"/>
  <c r="J317" i="40"/>
  <c r="Q317" i="40" s="1"/>
  <c r="R317" i="40" s="1"/>
  <c r="J274" i="40"/>
  <c r="Q274" i="40" s="1"/>
  <c r="R274" i="40" s="1"/>
  <c r="J298" i="40"/>
  <c r="Q298" i="40" s="1"/>
  <c r="J255" i="40"/>
  <c r="Q255" i="40" s="1"/>
  <c r="R255" i="40" s="1"/>
  <c r="J309" i="40"/>
  <c r="Q309" i="40" s="1"/>
  <c r="T309" i="40" s="1"/>
  <c r="J330" i="40"/>
  <c r="Q330" i="40" s="1"/>
  <c r="J252" i="40"/>
  <c r="Q252" i="40" s="1"/>
  <c r="J272" i="40"/>
  <c r="Q272" i="40" s="1"/>
  <c r="J294" i="40"/>
  <c r="Q294" i="40" s="1"/>
  <c r="T294" i="40" s="1"/>
  <c r="J353" i="40"/>
  <c r="Q353" i="40" s="1"/>
  <c r="J291" i="40"/>
  <c r="Q291" i="40" s="1"/>
  <c r="R291" i="40" s="1"/>
  <c r="J349" i="40"/>
  <c r="Q349" i="40" s="1"/>
  <c r="K252" i="40"/>
  <c r="K36" i="40"/>
  <c r="K137" i="40"/>
  <c r="K353" i="40"/>
  <c r="K78" i="40"/>
  <c r="K294" i="40"/>
  <c r="K101" i="40"/>
  <c r="K317" i="40"/>
  <c r="K349" i="40"/>
  <c r="K133" i="40"/>
  <c r="K58" i="40"/>
  <c r="K274" i="40"/>
  <c r="K56" i="40"/>
  <c r="K272" i="40"/>
  <c r="K330" i="40"/>
  <c r="K114" i="40"/>
  <c r="K82" i="40"/>
  <c r="K298" i="40"/>
  <c r="K75" i="40"/>
  <c r="K291" i="40"/>
  <c r="Q315" i="40"/>
  <c r="T315" i="40" s="1"/>
  <c r="K315" i="40"/>
  <c r="K99" i="40"/>
  <c r="K255" i="40"/>
  <c r="K39" i="40"/>
  <c r="K309" i="40"/>
  <c r="K93" i="40"/>
  <c r="K117" i="40"/>
  <c r="K333" i="40"/>
  <c r="J313" i="40"/>
  <c r="Q313" i="40" s="1"/>
  <c r="T313" i="40" s="1"/>
  <c r="J333" i="40"/>
  <c r="Q333" i="40" s="1"/>
  <c r="K313" i="40"/>
  <c r="K97" i="40"/>
  <c r="Q270" i="40"/>
  <c r="R270" i="40" s="1"/>
  <c r="K54" i="40"/>
  <c r="K270" i="40"/>
  <c r="K290" i="40"/>
  <c r="K74" i="40"/>
  <c r="Q290" i="40"/>
  <c r="R290" i="40" s="1"/>
  <c r="Q250" i="40"/>
  <c r="R250" i="40" s="1"/>
  <c r="K34" i="40"/>
  <c r="K250" i="40"/>
  <c r="Q296" i="40"/>
  <c r="R296" i="40" s="1"/>
  <c r="K80" i="40"/>
  <c r="K296" i="40"/>
  <c r="Q332" i="40"/>
  <c r="R332" i="40" s="1"/>
  <c r="K332" i="40"/>
  <c r="K116" i="40"/>
  <c r="K256" i="40"/>
  <c r="K40" i="40"/>
  <c r="Q273" i="40"/>
  <c r="R273" i="40" s="1"/>
  <c r="K273" i="40"/>
  <c r="K57" i="40"/>
  <c r="Q318" i="40"/>
  <c r="T318" i="40" s="1"/>
  <c r="K102" i="40"/>
  <c r="K318" i="40"/>
  <c r="Q311" i="40"/>
  <c r="T311" i="40" s="1"/>
  <c r="Q351" i="40"/>
  <c r="T351" i="40" s="1"/>
  <c r="K135" i="40"/>
  <c r="K351" i="40"/>
  <c r="K95" i="40"/>
  <c r="K311" i="40"/>
  <c r="K354" i="40"/>
  <c r="K138" i="40"/>
  <c r="Q354" i="40"/>
  <c r="K37" i="40"/>
  <c r="K253" i="40"/>
  <c r="Q253" i="40"/>
  <c r="T253" i="40" s="1"/>
  <c r="K77" i="40"/>
  <c r="K293" i="40"/>
  <c r="J259" i="40"/>
  <c r="J293" i="40"/>
  <c r="Q293" i="40" s="1"/>
  <c r="K113" i="40"/>
  <c r="K329" i="40"/>
  <c r="J249" i="40"/>
  <c r="J329" i="40"/>
  <c r="Q329" i="40" s="1"/>
  <c r="T404" i="40"/>
  <c r="U404" i="40"/>
  <c r="S404" i="40"/>
  <c r="H81" i="40"/>
  <c r="H297" i="40"/>
  <c r="H56" i="40"/>
  <c r="H272" i="40"/>
  <c r="H102" i="40"/>
  <c r="H318" i="40"/>
  <c r="H40" i="40"/>
  <c r="H256" i="40"/>
  <c r="H298" i="40"/>
  <c r="H82" i="40"/>
  <c r="H317" i="40"/>
  <c r="H101" i="40"/>
  <c r="H77" i="40"/>
  <c r="H293" i="40"/>
  <c r="H78" i="40"/>
  <c r="H294" i="40"/>
  <c r="H269" i="40"/>
  <c r="H53" i="40"/>
  <c r="H35" i="40"/>
  <c r="H251" i="40"/>
  <c r="H58" i="40"/>
  <c r="H274" i="40"/>
  <c r="H292" i="40"/>
  <c r="H76" i="40"/>
  <c r="H138" i="40"/>
  <c r="H354" i="40"/>
  <c r="H37" i="40"/>
  <c r="H253" i="40"/>
  <c r="H334" i="40"/>
  <c r="H118" i="40"/>
  <c r="H99" i="40"/>
  <c r="H315" i="40"/>
  <c r="H277" i="40"/>
  <c r="H61" i="40"/>
  <c r="H137" i="40"/>
  <c r="H353" i="40"/>
  <c r="H97" i="40"/>
  <c r="H313" i="40"/>
  <c r="H34" i="40"/>
  <c r="H250" i="40"/>
  <c r="H73" i="40"/>
  <c r="H289" i="40"/>
  <c r="H117" i="40"/>
  <c r="H333" i="40"/>
  <c r="H136" i="40"/>
  <c r="H352" i="40"/>
  <c r="H252" i="40"/>
  <c r="H36" i="40"/>
  <c r="H271" i="40"/>
  <c r="H55" i="40"/>
  <c r="H290" i="40"/>
  <c r="H74" i="40"/>
  <c r="H96" i="40"/>
  <c r="H312" i="40"/>
  <c r="H332" i="40"/>
  <c r="H116" i="40"/>
  <c r="H331" i="40"/>
  <c r="H115" i="40"/>
  <c r="H311" i="40"/>
  <c r="H95" i="40"/>
  <c r="H135" i="40"/>
  <c r="H351" i="40"/>
  <c r="H79" i="40"/>
  <c r="H295" i="40"/>
  <c r="H39" i="40"/>
  <c r="H255" i="40"/>
  <c r="H59" i="40"/>
  <c r="H275" i="40"/>
  <c r="H273" i="40"/>
  <c r="H57" i="40"/>
  <c r="H38" i="40"/>
  <c r="H254" i="40"/>
  <c r="H350" i="40"/>
  <c r="H134" i="40"/>
  <c r="H310" i="40"/>
  <c r="H94" i="40"/>
  <c r="H80" i="40"/>
  <c r="H296" i="40"/>
  <c r="H330" i="40"/>
  <c r="H114" i="40"/>
  <c r="H349" i="40"/>
  <c r="H133" i="40"/>
  <c r="H54" i="40"/>
  <c r="H270" i="40"/>
  <c r="H291" i="40"/>
  <c r="H75" i="40"/>
  <c r="H113" i="40"/>
  <c r="H329" i="40"/>
  <c r="H93" i="40"/>
  <c r="H309" i="40"/>
  <c r="Q368" i="40"/>
  <c r="T368" i="40" s="1"/>
  <c r="H50" i="40"/>
  <c r="H266" i="40"/>
  <c r="H367" i="40"/>
  <c r="H151" i="40"/>
  <c r="Q367" i="40"/>
  <c r="T367" i="40" s="1"/>
  <c r="H368" i="40"/>
  <c r="H152" i="40"/>
  <c r="H90" i="40"/>
  <c r="H306" i="40"/>
  <c r="Q288" i="40"/>
  <c r="T288" i="40" s="1"/>
  <c r="H72" i="40"/>
  <c r="H288" i="40"/>
  <c r="Q305" i="40"/>
  <c r="T305" i="40" s="1"/>
  <c r="H89" i="40"/>
  <c r="H305" i="40"/>
  <c r="Q286" i="40"/>
  <c r="R286" i="40" s="1"/>
  <c r="H286" i="40"/>
  <c r="H70" i="40"/>
  <c r="H265" i="40"/>
  <c r="H49" i="40"/>
  <c r="Q265" i="40"/>
  <c r="T265" i="40" s="1"/>
  <c r="H71" i="40"/>
  <c r="H287" i="40"/>
  <c r="H149" i="40"/>
  <c r="H365" i="40"/>
  <c r="Q264" i="40"/>
  <c r="R264" i="40" s="1"/>
  <c r="H264" i="40"/>
  <c r="H48" i="40"/>
  <c r="Q304" i="40"/>
  <c r="T304" i="40" s="1"/>
  <c r="H324" i="40"/>
  <c r="H108" i="40"/>
  <c r="H285" i="40"/>
  <c r="H69" i="40"/>
  <c r="Q285" i="40"/>
  <c r="R285" i="40" s="1"/>
  <c r="H366" i="40"/>
  <c r="H150" i="40"/>
  <c r="H88" i="40"/>
  <c r="H304" i="40"/>
  <c r="R529" i="40"/>
  <c r="G303" i="40"/>
  <c r="G323" i="40"/>
  <c r="Q323" i="40" s="1"/>
  <c r="R323" i="40" s="1"/>
  <c r="G364" i="40"/>
  <c r="G284" i="40"/>
  <c r="Q284" i="40" s="1"/>
  <c r="H323" i="40"/>
  <c r="H107" i="40"/>
  <c r="H303" i="40"/>
  <c r="H87" i="40"/>
  <c r="H148" i="40"/>
  <c r="H364" i="40"/>
  <c r="H284" i="40"/>
  <c r="H68" i="40"/>
  <c r="G263" i="40"/>
  <c r="Q263" i="40" s="1"/>
  <c r="T263" i="40" s="1"/>
  <c r="G283" i="40"/>
  <c r="H283" i="40"/>
  <c r="H67" i="40"/>
  <c r="H47" i="40"/>
  <c r="H263" i="40"/>
  <c r="H302" i="40"/>
  <c r="H86" i="40"/>
  <c r="H322" i="40"/>
  <c r="H106" i="40"/>
  <c r="H147" i="40"/>
  <c r="H363" i="40"/>
  <c r="Q262" i="40"/>
  <c r="T262" i="40" s="1"/>
  <c r="H46" i="40"/>
  <c r="H262" i="40"/>
  <c r="H282" i="40"/>
  <c r="H66" i="40"/>
  <c r="H362" i="40"/>
  <c r="H146" i="40"/>
  <c r="Q341" i="40"/>
  <c r="T341" i="40" s="1"/>
  <c r="H125" i="40"/>
  <c r="H341" i="40"/>
  <c r="H85" i="40"/>
  <c r="H301" i="40"/>
  <c r="Q301" i="40"/>
  <c r="R301" i="40" s="1"/>
  <c r="H45" i="40"/>
  <c r="H261" i="40"/>
  <c r="Q281" i="40"/>
  <c r="R281" i="40" s="1"/>
  <c r="H65" i="40"/>
  <c r="H281" i="40"/>
  <c r="Q321" i="40"/>
  <c r="R321" i="40" s="1"/>
  <c r="H105" i="40"/>
  <c r="H321" i="40"/>
  <c r="H145" i="40"/>
  <c r="H361" i="40"/>
  <c r="H300" i="40"/>
  <c r="H84" i="40"/>
  <c r="H124" i="40"/>
  <c r="H340" i="40"/>
  <c r="Q340" i="40"/>
  <c r="T340" i="40" s="1"/>
  <c r="H44" i="40"/>
  <c r="H260" i="40"/>
  <c r="H280" i="40"/>
  <c r="H64" i="40"/>
  <c r="H320" i="40"/>
  <c r="H104" i="40"/>
  <c r="Q320" i="40"/>
  <c r="T320" i="40" s="1"/>
  <c r="H360" i="40"/>
  <c r="H144" i="40"/>
  <c r="H279" i="40"/>
  <c r="H63" i="40"/>
  <c r="G261" i="40"/>
  <c r="Q261" i="40" s="1"/>
  <c r="T261" i="40" s="1"/>
  <c r="G279" i="40"/>
  <c r="Q279" i="40" s="1"/>
  <c r="G260" i="40"/>
  <c r="G359" i="40"/>
  <c r="Q359" i="40" s="1"/>
  <c r="H143" i="40"/>
  <c r="H359" i="40"/>
  <c r="H299" i="40"/>
  <c r="H83" i="40"/>
  <c r="Q299" i="40"/>
  <c r="T299" i="40" s="1"/>
  <c r="H103" i="40"/>
  <c r="H319" i="40"/>
  <c r="G251" i="40"/>
  <c r="Q251" i="40" s="1"/>
  <c r="R251" i="40" s="1"/>
  <c r="G319" i="40"/>
  <c r="H43" i="40"/>
  <c r="H259" i="40"/>
  <c r="R497" i="40"/>
  <c r="S507" i="40"/>
  <c r="R381" i="40"/>
  <c r="U510" i="40"/>
  <c r="T497" i="40"/>
  <c r="U497" i="40"/>
  <c r="R507" i="40"/>
  <c r="U507" i="40"/>
  <c r="S442" i="40"/>
  <c r="U381" i="40"/>
  <c r="T381" i="40"/>
  <c r="R441" i="40"/>
  <c r="R480" i="40"/>
  <c r="U514" i="40"/>
  <c r="T514" i="40"/>
  <c r="R514" i="40"/>
  <c r="U432" i="40"/>
  <c r="S432" i="40"/>
  <c r="R432" i="40"/>
  <c r="P259" i="40"/>
  <c r="R520" i="40"/>
  <c r="T520" i="40"/>
  <c r="S520" i="40"/>
  <c r="T462" i="40"/>
  <c r="U462" i="40"/>
  <c r="R462" i="40"/>
  <c r="R510" i="40"/>
  <c r="T510" i="40"/>
  <c r="R513" i="40"/>
  <c r="U513" i="40"/>
  <c r="S513" i="40"/>
  <c r="U441" i="40"/>
  <c r="U428" i="40"/>
  <c r="R428" i="40"/>
  <c r="S428" i="40"/>
  <c r="T441" i="40"/>
  <c r="R530" i="40"/>
  <c r="R434" i="40"/>
  <c r="U396" i="40"/>
  <c r="R498" i="40"/>
  <c r="T396" i="40"/>
  <c r="S396" i="40"/>
  <c r="T498" i="40"/>
  <c r="U530" i="40"/>
  <c r="T530" i="40"/>
  <c r="S445" i="40"/>
  <c r="T445" i="40"/>
  <c r="R445" i="40"/>
  <c r="U515" i="40"/>
  <c r="T515" i="40"/>
  <c r="S515" i="40"/>
  <c r="S433" i="40"/>
  <c r="R467" i="40"/>
  <c r="S467" i="40"/>
  <c r="U467" i="40"/>
  <c r="T459" i="40"/>
  <c r="R442" i="40"/>
  <c r="T478" i="40"/>
  <c r="U483" i="40"/>
  <c r="R483" i="40"/>
  <c r="U459" i="40"/>
  <c r="R433" i="40"/>
  <c r="S459" i="40"/>
  <c r="R371" i="40"/>
  <c r="U371" i="40"/>
  <c r="U433" i="40"/>
  <c r="R466" i="40"/>
  <c r="S371" i="40"/>
  <c r="S466" i="40"/>
  <c r="S498" i="40"/>
  <c r="T457" i="40"/>
  <c r="U457" i="40"/>
  <c r="S457" i="40"/>
  <c r="U308" i="40"/>
  <c r="T308" i="40"/>
  <c r="S308" i="40"/>
  <c r="R198" i="40"/>
  <c r="R41" i="40"/>
  <c r="S527" i="40"/>
  <c r="R478" i="40"/>
  <c r="U429" i="40"/>
  <c r="U417" i="40"/>
  <c r="U490" i="40"/>
  <c r="S417" i="40"/>
  <c r="T490" i="40"/>
  <c r="R417" i="40"/>
  <c r="U478" i="40"/>
  <c r="R470" i="40"/>
  <c r="T483" i="40"/>
  <c r="U466" i="40"/>
  <c r="S434" i="40"/>
  <c r="T470" i="40"/>
  <c r="U470" i="40"/>
  <c r="S481" i="40"/>
  <c r="T481" i="40"/>
  <c r="U481" i="40"/>
  <c r="R488" i="40"/>
  <c r="T522" i="40"/>
  <c r="R522" i="40"/>
  <c r="U522" i="40"/>
  <c r="S488" i="40"/>
  <c r="U488" i="40"/>
  <c r="T434" i="40"/>
  <c r="R490" i="40"/>
  <c r="S464" i="40"/>
  <c r="T464" i="40"/>
  <c r="U464" i="40"/>
  <c r="T442" i="40"/>
  <c r="U480" i="40"/>
  <c r="T480" i="40"/>
  <c r="T429" i="40"/>
  <c r="U527" i="40"/>
  <c r="S429" i="40"/>
  <c r="R527" i="40"/>
  <c r="R451" i="40"/>
  <c r="S424" i="40"/>
  <c r="U531" i="40"/>
  <c r="U451" i="40"/>
  <c r="R424" i="40"/>
  <c r="T451" i="40"/>
  <c r="U424" i="40"/>
  <c r="U327" i="40"/>
  <c r="R327" i="40"/>
  <c r="S156" i="40"/>
  <c r="G259" i="40"/>
  <c r="R531" i="40"/>
  <c r="S178" i="40"/>
  <c r="R209" i="40"/>
  <c r="T327" i="40"/>
  <c r="S197" i="40"/>
  <c r="T531" i="40"/>
  <c r="R201" i="40"/>
  <c r="U473" i="40"/>
  <c r="T473" i="40"/>
  <c r="S473" i="40"/>
  <c r="T475" i="40"/>
  <c r="S518" i="40"/>
  <c r="R169" i="40"/>
  <c r="T518" i="40"/>
  <c r="T416" i="40"/>
  <c r="U416" i="40"/>
  <c r="T491" i="40"/>
  <c r="S157" i="40"/>
  <c r="U491" i="40"/>
  <c r="R458" i="40"/>
  <c r="U518" i="40"/>
  <c r="R386" i="40"/>
  <c r="S475" i="40"/>
  <c r="T276" i="40"/>
  <c r="R475" i="40"/>
  <c r="T489" i="40"/>
  <c r="R506" i="40"/>
  <c r="S506" i="40"/>
  <c r="S379" i="40"/>
  <c r="U458" i="40"/>
  <c r="S458" i="40"/>
  <c r="R379" i="40"/>
  <c r="T379" i="40"/>
  <c r="T506" i="40"/>
  <c r="S392" i="40"/>
  <c r="R131" i="40"/>
  <c r="R482" i="40"/>
  <c r="T523" i="40"/>
  <c r="U482" i="40"/>
  <c r="T392" i="40"/>
  <c r="S523" i="40"/>
  <c r="U392" i="40"/>
  <c r="S276" i="40"/>
  <c r="S207" i="40"/>
  <c r="U386" i="40"/>
  <c r="R450" i="40"/>
  <c r="R276" i="40"/>
  <c r="R523" i="40"/>
  <c r="T426" i="40"/>
  <c r="S482" i="40"/>
  <c r="T386" i="40"/>
  <c r="S394" i="40"/>
  <c r="R512" i="40"/>
  <c r="U512" i="40"/>
  <c r="U489" i="40"/>
  <c r="S512" i="40"/>
  <c r="S416" i="40"/>
  <c r="S491" i="40"/>
  <c r="S489" i="40"/>
  <c r="S376" i="40"/>
  <c r="U376" i="40"/>
  <c r="S426" i="40"/>
  <c r="R426" i="40"/>
  <c r="R444" i="40"/>
  <c r="U444" i="40"/>
  <c r="R472" i="40"/>
  <c r="T444" i="40"/>
  <c r="T376" i="40"/>
  <c r="T408" i="40"/>
  <c r="R499" i="40"/>
  <c r="S408" i="40"/>
  <c r="R408" i="40"/>
  <c r="S499" i="40"/>
  <c r="U472" i="40"/>
  <c r="R307" i="40"/>
  <c r="S472" i="40"/>
  <c r="T499" i="40"/>
  <c r="U474" i="40"/>
  <c r="T474" i="40"/>
  <c r="T394" i="40"/>
  <c r="R395" i="40"/>
  <c r="U394" i="40"/>
  <c r="T395" i="40"/>
  <c r="S278" i="40"/>
  <c r="S474" i="40"/>
  <c r="U395" i="40"/>
  <c r="T377" i="40"/>
  <c r="S377" i="40"/>
  <c r="U307" i="40"/>
  <c r="R377" i="40"/>
  <c r="S307" i="40"/>
  <c r="U338" i="40"/>
  <c r="R338" i="40"/>
  <c r="T450" i="40"/>
  <c r="U450" i="40"/>
  <c r="R212" i="40"/>
  <c r="R347" i="40"/>
  <c r="U412" i="40"/>
  <c r="R412" i="40"/>
  <c r="S191" i="40"/>
  <c r="R278" i="40"/>
  <c r="S194" i="40"/>
  <c r="U494" i="40"/>
  <c r="U516" i="40"/>
  <c r="U415" i="40"/>
  <c r="U385" i="40"/>
  <c r="T516" i="40"/>
  <c r="T505" i="40"/>
  <c r="T526" i="40"/>
  <c r="S188" i="40"/>
  <c r="U347" i="40"/>
  <c r="R130" i="40"/>
  <c r="T412" i="40"/>
  <c r="U505" i="40"/>
  <c r="U508" i="40"/>
  <c r="U278" i="40"/>
  <c r="U454" i="40"/>
  <c r="S536" i="40"/>
  <c r="S399" i="40"/>
  <c r="T347" i="40"/>
  <c r="T454" i="40"/>
  <c r="S454" i="40"/>
  <c r="U536" i="40"/>
  <c r="T536" i="40"/>
  <c r="U374" i="40"/>
  <c r="R516" i="40"/>
  <c r="T494" i="40"/>
  <c r="S374" i="40"/>
  <c r="R494" i="40"/>
  <c r="R385" i="40"/>
  <c r="T348" i="40"/>
  <c r="R389" i="40"/>
  <c r="R189" i="40"/>
  <c r="T405" i="40"/>
  <c r="U405" i="40"/>
  <c r="R141" i="40"/>
  <c r="R505" i="40"/>
  <c r="T385" i="40"/>
  <c r="T436" i="40"/>
  <c r="R443" i="40"/>
  <c r="R436" i="40"/>
  <c r="R374" i="40"/>
  <c r="R403" i="40"/>
  <c r="U436" i="40"/>
  <c r="S153" i="40"/>
  <c r="T452" i="40"/>
  <c r="R210" i="40"/>
  <c r="R411" i="40"/>
  <c r="S452" i="40"/>
  <c r="R438" i="40"/>
  <c r="S383" i="40"/>
  <c r="T415" i="40"/>
  <c r="S348" i="40"/>
  <c r="R526" i="40"/>
  <c r="T389" i="40"/>
  <c r="T338" i="40"/>
  <c r="R383" i="40"/>
  <c r="T443" i="40"/>
  <c r="S415" i="40"/>
  <c r="S203" i="40"/>
  <c r="R348" i="40"/>
  <c r="S526" i="40"/>
  <c r="S389" i="40"/>
  <c r="U383" i="40"/>
  <c r="S443" i="40"/>
  <c r="T397" i="40"/>
  <c r="R405" i="40"/>
  <c r="U438" i="40"/>
  <c r="T438" i="40"/>
  <c r="U380" i="40"/>
  <c r="U430" i="40"/>
  <c r="T430" i="40"/>
  <c r="T380" i="40"/>
  <c r="S430" i="40"/>
  <c r="S380" i="40"/>
  <c r="S155" i="40"/>
  <c r="R154" i="40"/>
  <c r="T346" i="40"/>
  <c r="R193" i="40"/>
  <c r="S346" i="40"/>
  <c r="R346" i="40"/>
  <c r="T409" i="40"/>
  <c r="U411" i="40"/>
  <c r="T411" i="40"/>
  <c r="R184" i="40"/>
  <c r="R139" i="40"/>
  <c r="S409" i="40"/>
  <c r="S388" i="40"/>
  <c r="R409" i="40"/>
  <c r="R399" i="40"/>
  <c r="U403" i="40"/>
  <c r="R397" i="40"/>
  <c r="S534" i="40"/>
  <c r="R534" i="40"/>
  <c r="U534" i="40"/>
  <c r="S397" i="40"/>
  <c r="R336" i="40"/>
  <c r="S336" i="40"/>
  <c r="U336" i="40"/>
  <c r="T336" i="40"/>
  <c r="U399" i="40"/>
  <c r="R388" i="40"/>
  <c r="U452" i="40"/>
  <c r="S403" i="40"/>
  <c r="R176" i="40"/>
  <c r="R182" i="40"/>
  <c r="U388" i="40"/>
  <c r="T439" i="40"/>
  <c r="U439" i="40"/>
  <c r="S439" i="40"/>
  <c r="R439" i="40"/>
  <c r="S168" i="40"/>
  <c r="R168" i="40"/>
  <c r="R384" i="40"/>
  <c r="S384" i="40"/>
  <c r="U384" i="40"/>
  <c r="T384" i="40"/>
  <c r="S337" i="40"/>
  <c r="T337" i="40"/>
  <c r="U337" i="40"/>
  <c r="R337" i="40"/>
  <c r="S206" i="40"/>
  <c r="R161" i="40"/>
  <c r="T508" i="40"/>
  <c r="R508" i="40"/>
  <c r="R92" i="40"/>
  <c r="S92" i="40"/>
  <c r="R42" i="40"/>
  <c r="S42" i="40"/>
  <c r="G268" i="40"/>
  <c r="Q268" i="40" s="1"/>
  <c r="R268" i="40" s="1"/>
  <c r="G269" i="40"/>
  <c r="S98" i="40"/>
  <c r="R98" i="40"/>
  <c r="R192" i="40"/>
  <c r="S192" i="40"/>
  <c r="S120" i="40"/>
  <c r="R120" i="40"/>
  <c r="S140" i="40"/>
  <c r="R140" i="40"/>
  <c r="R208" i="40"/>
  <c r="S208" i="40"/>
  <c r="R171" i="40"/>
  <c r="S171" i="40"/>
  <c r="S190" i="40"/>
  <c r="R190" i="40"/>
  <c r="S62" i="40"/>
  <c r="R62" i="40"/>
  <c r="R187" i="40"/>
  <c r="S187" i="40"/>
  <c r="S164" i="40"/>
  <c r="R164" i="40"/>
  <c r="R111" i="40"/>
  <c r="S111" i="40"/>
  <c r="R142" i="40"/>
  <c r="S142" i="40"/>
  <c r="R166" i="40"/>
  <c r="S166" i="40"/>
  <c r="S174" i="40"/>
  <c r="R174" i="40"/>
  <c r="R132" i="40"/>
  <c r="S132" i="40"/>
  <c r="R195" i="40"/>
  <c r="S195" i="40"/>
  <c r="S158" i="40"/>
  <c r="R158" i="40"/>
  <c r="R160" i="40"/>
  <c r="S160" i="40"/>
  <c r="R60" i="40"/>
  <c r="S60" i="40"/>
  <c r="S177" i="40"/>
  <c r="R177" i="40"/>
  <c r="S109" i="40"/>
  <c r="R109" i="40"/>
  <c r="S52" i="40"/>
  <c r="R52" i="40"/>
  <c r="R398" i="40"/>
  <c r="S398" i="40"/>
  <c r="T398" i="40"/>
  <c r="U398" i="40"/>
  <c r="S500" i="40"/>
  <c r="R500" i="40"/>
  <c r="T500" i="40"/>
  <c r="U500" i="40"/>
  <c r="U267" i="40"/>
  <c r="T267" i="40"/>
  <c r="R267" i="40"/>
  <c r="S267" i="40"/>
  <c r="S449" i="40"/>
  <c r="T449" i="40"/>
  <c r="U449" i="40"/>
  <c r="R449" i="40"/>
  <c r="S437" i="40"/>
  <c r="R437" i="40"/>
  <c r="T437" i="40"/>
  <c r="U437" i="40"/>
  <c r="S422" i="40"/>
  <c r="T422" i="40"/>
  <c r="U422" i="40"/>
  <c r="R422" i="40"/>
  <c r="S532" i="40"/>
  <c r="R532" i="40"/>
  <c r="T532" i="40"/>
  <c r="U532" i="40"/>
  <c r="S440" i="40"/>
  <c r="T440" i="40"/>
  <c r="U440" i="40"/>
  <c r="R440" i="40"/>
  <c r="S484" i="40"/>
  <c r="R484" i="40"/>
  <c r="T484" i="40"/>
  <c r="U484" i="40"/>
  <c r="S420" i="40"/>
  <c r="T420" i="40"/>
  <c r="U420" i="40"/>
  <c r="R420" i="40"/>
  <c r="R382" i="40"/>
  <c r="S382" i="40"/>
  <c r="T382" i="40"/>
  <c r="U382" i="40"/>
  <c r="U391" i="40"/>
  <c r="R391" i="40"/>
  <c r="S391" i="40"/>
  <c r="T391" i="40"/>
  <c r="R414" i="40"/>
  <c r="S414" i="40"/>
  <c r="T414" i="40"/>
  <c r="U414" i="40"/>
  <c r="S423" i="40"/>
  <c r="R423" i="40"/>
  <c r="T423" i="40"/>
  <c r="U423" i="40"/>
  <c r="R406" i="40"/>
  <c r="S406" i="40"/>
  <c r="T406" i="40"/>
  <c r="U406" i="40"/>
  <c r="S468" i="40"/>
  <c r="T468" i="40"/>
  <c r="U468" i="40"/>
  <c r="R468" i="40"/>
  <c r="R410" i="40"/>
  <c r="S410" i="40"/>
  <c r="T410" i="40"/>
  <c r="U410" i="40"/>
  <c r="S524" i="40"/>
  <c r="R524" i="40"/>
  <c r="T524" i="40"/>
  <c r="U524" i="40"/>
  <c r="U407" i="40"/>
  <c r="R407" i="40"/>
  <c r="S407" i="40"/>
  <c r="T407" i="40"/>
  <c r="U375" i="40"/>
  <c r="R375" i="40"/>
  <c r="S375" i="40"/>
  <c r="T375" i="40"/>
  <c r="S476" i="40"/>
  <c r="T476" i="40"/>
  <c r="U476" i="40"/>
  <c r="R476" i="40"/>
  <c r="R328" i="40"/>
  <c r="S328" i="40"/>
  <c r="U328" i="40"/>
  <c r="T328" i="40"/>
  <c r="S435" i="40"/>
  <c r="R435" i="40"/>
  <c r="T435" i="40"/>
  <c r="U435" i="40"/>
  <c r="U369" i="40"/>
  <c r="R369" i="40"/>
  <c r="S369" i="40"/>
  <c r="T369" i="40"/>
  <c r="U335" i="40"/>
  <c r="R335" i="40"/>
  <c r="S335" i="40"/>
  <c r="T335" i="40"/>
  <c r="S427" i="40"/>
  <c r="R427" i="40"/>
  <c r="T427" i="40"/>
  <c r="U427" i="40"/>
  <c r="S425" i="40"/>
  <c r="R425" i="40"/>
  <c r="T425" i="40"/>
  <c r="U425" i="40"/>
  <c r="S460" i="40"/>
  <c r="T460" i="40"/>
  <c r="U460" i="40"/>
  <c r="R460" i="40"/>
  <c r="R378" i="40"/>
  <c r="S378" i="40"/>
  <c r="T378" i="40"/>
  <c r="U378" i="40"/>
  <c r="R390" i="40"/>
  <c r="S390" i="40"/>
  <c r="T390" i="40"/>
  <c r="U390" i="40"/>
  <c r="S492" i="40"/>
  <c r="R492" i="40"/>
  <c r="T492" i="40"/>
  <c r="U492" i="40"/>
  <c r="U393" i="40"/>
  <c r="R393" i="40"/>
  <c r="S393" i="40"/>
  <c r="T393" i="40"/>
  <c r="R326" i="40"/>
  <c r="S326" i="40"/>
  <c r="T326" i="40"/>
  <c r="U326" i="40"/>
  <c r="M249" i="40"/>
  <c r="C10" i="26"/>
  <c r="Q362" i="40" l="1"/>
  <c r="R362" i="40" s="1"/>
  <c r="Q366" i="40"/>
  <c r="R366" i="40" s="1"/>
  <c r="T342" i="40"/>
  <c r="R343" i="40"/>
  <c r="Q364" i="40"/>
  <c r="T364" i="40" s="1"/>
  <c r="Q363" i="40"/>
  <c r="T363" i="40" s="1"/>
  <c r="R345" i="40"/>
  <c r="T277" i="40"/>
  <c r="Q269" i="40"/>
  <c r="R269" i="40" s="1"/>
  <c r="Q283" i="40"/>
  <c r="T283" i="40" s="1"/>
  <c r="Q303" i="40"/>
  <c r="T303" i="40" s="1"/>
  <c r="Q260" i="40"/>
  <c r="R260" i="40" s="1"/>
  <c r="R344" i="40"/>
  <c r="T344" i="40"/>
  <c r="Q319" i="40"/>
  <c r="R319" i="40" s="1"/>
  <c r="R350" i="40"/>
  <c r="T297" i="40"/>
  <c r="T292" i="40"/>
  <c r="T312" i="40"/>
  <c r="T334" i="40"/>
  <c r="R295" i="40"/>
  <c r="T352" i="40"/>
  <c r="T331" i="40"/>
  <c r="T324" i="40"/>
  <c r="R271" i="40"/>
  <c r="T275" i="40"/>
  <c r="T310" i="40"/>
  <c r="T289" i="40"/>
  <c r="T254" i="40"/>
  <c r="T298" i="40"/>
  <c r="R298" i="40"/>
  <c r="T270" i="40"/>
  <c r="R315" i="40"/>
  <c r="T274" i="40"/>
  <c r="T317" i="40"/>
  <c r="T252" i="40"/>
  <c r="R252" i="40"/>
  <c r="T330" i="40"/>
  <c r="R330" i="40"/>
  <c r="T272" i="40"/>
  <c r="R272" i="40"/>
  <c r="R294" i="40"/>
  <c r="T349" i="40"/>
  <c r="R349" i="40"/>
  <c r="T353" i="40"/>
  <c r="R353" i="40"/>
  <c r="R309" i="40"/>
  <c r="T291" i="40"/>
  <c r="R351" i="40"/>
  <c r="T255" i="40"/>
  <c r="T296" i="40"/>
  <c r="R333" i="40"/>
  <c r="T333" i="40"/>
  <c r="T250" i="40"/>
  <c r="R256" i="40"/>
  <c r="T290" i="40"/>
  <c r="R313" i="40"/>
  <c r="S352" i="40"/>
  <c r="S312" i="40"/>
  <c r="R318" i="40"/>
  <c r="S309" i="40"/>
  <c r="S349" i="40"/>
  <c r="R354" i="40"/>
  <c r="T273" i="40"/>
  <c r="T332" i="40"/>
  <c r="R311" i="40"/>
  <c r="S310" i="40"/>
  <c r="S353" i="40"/>
  <c r="S350" i="40"/>
  <c r="T354" i="40"/>
  <c r="S317" i="40"/>
  <c r="S354" i="40"/>
  <c r="S318" i="40"/>
  <c r="S313" i="40"/>
  <c r="S311" i="40"/>
  <c r="S351" i="40"/>
  <c r="S315" i="40"/>
  <c r="R253" i="40"/>
  <c r="S289" i="40"/>
  <c r="S297" i="40"/>
  <c r="S291" i="40"/>
  <c r="S294" i="40"/>
  <c r="R293" i="40"/>
  <c r="S293" i="40"/>
  <c r="S296" i="40"/>
  <c r="T293" i="40"/>
  <c r="S292" i="40"/>
  <c r="S298" i="40"/>
  <c r="S295" i="40"/>
  <c r="S290" i="40"/>
  <c r="R329" i="40"/>
  <c r="S329" i="40"/>
  <c r="T329" i="40"/>
  <c r="S333" i="40"/>
  <c r="S332" i="40"/>
  <c r="S330" i="40"/>
  <c r="S331" i="40"/>
  <c r="S334" i="40"/>
  <c r="T266" i="40"/>
  <c r="R367" i="40"/>
  <c r="R306" i="40"/>
  <c r="R288" i="40"/>
  <c r="R368" i="40"/>
  <c r="T287" i="40"/>
  <c r="R305" i="40"/>
  <c r="R365" i="40"/>
  <c r="T286" i="40"/>
  <c r="R265" i="40"/>
  <c r="T264" i="40"/>
  <c r="R304" i="40"/>
  <c r="T285" i="40"/>
  <c r="R284" i="40"/>
  <c r="T284" i="40"/>
  <c r="R322" i="40"/>
  <c r="T321" i="40"/>
  <c r="T323" i="40"/>
  <c r="R262" i="40"/>
  <c r="T302" i="40"/>
  <c r="R263" i="40"/>
  <c r="T281" i="40"/>
  <c r="T362" i="40"/>
  <c r="T282" i="40"/>
  <c r="T361" i="40"/>
  <c r="R340" i="40"/>
  <c r="R341" i="40"/>
  <c r="T301" i="40"/>
  <c r="R320" i="40"/>
  <c r="R300" i="40"/>
  <c r="S300" i="40"/>
  <c r="T280" i="40"/>
  <c r="T360" i="40"/>
  <c r="R279" i="40"/>
  <c r="T279" i="40"/>
  <c r="T251" i="40"/>
  <c r="R359" i="40"/>
  <c r="T359" i="40"/>
  <c r="S306" i="40"/>
  <c r="R299" i="40"/>
  <c r="S299" i="40"/>
  <c r="S302" i="40"/>
  <c r="R261" i="40"/>
  <c r="Q259" i="40"/>
  <c r="U268" i="40"/>
  <c r="T268" i="40"/>
  <c r="S268" i="40"/>
  <c r="A281" i="44"/>
  <c r="A106" i="44"/>
  <c r="A542" i="40"/>
  <c r="D20" i="40"/>
  <c r="A258" i="44"/>
  <c r="A86" i="44"/>
  <c r="A543" i="40"/>
  <c r="A326" i="42"/>
  <c r="A171" i="42"/>
  <c r="D19" i="40"/>
  <c r="A46" i="42"/>
  <c r="A301" i="42"/>
  <c r="A26" i="42"/>
  <c r="A238" i="44"/>
  <c r="A66" i="44"/>
  <c r="A544" i="40"/>
  <c r="A218" i="44"/>
  <c r="A46" i="44"/>
  <c r="A545" i="40"/>
  <c r="A281" i="42"/>
  <c r="A131" i="42"/>
  <c r="D21" i="40"/>
  <c r="A238" i="42"/>
  <c r="A366" i="44"/>
  <c r="A26" i="44"/>
  <c r="A546" i="40"/>
  <c r="G546" i="40" s="1"/>
  <c r="M546" i="40" s="1"/>
  <c r="S546" i="40" s="1"/>
  <c r="A258" i="42"/>
  <c r="A106" i="42"/>
  <c r="D22" i="40"/>
  <c r="A86" i="42"/>
  <c r="D23" i="40"/>
  <c r="A218" i="42"/>
  <c r="A66" i="42"/>
  <c r="D24" i="40"/>
  <c r="A346" i="44"/>
  <c r="A171" i="44"/>
  <c r="A539" i="40"/>
  <c r="A326" i="44"/>
  <c r="A151" i="44"/>
  <c r="A540" i="40"/>
  <c r="A151" i="42"/>
  <c r="A301" i="44"/>
  <c r="A131" i="44"/>
  <c r="A541" i="40"/>
  <c r="A366" i="42"/>
  <c r="D25" i="40"/>
  <c r="A346" i="42"/>
  <c r="A2" i="43"/>
  <c r="R2" i="44"/>
  <c r="A20" i="33"/>
  <c r="A12" i="33"/>
  <c r="A11" i="33"/>
  <c r="A15" i="33"/>
  <c r="A7" i="33"/>
  <c r="A14" i="33"/>
  <c r="A6" i="33"/>
  <c r="A13" i="33"/>
  <c r="A5" i="33"/>
  <c r="A19" i="33"/>
  <c r="A18" i="33"/>
  <c r="A10" i="33"/>
  <c r="A17" i="33"/>
  <c r="A9" i="33"/>
  <c r="A16" i="33"/>
  <c r="A8" i="33"/>
  <c r="D5" i="33" a="1"/>
  <c r="D5" i="33" s="1"/>
  <c r="D6" i="33" a="1"/>
  <c r="D6" i="33" s="1"/>
  <c r="D7" i="33" a="1"/>
  <c r="D7" i="33" s="1"/>
  <c r="D8" i="33" a="1"/>
  <c r="D8" i="33" s="1"/>
  <c r="D9" i="33" a="1"/>
  <c r="D9" i="33" s="1"/>
  <c r="D10" i="33" a="1"/>
  <c r="D10" i="33" s="1"/>
  <c r="D13" i="33" a="1"/>
  <c r="D13" i="33" s="1"/>
  <c r="D14" i="33" a="1"/>
  <c r="D14" i="33" s="1"/>
  <c r="D15" i="33" a="1"/>
  <c r="D15" i="33" s="1"/>
  <c r="D16" i="33" a="1"/>
  <c r="D16" i="33" s="1"/>
  <c r="D17" i="33" a="1"/>
  <c r="D17" i="33" s="1"/>
  <c r="R2" i="42"/>
  <c r="A1" i="43"/>
  <c r="S360" i="40" l="1"/>
  <c r="T366" i="40"/>
  <c r="R364" i="40"/>
  <c r="S363" i="40"/>
  <c r="S368" i="40"/>
  <c r="S367" i="40"/>
  <c r="S361" i="40"/>
  <c r="S359" i="40"/>
  <c r="S365" i="40"/>
  <c r="S362" i="40"/>
  <c r="S366" i="40"/>
  <c r="S270" i="40"/>
  <c r="S364" i="40"/>
  <c r="R363" i="40"/>
  <c r="S273" i="40"/>
  <c r="S280" i="40"/>
  <c r="T269" i="40"/>
  <c r="S288" i="40"/>
  <c r="S275" i="40"/>
  <c r="S271" i="40"/>
  <c r="S279" i="40"/>
  <c r="S277" i="40"/>
  <c r="T319" i="40"/>
  <c r="S274" i="40"/>
  <c r="S304" i="40"/>
  <c r="R303" i="40"/>
  <c r="S303" i="40"/>
  <c r="S301" i="40"/>
  <c r="S305" i="40"/>
  <c r="S287" i="40"/>
  <c r="S281" i="40"/>
  <c r="S282" i="40"/>
  <c r="S285" i="40"/>
  <c r="S283" i="40"/>
  <c r="S284" i="40"/>
  <c r="R283" i="40"/>
  <c r="S324" i="40"/>
  <c r="S272" i="40"/>
  <c r="S320" i="40"/>
  <c r="S322" i="40"/>
  <c r="S323" i="40"/>
  <c r="S321" i="40"/>
  <c r="S319" i="40"/>
  <c r="S286" i="40"/>
  <c r="T260" i="40"/>
  <c r="S266" i="40"/>
  <c r="S265" i="40"/>
  <c r="S264" i="40"/>
  <c r="S263" i="40"/>
  <c r="R259" i="40"/>
  <c r="S262" i="40"/>
  <c r="T259" i="40"/>
  <c r="G541" i="40"/>
  <c r="M541" i="40" s="1"/>
  <c r="B562" i="40"/>
  <c r="B560" i="40"/>
  <c r="G539" i="40"/>
  <c r="M539" i="40" s="1"/>
  <c r="G543" i="40"/>
  <c r="M543" i="40" s="1"/>
  <c r="B564" i="40"/>
  <c r="G545" i="40"/>
  <c r="M545" i="40" s="1"/>
  <c r="B566" i="40"/>
  <c r="G540" i="40"/>
  <c r="M540" i="40" s="1"/>
  <c r="B561" i="40"/>
  <c r="B563" i="40"/>
  <c r="G542" i="40"/>
  <c r="M542" i="40" s="1"/>
  <c r="A198" i="44"/>
  <c r="A6" i="44"/>
  <c r="A538" i="40"/>
  <c r="A198" i="42"/>
  <c r="A6" i="42"/>
  <c r="G544" i="40"/>
  <c r="M544" i="40" s="1"/>
  <c r="B565" i="40"/>
  <c r="A4" i="33"/>
  <c r="A3" i="33"/>
  <c r="I6" i="33" l="1" a="1"/>
  <c r="I6" i="33" s="1"/>
  <c r="N561" i="40"/>
  <c r="S540" i="40"/>
  <c r="S542" i="40"/>
  <c r="N563" i="40"/>
  <c r="N564" i="40"/>
  <c r="S543" i="40"/>
  <c r="N560" i="40"/>
  <c r="S539" i="40"/>
  <c r="N565" i="40"/>
  <c r="S544" i="40"/>
  <c r="G538" i="40"/>
  <c r="M538" i="40" s="1"/>
  <c r="B559" i="40"/>
  <c r="N566" i="40"/>
  <c r="S545" i="40"/>
  <c r="N562" i="40"/>
  <c r="S541" i="40"/>
  <c r="N559" i="40" l="1"/>
  <c r="S538" i="40"/>
  <c r="A1" i="42"/>
  <c r="Q6" i="20" l="1"/>
  <c r="R6" i="20" s="1"/>
  <c r="S6" i="20" s="1"/>
  <c r="T6" i="20" s="1"/>
  <c r="A33" i="40" l="1"/>
  <c r="D20" i="33" a="1"/>
  <c r="D20" i="33" s="1"/>
  <c r="D19" i="33" a="1"/>
  <c r="D19" i="33" s="1"/>
  <c r="D18" i="33" a="1"/>
  <c r="D18" i="33" s="1"/>
  <c r="E33" i="40" l="1"/>
  <c r="B33" i="40"/>
  <c r="A441" i="29"/>
  <c r="A401" i="29"/>
  <c r="A361" i="29"/>
  <c r="A321" i="29"/>
  <c r="A281" i="29"/>
  <c r="A241" i="29"/>
  <c r="A201" i="29"/>
  <c r="A161" i="29"/>
  <c r="A121" i="29"/>
  <c r="A81" i="29"/>
  <c r="A41" i="29"/>
  <c r="A1" i="29"/>
  <c r="N33" i="40" l="1"/>
  <c r="K33" i="40"/>
  <c r="H33" i="40"/>
  <c r="I33" i="40"/>
  <c r="L33" i="40"/>
  <c r="O33" i="40"/>
  <c r="F33" i="40"/>
  <c r="A1" i="21"/>
  <c r="A1" i="22"/>
  <c r="A1" i="20"/>
  <c r="A1" i="13"/>
  <c r="B7" i="21" l="1"/>
  <c r="C7" i="21"/>
  <c r="B8" i="21"/>
  <c r="C8" i="21"/>
  <c r="B9" i="21"/>
  <c r="C9" i="21"/>
  <c r="B10" i="21"/>
  <c r="C10" i="21"/>
  <c r="B11" i="21"/>
  <c r="C11" i="21"/>
  <c r="B12" i="21"/>
  <c r="C12" i="21"/>
  <c r="B13" i="21"/>
  <c r="C13" i="21"/>
  <c r="B14" i="21"/>
  <c r="C14" i="21"/>
  <c r="B15" i="21"/>
  <c r="C15" i="21"/>
  <c r="B16" i="21"/>
  <c r="C16" i="21"/>
  <c r="B17" i="21"/>
  <c r="C17" i="21"/>
  <c r="B18" i="21"/>
  <c r="C18" i="21"/>
  <c r="B19" i="21"/>
  <c r="C19" i="21"/>
  <c r="B20" i="21"/>
  <c r="C20" i="21"/>
  <c r="B21" i="21"/>
  <c r="C21" i="21"/>
  <c r="B22" i="21"/>
  <c r="C22" i="21"/>
  <c r="B23" i="21"/>
  <c r="C23" i="21"/>
  <c r="B24" i="21"/>
  <c r="C24" i="21"/>
  <c r="B25" i="21"/>
  <c r="C25" i="21"/>
  <c r="B26" i="21"/>
  <c r="C26" i="21"/>
  <c r="B27" i="21"/>
  <c r="C27" i="21"/>
  <c r="B28" i="21"/>
  <c r="C28" i="21"/>
  <c r="B29" i="21"/>
  <c r="C29" i="21"/>
  <c r="B30" i="21"/>
  <c r="C30" i="21"/>
  <c r="B31" i="21"/>
  <c r="C31" i="21"/>
  <c r="B32" i="21"/>
  <c r="C32" i="21"/>
  <c r="B33" i="21"/>
  <c r="C33" i="21"/>
  <c r="B34" i="21"/>
  <c r="C34" i="21"/>
  <c r="B35" i="21"/>
  <c r="C35" i="21"/>
  <c r="B36" i="21"/>
  <c r="C36" i="21"/>
  <c r="B37" i="21"/>
  <c r="C37" i="21"/>
  <c r="B38" i="21"/>
  <c r="C38" i="21"/>
  <c r="B39" i="21"/>
  <c r="C39" i="21"/>
  <c r="B40" i="21"/>
  <c r="C40" i="21"/>
  <c r="B41" i="21"/>
  <c r="C41" i="21"/>
  <c r="B42" i="21"/>
  <c r="C42" i="21"/>
  <c r="B43" i="21"/>
  <c r="C43" i="21"/>
  <c r="B44" i="21"/>
  <c r="C44" i="21"/>
  <c r="B45" i="21"/>
  <c r="C45" i="21"/>
  <c r="B46" i="21"/>
  <c r="C46" i="21"/>
  <c r="B47" i="21"/>
  <c r="C47" i="21"/>
  <c r="B48" i="21"/>
  <c r="C48" i="21"/>
  <c r="B49" i="21"/>
  <c r="C49" i="21"/>
  <c r="B50" i="21"/>
  <c r="C50" i="21"/>
  <c r="B51" i="21"/>
  <c r="C51" i="21"/>
  <c r="B52" i="21"/>
  <c r="C52" i="21"/>
  <c r="B53" i="21"/>
  <c r="C53" i="21"/>
  <c r="B54" i="21"/>
  <c r="C54" i="21"/>
  <c r="B55" i="21"/>
  <c r="C55" i="21"/>
  <c r="B56" i="21"/>
  <c r="C56" i="21"/>
  <c r="B57" i="21"/>
  <c r="C57" i="21"/>
  <c r="B58" i="21"/>
  <c r="C58" i="21"/>
  <c r="B59" i="21"/>
  <c r="C59" i="21"/>
  <c r="B60" i="21"/>
  <c r="C60" i="21"/>
  <c r="B61" i="21"/>
  <c r="C61" i="21"/>
  <c r="B62" i="21"/>
  <c r="C62" i="21"/>
  <c r="B63" i="21"/>
  <c r="C63" i="21"/>
  <c r="B64" i="21"/>
  <c r="C64" i="21"/>
  <c r="B65" i="21"/>
  <c r="C65" i="21"/>
  <c r="B66" i="21"/>
  <c r="C66" i="21"/>
  <c r="B67" i="21"/>
  <c r="C67" i="21"/>
  <c r="B68" i="21"/>
  <c r="C68" i="21"/>
  <c r="B69" i="21"/>
  <c r="C69" i="21"/>
  <c r="B70" i="21"/>
  <c r="C70" i="21"/>
  <c r="B71" i="21"/>
  <c r="C71" i="21"/>
  <c r="B72" i="21"/>
  <c r="C72" i="21"/>
  <c r="B73" i="21"/>
  <c r="C73" i="21"/>
  <c r="B74" i="21"/>
  <c r="C74" i="21"/>
  <c r="B75" i="21"/>
  <c r="C75" i="21"/>
  <c r="B76" i="21"/>
  <c r="C76" i="21"/>
  <c r="B77" i="21"/>
  <c r="C77" i="21"/>
  <c r="B78" i="21"/>
  <c r="C78" i="21"/>
  <c r="B79" i="21"/>
  <c r="C79" i="21"/>
  <c r="B80" i="21"/>
  <c r="C80" i="21"/>
  <c r="B81" i="21"/>
  <c r="C81" i="21"/>
  <c r="B82" i="21"/>
  <c r="C82" i="21"/>
  <c r="B83" i="21"/>
  <c r="C83" i="21"/>
  <c r="B84" i="21"/>
  <c r="C84" i="21"/>
  <c r="B85" i="21"/>
  <c r="C85" i="21"/>
  <c r="B86" i="21"/>
  <c r="C86" i="21"/>
  <c r="B87" i="21"/>
  <c r="C87" i="21"/>
  <c r="B88" i="21"/>
  <c r="C88" i="21"/>
  <c r="B89" i="21"/>
  <c r="C89" i="21"/>
  <c r="B90" i="21"/>
  <c r="C90" i="21"/>
  <c r="B91" i="21"/>
  <c r="C91" i="21"/>
  <c r="B92" i="21"/>
  <c r="C92" i="21"/>
  <c r="B93" i="21"/>
  <c r="C93" i="21"/>
  <c r="B94" i="21"/>
  <c r="C94" i="21"/>
  <c r="B95" i="21"/>
  <c r="C95" i="21"/>
  <c r="B96" i="21"/>
  <c r="C96" i="21"/>
  <c r="B97" i="21"/>
  <c r="C97" i="21"/>
  <c r="B98" i="21"/>
  <c r="C98" i="21"/>
  <c r="B99" i="21"/>
  <c r="C99" i="21"/>
  <c r="B100" i="21"/>
  <c r="C100" i="21"/>
  <c r="B101" i="21"/>
  <c r="C101" i="21"/>
  <c r="B102" i="21"/>
  <c r="C102" i="21"/>
  <c r="B103" i="21"/>
  <c r="C103" i="21"/>
  <c r="B104" i="21"/>
  <c r="C104" i="21"/>
  <c r="B105" i="21"/>
  <c r="C105" i="21"/>
  <c r="B106" i="21"/>
  <c r="C106" i="21"/>
  <c r="B107" i="21"/>
  <c r="C107" i="21"/>
  <c r="B108" i="21"/>
  <c r="C108" i="21"/>
  <c r="B109" i="21"/>
  <c r="C109" i="21"/>
  <c r="B110" i="21"/>
  <c r="C110" i="21"/>
  <c r="B111" i="21"/>
  <c r="C111" i="21"/>
  <c r="B112" i="21"/>
  <c r="C112" i="21"/>
  <c r="B113" i="21"/>
  <c r="C113" i="21"/>
  <c r="B114" i="21"/>
  <c r="C114" i="21"/>
  <c r="B115" i="21"/>
  <c r="C115" i="21"/>
  <c r="B116" i="21"/>
  <c r="C116" i="21"/>
  <c r="B117" i="21"/>
  <c r="C117" i="21"/>
  <c r="B118" i="21"/>
  <c r="C118" i="21"/>
  <c r="B119" i="21"/>
  <c r="C119" i="21"/>
  <c r="B120" i="21"/>
  <c r="C120" i="21"/>
  <c r="B121" i="21"/>
  <c r="C121" i="21"/>
  <c r="B122" i="21"/>
  <c r="C122" i="21"/>
  <c r="B123" i="21"/>
  <c r="C123" i="21"/>
  <c r="B124" i="21"/>
  <c r="C124" i="21"/>
  <c r="B125" i="21"/>
  <c r="C125" i="21"/>
  <c r="B126" i="21"/>
  <c r="C126" i="21"/>
  <c r="B127" i="21"/>
  <c r="C127" i="21"/>
  <c r="B128" i="21"/>
  <c r="C128" i="21"/>
  <c r="B129" i="21"/>
  <c r="C129" i="21"/>
  <c r="B130" i="21"/>
  <c r="C130" i="21"/>
  <c r="B131" i="21"/>
  <c r="C131" i="21"/>
  <c r="B132" i="21"/>
  <c r="C132" i="21"/>
  <c r="B133" i="21"/>
  <c r="C133" i="21"/>
  <c r="B134" i="21"/>
  <c r="C134" i="21"/>
  <c r="B135" i="21"/>
  <c r="C135" i="21"/>
  <c r="B136" i="21"/>
  <c r="C136" i="21"/>
  <c r="B137" i="21"/>
  <c r="C137" i="21"/>
  <c r="B138" i="21"/>
  <c r="C138" i="21"/>
  <c r="B139" i="21"/>
  <c r="C139" i="21"/>
  <c r="B140" i="21"/>
  <c r="C140" i="21"/>
  <c r="B141" i="21"/>
  <c r="C141" i="21"/>
  <c r="B142" i="21"/>
  <c r="C142" i="21"/>
  <c r="B143" i="21"/>
  <c r="C143" i="21"/>
  <c r="B144" i="21"/>
  <c r="C144" i="21"/>
  <c r="B145" i="21"/>
  <c r="C145" i="21"/>
  <c r="B146" i="21"/>
  <c r="C146" i="21"/>
  <c r="B147" i="21"/>
  <c r="C147" i="21"/>
  <c r="B148" i="21"/>
  <c r="C148" i="21"/>
  <c r="D148" i="21"/>
  <c r="B149" i="21"/>
  <c r="C149" i="21"/>
  <c r="D149" i="21"/>
  <c r="B150" i="21"/>
  <c r="C150" i="21"/>
  <c r="D150" i="21"/>
  <c r="B151" i="21"/>
  <c r="C151" i="21"/>
  <c r="D151" i="21"/>
  <c r="B152" i="21"/>
  <c r="C152" i="21"/>
  <c r="D152" i="21"/>
  <c r="B153" i="21"/>
  <c r="C153" i="21"/>
  <c r="D153" i="21"/>
  <c r="B154" i="21"/>
  <c r="C154" i="21"/>
  <c r="D154" i="21"/>
  <c r="B155" i="21"/>
  <c r="C155" i="21"/>
  <c r="D155" i="21"/>
  <c r="B156" i="21"/>
  <c r="C156" i="21"/>
  <c r="D156" i="21"/>
  <c r="B157" i="21"/>
  <c r="C157" i="21"/>
  <c r="D157" i="21"/>
  <c r="B158" i="21"/>
  <c r="C158" i="21"/>
  <c r="D158" i="21"/>
  <c r="B159" i="21"/>
  <c r="C159" i="21"/>
  <c r="D159" i="21"/>
  <c r="B160" i="21"/>
  <c r="C160" i="21"/>
  <c r="D160" i="21"/>
  <c r="B161" i="21"/>
  <c r="C161" i="21"/>
  <c r="D161" i="21"/>
  <c r="B162" i="21"/>
  <c r="C162" i="21"/>
  <c r="D162" i="21"/>
  <c r="B163" i="21"/>
  <c r="C163" i="21"/>
  <c r="D163" i="21"/>
  <c r="B164" i="21"/>
  <c r="C164" i="21"/>
  <c r="D164" i="21"/>
  <c r="B165" i="21"/>
  <c r="C165" i="21"/>
  <c r="D165" i="21"/>
  <c r="B166" i="21"/>
  <c r="C166" i="21"/>
  <c r="D166" i="21"/>
  <c r="B167" i="21"/>
  <c r="C167" i="21"/>
  <c r="D167" i="21"/>
  <c r="B168" i="21"/>
  <c r="C168" i="21"/>
  <c r="D168" i="21"/>
  <c r="B169" i="21"/>
  <c r="C169" i="21"/>
  <c r="D169" i="21"/>
  <c r="B170" i="21"/>
  <c r="C170" i="21"/>
  <c r="D170" i="21"/>
  <c r="B171" i="21"/>
  <c r="C171" i="21"/>
  <c r="D171" i="21"/>
  <c r="B172" i="21"/>
  <c r="C172" i="21"/>
  <c r="D172" i="21"/>
  <c r="B173" i="21"/>
  <c r="C173" i="21"/>
  <c r="D173" i="21"/>
  <c r="B174" i="21"/>
  <c r="C174" i="21"/>
  <c r="D174" i="21"/>
  <c r="B175" i="21"/>
  <c r="C175" i="21"/>
  <c r="D175" i="21"/>
  <c r="B176" i="21"/>
  <c r="C176" i="21"/>
  <c r="D176" i="21"/>
  <c r="B177" i="21"/>
  <c r="C177" i="21"/>
  <c r="D177" i="21"/>
  <c r="B178" i="21"/>
  <c r="C178" i="21"/>
  <c r="D178" i="21"/>
  <c r="B179" i="21"/>
  <c r="C179" i="21"/>
  <c r="D179" i="21"/>
  <c r="B180" i="21"/>
  <c r="C180" i="21"/>
  <c r="D180" i="21"/>
  <c r="B181" i="21"/>
  <c r="C181" i="21"/>
  <c r="D181" i="21"/>
  <c r="B182" i="21"/>
  <c r="C182" i="21"/>
  <c r="D182" i="21"/>
  <c r="B183" i="21"/>
  <c r="C183" i="21"/>
  <c r="D183" i="21"/>
  <c r="B184" i="21"/>
  <c r="C184" i="21"/>
  <c r="D184" i="21"/>
  <c r="B185" i="21"/>
  <c r="C185" i="21"/>
  <c r="D185" i="21"/>
  <c r="B186" i="21"/>
  <c r="C186" i="21"/>
  <c r="D186" i="21"/>
  <c r="B187" i="21"/>
  <c r="C187" i="21"/>
  <c r="D187" i="21"/>
  <c r="B188" i="21"/>
  <c r="C188" i="21"/>
  <c r="D188" i="21"/>
  <c r="B189" i="21"/>
  <c r="C189" i="21"/>
  <c r="D189" i="21"/>
  <c r="B190" i="21"/>
  <c r="C190" i="21"/>
  <c r="D190" i="21"/>
  <c r="B191" i="21"/>
  <c r="C191" i="21"/>
  <c r="D191" i="21"/>
  <c r="B192" i="21"/>
  <c r="C192" i="21"/>
  <c r="D192" i="21"/>
  <c r="B193" i="21"/>
  <c r="C193" i="21"/>
  <c r="D193" i="21"/>
  <c r="B194" i="21"/>
  <c r="C194" i="21"/>
  <c r="D194" i="21"/>
  <c r="B195" i="21"/>
  <c r="C195" i="21"/>
  <c r="D195" i="21"/>
  <c r="B196" i="21"/>
  <c r="C196" i="21"/>
  <c r="D196" i="21"/>
  <c r="B197" i="21"/>
  <c r="C197" i="21"/>
  <c r="D197" i="21"/>
  <c r="B198" i="21"/>
  <c r="C198" i="21"/>
  <c r="D198" i="21"/>
  <c r="B199" i="21"/>
  <c r="C199" i="21"/>
  <c r="D199" i="21"/>
  <c r="B200" i="21"/>
  <c r="C200" i="21"/>
  <c r="D200" i="21"/>
  <c r="B201" i="21"/>
  <c r="C201" i="21"/>
  <c r="D201" i="21"/>
  <c r="B202" i="21"/>
  <c r="C202" i="21"/>
  <c r="D202" i="21"/>
  <c r="B203" i="21"/>
  <c r="C203" i="21"/>
  <c r="D203" i="21"/>
  <c r="B204" i="21"/>
  <c r="C204" i="21"/>
  <c r="D204" i="21"/>
  <c r="B205" i="21"/>
  <c r="C205" i="21"/>
  <c r="D205" i="21"/>
  <c r="B206" i="21"/>
  <c r="C206" i="21"/>
  <c r="D206" i="21"/>
  <c r="B207" i="21"/>
  <c r="C207" i="21"/>
  <c r="D207" i="21"/>
  <c r="B208" i="21"/>
  <c r="C208" i="21"/>
  <c r="D208" i="21"/>
  <c r="B209" i="21"/>
  <c r="C209" i="21"/>
  <c r="D209" i="21"/>
  <c r="B210" i="21"/>
  <c r="C210" i="21"/>
  <c r="D210" i="21"/>
  <c r="B211" i="21"/>
  <c r="C211" i="21"/>
  <c r="D211" i="21"/>
  <c r="B212" i="21"/>
  <c r="C212" i="21"/>
  <c r="D212" i="21"/>
  <c r="B213" i="21"/>
  <c r="C213" i="21"/>
  <c r="D213" i="21"/>
  <c r="B214" i="21"/>
  <c r="C214" i="21"/>
  <c r="D214" i="21"/>
  <c r="B215" i="21"/>
  <c r="C215" i="21"/>
  <c r="D215" i="21"/>
  <c r="B216" i="21"/>
  <c r="C216" i="21"/>
  <c r="D216" i="21"/>
  <c r="B217" i="21"/>
  <c r="C217" i="21"/>
  <c r="D217" i="21"/>
  <c r="B218" i="21"/>
  <c r="C218" i="21"/>
  <c r="D218" i="21"/>
  <c r="B219" i="21"/>
  <c r="C219" i="21"/>
  <c r="D219" i="21"/>
  <c r="B220" i="21"/>
  <c r="C220" i="21"/>
  <c r="D220" i="21"/>
  <c r="B221" i="21"/>
  <c r="C221" i="21"/>
  <c r="D221" i="21"/>
  <c r="B222" i="21"/>
  <c r="C222" i="21"/>
  <c r="D222" i="21"/>
  <c r="B223" i="21"/>
  <c r="C223" i="21"/>
  <c r="D223" i="21"/>
  <c r="B224" i="21"/>
  <c r="C224" i="21"/>
  <c r="D224" i="21"/>
  <c r="B225" i="21"/>
  <c r="C225" i="21"/>
  <c r="D225" i="21"/>
  <c r="B226" i="21"/>
  <c r="C226" i="21"/>
  <c r="D226" i="21"/>
  <c r="B227" i="21"/>
  <c r="C227" i="21"/>
  <c r="D227" i="21"/>
  <c r="B228" i="21"/>
  <c r="C228" i="21"/>
  <c r="D228" i="21"/>
  <c r="B229" i="21"/>
  <c r="C229" i="21"/>
  <c r="D229" i="21"/>
  <c r="B230" i="21"/>
  <c r="C230" i="21"/>
  <c r="D230" i="21"/>
  <c r="B231" i="21"/>
  <c r="C231" i="21"/>
  <c r="D231" i="21"/>
  <c r="B232" i="21"/>
  <c r="C232" i="21"/>
  <c r="D232" i="21"/>
  <c r="B233" i="21"/>
  <c r="C233" i="21"/>
  <c r="D233" i="21"/>
  <c r="B234" i="21"/>
  <c r="C234" i="21"/>
  <c r="D234" i="21"/>
  <c r="B235" i="21"/>
  <c r="C235" i="21"/>
  <c r="D235" i="21"/>
  <c r="B236" i="21"/>
  <c r="C236" i="21"/>
  <c r="D236" i="21"/>
  <c r="B237" i="21"/>
  <c r="C237" i="21"/>
  <c r="D237" i="21"/>
  <c r="B238" i="21"/>
  <c r="C238" i="21"/>
  <c r="D238" i="21"/>
  <c r="B239" i="21"/>
  <c r="C239" i="21"/>
  <c r="D239" i="21"/>
  <c r="B240" i="21"/>
  <c r="C240" i="21"/>
  <c r="D240" i="21"/>
  <c r="B241" i="21"/>
  <c r="C241" i="21"/>
  <c r="D241" i="21"/>
  <c r="B242" i="21"/>
  <c r="C242" i="21"/>
  <c r="D242" i="21"/>
  <c r="B243" i="21"/>
  <c r="C243" i="21"/>
  <c r="D243" i="21"/>
  <c r="B244" i="21"/>
  <c r="C244" i="21"/>
  <c r="D244" i="21"/>
  <c r="B245" i="21"/>
  <c r="C245" i="21"/>
  <c r="D245" i="21"/>
  <c r="B246" i="21"/>
  <c r="C246" i="21"/>
  <c r="D246" i="21"/>
  <c r="B247" i="21"/>
  <c r="C247" i="21"/>
  <c r="D247" i="21"/>
  <c r="B248" i="21"/>
  <c r="C248" i="21"/>
  <c r="D248" i="21"/>
  <c r="B249" i="21"/>
  <c r="C249" i="21"/>
  <c r="D249" i="21"/>
  <c r="B250" i="21"/>
  <c r="C250" i="21"/>
  <c r="D250" i="21"/>
  <c r="B251" i="21"/>
  <c r="C251" i="21"/>
  <c r="D251" i="21"/>
  <c r="B252" i="21"/>
  <c r="C252" i="21"/>
  <c r="D252" i="21"/>
  <c r="B253" i="21"/>
  <c r="C253" i="21"/>
  <c r="D253" i="21"/>
  <c r="B254" i="21"/>
  <c r="C254" i="21"/>
  <c r="D254" i="21"/>
  <c r="B255" i="21"/>
  <c r="C255" i="21"/>
  <c r="D255" i="21"/>
  <c r="B256" i="21"/>
  <c r="C256" i="21"/>
  <c r="D256" i="21"/>
  <c r="B257" i="21"/>
  <c r="C257" i="21"/>
  <c r="D257" i="21"/>
  <c r="B258" i="21"/>
  <c r="C258" i="21"/>
  <c r="D258" i="21"/>
  <c r="B259" i="21"/>
  <c r="C259" i="21"/>
  <c r="D259" i="21"/>
  <c r="B260" i="21"/>
  <c r="C260" i="21"/>
  <c r="D260" i="21"/>
  <c r="B261" i="21"/>
  <c r="C261" i="21"/>
  <c r="D261" i="21"/>
  <c r="B262" i="21"/>
  <c r="C262" i="21"/>
  <c r="D262" i="21"/>
  <c r="B263" i="21"/>
  <c r="C263" i="21"/>
  <c r="D263" i="21"/>
  <c r="B264" i="21"/>
  <c r="C264" i="21"/>
  <c r="D264" i="21"/>
  <c r="B265" i="21"/>
  <c r="C265" i="21"/>
  <c r="D265" i="21"/>
  <c r="B266" i="21"/>
  <c r="C266" i="21"/>
  <c r="D266" i="21"/>
  <c r="B267" i="21"/>
  <c r="C267" i="21"/>
  <c r="D267" i="21"/>
  <c r="B268" i="21"/>
  <c r="C268" i="21"/>
  <c r="D268" i="21"/>
  <c r="B269" i="21"/>
  <c r="C269" i="21"/>
  <c r="D269" i="21"/>
  <c r="B270" i="21"/>
  <c r="C270" i="21"/>
  <c r="D270" i="21"/>
  <c r="B271" i="21"/>
  <c r="C271" i="21"/>
  <c r="D271" i="21"/>
  <c r="B272" i="21"/>
  <c r="C272" i="21"/>
  <c r="D272" i="21"/>
  <c r="B273" i="21"/>
  <c r="C273" i="21"/>
  <c r="D273" i="21"/>
  <c r="B274" i="21"/>
  <c r="C274" i="21"/>
  <c r="D274" i="21"/>
  <c r="B275" i="21"/>
  <c r="C275" i="21"/>
  <c r="D275" i="21"/>
  <c r="B276" i="21"/>
  <c r="C276" i="21"/>
  <c r="D276" i="21"/>
  <c r="B277" i="21"/>
  <c r="C277" i="21"/>
  <c r="D277" i="21"/>
  <c r="B278" i="21"/>
  <c r="C278" i="21"/>
  <c r="D278" i="21"/>
  <c r="B279" i="21"/>
  <c r="C279" i="21"/>
  <c r="D279" i="21"/>
  <c r="B280" i="21"/>
  <c r="C280" i="21"/>
  <c r="D280" i="21"/>
  <c r="B281" i="21"/>
  <c r="C281" i="21"/>
  <c r="D281" i="21"/>
  <c r="B282" i="21"/>
  <c r="C282" i="21"/>
  <c r="D282" i="21"/>
  <c r="B283" i="21"/>
  <c r="C283" i="21"/>
  <c r="D283" i="21"/>
  <c r="B284" i="21"/>
  <c r="C284" i="21"/>
  <c r="D284" i="21"/>
  <c r="B285" i="21"/>
  <c r="C285" i="21"/>
  <c r="D285" i="21"/>
  <c r="B286" i="21"/>
  <c r="C286" i="21"/>
  <c r="D286" i="21"/>
  <c r="B287" i="21"/>
  <c r="C287" i="21"/>
  <c r="D287" i="21"/>
  <c r="B288" i="21"/>
  <c r="C288" i="21"/>
  <c r="D288" i="21"/>
  <c r="B289" i="21"/>
  <c r="C289" i="21"/>
  <c r="D289" i="21"/>
  <c r="B290" i="21"/>
  <c r="C290" i="21"/>
  <c r="D290" i="21"/>
  <c r="B291" i="21"/>
  <c r="C291" i="21"/>
  <c r="D291" i="21"/>
  <c r="B292" i="21"/>
  <c r="C292" i="21"/>
  <c r="D292" i="21"/>
  <c r="B293" i="21"/>
  <c r="C293" i="21"/>
  <c r="D293" i="21"/>
  <c r="C6" i="21"/>
  <c r="B6" i="21"/>
  <c r="B7" i="22"/>
  <c r="C7" i="22"/>
  <c r="B8" i="22"/>
  <c r="C8" i="22"/>
  <c r="B9" i="22"/>
  <c r="C9" i="22"/>
  <c r="B10" i="22"/>
  <c r="C10" i="22"/>
  <c r="B11" i="22"/>
  <c r="C11" i="22"/>
  <c r="B12" i="22"/>
  <c r="C12" i="22"/>
  <c r="B13" i="22"/>
  <c r="C13" i="22"/>
  <c r="B14" i="22"/>
  <c r="C14" i="22"/>
  <c r="B15" i="22"/>
  <c r="C15" i="22"/>
  <c r="B16" i="22"/>
  <c r="C16" i="22"/>
  <c r="B17" i="22"/>
  <c r="C17" i="22"/>
  <c r="B18" i="22"/>
  <c r="C18" i="22"/>
  <c r="B19" i="22"/>
  <c r="C19" i="22"/>
  <c r="B20" i="22"/>
  <c r="C20" i="22"/>
  <c r="B21" i="22"/>
  <c r="C21" i="22"/>
  <c r="B22" i="22"/>
  <c r="C22" i="22"/>
  <c r="B23" i="22"/>
  <c r="C23" i="22"/>
  <c r="B24" i="22"/>
  <c r="C24" i="22"/>
  <c r="B25" i="22"/>
  <c r="C25" i="22"/>
  <c r="B26" i="22"/>
  <c r="C26" i="22"/>
  <c r="B27" i="22"/>
  <c r="C27" i="22"/>
  <c r="B28" i="22"/>
  <c r="C28" i="22"/>
  <c r="B29" i="22"/>
  <c r="C29" i="22"/>
  <c r="B30" i="22"/>
  <c r="C30" i="22"/>
  <c r="B31" i="22"/>
  <c r="C31" i="22"/>
  <c r="B32" i="22"/>
  <c r="C32" i="22"/>
  <c r="B33" i="22"/>
  <c r="C33" i="22"/>
  <c r="B34" i="22"/>
  <c r="C34" i="22"/>
  <c r="B35" i="22"/>
  <c r="C35" i="22"/>
  <c r="B36" i="22"/>
  <c r="C36" i="22"/>
  <c r="B37" i="22"/>
  <c r="C37" i="22"/>
  <c r="B38" i="22"/>
  <c r="C38" i="22"/>
  <c r="B39" i="22"/>
  <c r="C39" i="22"/>
  <c r="B40" i="22"/>
  <c r="C40" i="22"/>
  <c r="B41" i="22"/>
  <c r="C41" i="22"/>
  <c r="B42" i="22"/>
  <c r="C42" i="22"/>
  <c r="B43" i="22"/>
  <c r="C43" i="22"/>
  <c r="B44" i="22"/>
  <c r="C44" i="22"/>
  <c r="B45" i="22"/>
  <c r="C45" i="22"/>
  <c r="B46" i="22"/>
  <c r="C46" i="22"/>
  <c r="B47" i="22"/>
  <c r="C47" i="22"/>
  <c r="B48" i="22"/>
  <c r="C48" i="22"/>
  <c r="B49" i="22"/>
  <c r="C49" i="22"/>
  <c r="B50" i="22"/>
  <c r="C50" i="22"/>
  <c r="B51" i="22"/>
  <c r="C51" i="22"/>
  <c r="B52" i="22"/>
  <c r="C52" i="22"/>
  <c r="B53" i="22"/>
  <c r="C53" i="22"/>
  <c r="B54" i="22"/>
  <c r="C54" i="22"/>
  <c r="B55" i="22"/>
  <c r="C55" i="22"/>
  <c r="B56" i="22"/>
  <c r="C56" i="22"/>
  <c r="B57" i="22"/>
  <c r="C57" i="22"/>
  <c r="B58" i="22"/>
  <c r="C58" i="22"/>
  <c r="B59" i="22"/>
  <c r="C59" i="22"/>
  <c r="B60" i="22"/>
  <c r="C60" i="22"/>
  <c r="B61" i="22"/>
  <c r="C61" i="22"/>
  <c r="B62" i="22"/>
  <c r="C62" i="22"/>
  <c r="B63" i="22"/>
  <c r="C63" i="22"/>
  <c r="B64" i="22"/>
  <c r="C64" i="22"/>
  <c r="B65" i="22"/>
  <c r="C65" i="22"/>
  <c r="B66" i="22"/>
  <c r="C66" i="22"/>
  <c r="B67" i="22"/>
  <c r="C67" i="22"/>
  <c r="B68" i="22"/>
  <c r="C68" i="22"/>
  <c r="B69" i="22"/>
  <c r="C69" i="22"/>
  <c r="B70" i="22"/>
  <c r="C70" i="22"/>
  <c r="B71" i="22"/>
  <c r="C71" i="22"/>
  <c r="B72" i="22"/>
  <c r="C72" i="22"/>
  <c r="B73" i="22"/>
  <c r="C73" i="22"/>
  <c r="B74" i="22"/>
  <c r="C74" i="22"/>
  <c r="B75" i="22"/>
  <c r="C75" i="22"/>
  <c r="B76" i="22"/>
  <c r="C76" i="22"/>
  <c r="B77" i="22"/>
  <c r="C77" i="22"/>
  <c r="B78" i="22"/>
  <c r="C78" i="22"/>
  <c r="B79" i="22"/>
  <c r="C79" i="22"/>
  <c r="B80" i="22"/>
  <c r="C80" i="22"/>
  <c r="B81" i="22"/>
  <c r="C81" i="22"/>
  <c r="B82" i="22"/>
  <c r="C82" i="22"/>
  <c r="B83" i="22"/>
  <c r="C83" i="22"/>
  <c r="B84" i="22"/>
  <c r="C84" i="22"/>
  <c r="B85" i="22"/>
  <c r="C85" i="22"/>
  <c r="B86" i="22"/>
  <c r="C86" i="22"/>
  <c r="B87" i="22"/>
  <c r="C87" i="22"/>
  <c r="B88" i="22"/>
  <c r="C88" i="22"/>
  <c r="B89" i="22"/>
  <c r="C89" i="22"/>
  <c r="B90" i="22"/>
  <c r="C90" i="22"/>
  <c r="B91" i="22"/>
  <c r="C91" i="22"/>
  <c r="B92" i="22"/>
  <c r="C92" i="22"/>
  <c r="B93" i="22"/>
  <c r="C93" i="22"/>
  <c r="B94" i="22"/>
  <c r="C94" i="22"/>
  <c r="B95" i="22"/>
  <c r="C95" i="22"/>
  <c r="B96" i="22"/>
  <c r="C96" i="22"/>
  <c r="B97" i="22"/>
  <c r="C97" i="22"/>
  <c r="B98" i="22"/>
  <c r="C98" i="22"/>
  <c r="B99" i="22"/>
  <c r="C99" i="22"/>
  <c r="B100" i="22"/>
  <c r="C100" i="22"/>
  <c r="B101" i="22"/>
  <c r="C101" i="22"/>
  <c r="B102" i="22"/>
  <c r="C102" i="22"/>
  <c r="B103" i="22"/>
  <c r="C103" i="22"/>
  <c r="B104" i="22"/>
  <c r="C104" i="22"/>
  <c r="B105" i="22"/>
  <c r="C105" i="22"/>
  <c r="B106" i="22"/>
  <c r="C106" i="22"/>
  <c r="B107" i="22"/>
  <c r="C107" i="22"/>
  <c r="B108" i="22"/>
  <c r="C108" i="22"/>
  <c r="B109" i="22"/>
  <c r="C109" i="22"/>
  <c r="B110" i="22"/>
  <c r="C110" i="22"/>
  <c r="B111" i="22"/>
  <c r="C111" i="22"/>
  <c r="B112" i="22"/>
  <c r="C112" i="22"/>
  <c r="B113" i="22"/>
  <c r="C113" i="22"/>
  <c r="B114" i="22"/>
  <c r="C114" i="22"/>
  <c r="B115" i="22"/>
  <c r="C115" i="22"/>
  <c r="B116" i="22"/>
  <c r="C116" i="22"/>
  <c r="B117" i="22"/>
  <c r="C117" i="22"/>
  <c r="B118" i="22"/>
  <c r="C118" i="22"/>
  <c r="B119" i="22"/>
  <c r="C119" i="22"/>
  <c r="B120" i="22"/>
  <c r="C120" i="22"/>
  <c r="B121" i="22"/>
  <c r="C121" i="22"/>
  <c r="B122" i="22"/>
  <c r="C122" i="22"/>
  <c r="B123" i="22"/>
  <c r="C123" i="22"/>
  <c r="B124" i="22"/>
  <c r="C124" i="22"/>
  <c r="B125" i="22"/>
  <c r="C125" i="22"/>
  <c r="B126" i="22"/>
  <c r="C126" i="22"/>
  <c r="B127" i="22"/>
  <c r="C127" i="22"/>
  <c r="B128" i="22"/>
  <c r="C128" i="22"/>
  <c r="B129" i="22"/>
  <c r="C129" i="22"/>
  <c r="B130" i="22"/>
  <c r="C130" i="22"/>
  <c r="B131" i="22"/>
  <c r="C131" i="22"/>
  <c r="B132" i="22"/>
  <c r="C132" i="22"/>
  <c r="B133" i="22"/>
  <c r="C133" i="22"/>
  <c r="B134" i="22"/>
  <c r="C134" i="22"/>
  <c r="B135" i="22"/>
  <c r="C135" i="22"/>
  <c r="B136" i="22"/>
  <c r="C136" i="22"/>
  <c r="B137" i="22"/>
  <c r="C137" i="22"/>
  <c r="B138" i="22"/>
  <c r="C138" i="22"/>
  <c r="B139" i="22"/>
  <c r="C139" i="22"/>
  <c r="B140" i="22"/>
  <c r="C140" i="22"/>
  <c r="B141" i="22"/>
  <c r="C141" i="22"/>
  <c r="B142" i="22"/>
  <c r="C142" i="22"/>
  <c r="B143" i="22"/>
  <c r="C143" i="22"/>
  <c r="B144" i="22"/>
  <c r="C144" i="22"/>
  <c r="B145" i="22"/>
  <c r="C145" i="22"/>
  <c r="B146" i="22"/>
  <c r="C146" i="22"/>
  <c r="B147" i="22"/>
  <c r="C147" i="22"/>
  <c r="D147" i="22"/>
  <c r="B148" i="22"/>
  <c r="C148" i="22"/>
  <c r="D148" i="22"/>
  <c r="B149" i="22"/>
  <c r="C149" i="22"/>
  <c r="D149" i="22"/>
  <c r="B150" i="22"/>
  <c r="C150" i="22"/>
  <c r="D150" i="22"/>
  <c r="B151" i="22"/>
  <c r="C151" i="22"/>
  <c r="D151" i="22"/>
  <c r="B152" i="22"/>
  <c r="C152" i="22"/>
  <c r="D152" i="22"/>
  <c r="B153" i="22"/>
  <c r="C153" i="22"/>
  <c r="D153" i="22"/>
  <c r="B154" i="22"/>
  <c r="C154" i="22"/>
  <c r="D154" i="22"/>
  <c r="B155" i="22"/>
  <c r="C155" i="22"/>
  <c r="D155" i="22"/>
  <c r="B156" i="22"/>
  <c r="C156" i="22"/>
  <c r="D156" i="22"/>
  <c r="B157" i="22"/>
  <c r="C157" i="22"/>
  <c r="D157" i="22"/>
  <c r="B158" i="22"/>
  <c r="C158" i="22"/>
  <c r="D158" i="22"/>
  <c r="B159" i="22"/>
  <c r="C159" i="22"/>
  <c r="D159" i="22"/>
  <c r="B160" i="22"/>
  <c r="C160" i="22"/>
  <c r="D160" i="22"/>
  <c r="B161" i="22"/>
  <c r="C161" i="22"/>
  <c r="D161" i="22"/>
  <c r="B162" i="22"/>
  <c r="C162" i="22"/>
  <c r="D162" i="22"/>
  <c r="B163" i="22"/>
  <c r="C163" i="22"/>
  <c r="D163" i="22"/>
  <c r="B164" i="22"/>
  <c r="C164" i="22"/>
  <c r="D164" i="22"/>
  <c r="B165" i="22"/>
  <c r="C165" i="22"/>
  <c r="D165" i="22"/>
  <c r="B166" i="22"/>
  <c r="C166" i="22"/>
  <c r="D166" i="22"/>
  <c r="B167" i="22"/>
  <c r="C167" i="22"/>
  <c r="D167" i="22"/>
  <c r="B168" i="22"/>
  <c r="C168" i="22"/>
  <c r="D168" i="22"/>
  <c r="B169" i="22"/>
  <c r="C169" i="22"/>
  <c r="D169" i="22"/>
  <c r="B170" i="22"/>
  <c r="C170" i="22"/>
  <c r="D170" i="22"/>
  <c r="B171" i="22"/>
  <c r="C171" i="22"/>
  <c r="D171" i="22"/>
  <c r="B172" i="22"/>
  <c r="C172" i="22"/>
  <c r="D172" i="22"/>
  <c r="B173" i="22"/>
  <c r="C173" i="22"/>
  <c r="D173" i="22"/>
  <c r="B174" i="22"/>
  <c r="C174" i="22"/>
  <c r="D174" i="22"/>
  <c r="B175" i="22"/>
  <c r="C175" i="22"/>
  <c r="D175" i="22"/>
  <c r="B176" i="22"/>
  <c r="C176" i="22"/>
  <c r="D176" i="22"/>
  <c r="B177" i="22"/>
  <c r="C177" i="22"/>
  <c r="D177" i="22"/>
  <c r="B178" i="22"/>
  <c r="C178" i="22"/>
  <c r="D178" i="22"/>
  <c r="B179" i="22"/>
  <c r="C179" i="22"/>
  <c r="D179" i="22"/>
  <c r="B180" i="22"/>
  <c r="C180" i="22"/>
  <c r="D180" i="22"/>
  <c r="B181" i="22"/>
  <c r="C181" i="22"/>
  <c r="D181" i="22"/>
  <c r="B182" i="22"/>
  <c r="C182" i="22"/>
  <c r="D182" i="22"/>
  <c r="B183" i="22"/>
  <c r="C183" i="22"/>
  <c r="D183" i="22"/>
  <c r="B184" i="22"/>
  <c r="C184" i="22"/>
  <c r="D184" i="22"/>
  <c r="B185" i="22"/>
  <c r="C185" i="22"/>
  <c r="D185" i="22"/>
  <c r="B186" i="22"/>
  <c r="C186" i="22"/>
  <c r="D186" i="22"/>
  <c r="B187" i="22"/>
  <c r="C187" i="22"/>
  <c r="D187" i="22"/>
  <c r="B188" i="22"/>
  <c r="C188" i="22"/>
  <c r="D188" i="22"/>
  <c r="B189" i="22"/>
  <c r="C189" i="22"/>
  <c r="D189" i="22"/>
  <c r="B190" i="22"/>
  <c r="C190" i="22"/>
  <c r="D190" i="22"/>
  <c r="B191" i="22"/>
  <c r="C191" i="22"/>
  <c r="D191" i="22"/>
  <c r="B192" i="22"/>
  <c r="C192" i="22"/>
  <c r="D192" i="22"/>
  <c r="B193" i="22"/>
  <c r="C193" i="22"/>
  <c r="D193" i="22"/>
  <c r="B194" i="22"/>
  <c r="C194" i="22"/>
  <c r="D194" i="22"/>
  <c r="B195" i="22"/>
  <c r="C195" i="22"/>
  <c r="D195" i="22"/>
  <c r="B196" i="22"/>
  <c r="C196" i="22"/>
  <c r="D196" i="22"/>
  <c r="B197" i="22"/>
  <c r="C197" i="22"/>
  <c r="D197" i="22"/>
  <c r="B198" i="22"/>
  <c r="C198" i="22"/>
  <c r="D198" i="22"/>
  <c r="B199" i="22"/>
  <c r="C199" i="22"/>
  <c r="D199" i="22"/>
  <c r="B200" i="22"/>
  <c r="C200" i="22"/>
  <c r="D200" i="22"/>
  <c r="B201" i="22"/>
  <c r="C201" i="22"/>
  <c r="D201" i="22"/>
  <c r="B202" i="22"/>
  <c r="C202" i="22"/>
  <c r="D202" i="22"/>
  <c r="B203" i="22"/>
  <c r="C203" i="22"/>
  <c r="D203" i="22"/>
  <c r="B204" i="22"/>
  <c r="C204" i="22"/>
  <c r="D204" i="22"/>
  <c r="B205" i="22"/>
  <c r="C205" i="22"/>
  <c r="D205" i="22"/>
  <c r="B206" i="22"/>
  <c r="C206" i="22"/>
  <c r="D206" i="22"/>
  <c r="B207" i="22"/>
  <c r="C207" i="22"/>
  <c r="D207" i="22"/>
  <c r="B208" i="22"/>
  <c r="C208" i="22"/>
  <c r="D208" i="22"/>
  <c r="B209" i="22"/>
  <c r="C209" i="22"/>
  <c r="D209" i="22"/>
  <c r="B210" i="22"/>
  <c r="C210" i="22"/>
  <c r="D210" i="22"/>
  <c r="B211" i="22"/>
  <c r="C211" i="22"/>
  <c r="D211" i="22"/>
  <c r="B212" i="22"/>
  <c r="C212" i="22"/>
  <c r="D212" i="22"/>
  <c r="B213" i="22"/>
  <c r="C213" i="22"/>
  <c r="D213" i="22"/>
  <c r="B214" i="22"/>
  <c r="C214" i="22"/>
  <c r="D214" i="22"/>
  <c r="B215" i="22"/>
  <c r="C215" i="22"/>
  <c r="D215" i="22"/>
  <c r="B216" i="22"/>
  <c r="C216" i="22"/>
  <c r="D216" i="22"/>
  <c r="B217" i="22"/>
  <c r="C217" i="22"/>
  <c r="D217" i="22"/>
  <c r="B218" i="22"/>
  <c r="C218" i="22"/>
  <c r="D218" i="22"/>
  <c r="B219" i="22"/>
  <c r="C219" i="22"/>
  <c r="D219" i="22"/>
  <c r="B220" i="22"/>
  <c r="C220" i="22"/>
  <c r="D220" i="22"/>
  <c r="B221" i="22"/>
  <c r="C221" i="22"/>
  <c r="D221" i="22"/>
  <c r="B222" i="22"/>
  <c r="C222" i="22"/>
  <c r="D222" i="22"/>
  <c r="B223" i="22"/>
  <c r="C223" i="22"/>
  <c r="D223" i="22"/>
  <c r="B224" i="22"/>
  <c r="C224" i="22"/>
  <c r="D224" i="22"/>
  <c r="B225" i="22"/>
  <c r="C225" i="22"/>
  <c r="D225" i="22"/>
  <c r="B226" i="22"/>
  <c r="C226" i="22"/>
  <c r="D226" i="22"/>
  <c r="B227" i="22"/>
  <c r="C227" i="22"/>
  <c r="D227" i="22"/>
  <c r="B228" i="22"/>
  <c r="C228" i="22"/>
  <c r="D228" i="22"/>
  <c r="B229" i="22"/>
  <c r="C229" i="22"/>
  <c r="D229" i="22"/>
  <c r="B230" i="22"/>
  <c r="C230" i="22"/>
  <c r="D230" i="22"/>
  <c r="B231" i="22"/>
  <c r="C231" i="22"/>
  <c r="D231" i="22"/>
  <c r="B232" i="22"/>
  <c r="C232" i="22"/>
  <c r="D232" i="22"/>
  <c r="B233" i="22"/>
  <c r="C233" i="22"/>
  <c r="D233" i="22"/>
  <c r="B234" i="22"/>
  <c r="C234" i="22"/>
  <c r="D234" i="22"/>
  <c r="B235" i="22"/>
  <c r="C235" i="22"/>
  <c r="D235" i="22"/>
  <c r="B236" i="22"/>
  <c r="C236" i="22"/>
  <c r="D236" i="22"/>
  <c r="B237" i="22"/>
  <c r="C237" i="22"/>
  <c r="D237" i="22"/>
  <c r="B238" i="22"/>
  <c r="C238" i="22"/>
  <c r="D238" i="22"/>
  <c r="B239" i="22"/>
  <c r="C239" i="22"/>
  <c r="D239" i="22"/>
  <c r="B240" i="22"/>
  <c r="C240" i="22"/>
  <c r="D240" i="22"/>
  <c r="B241" i="22"/>
  <c r="C241" i="22"/>
  <c r="D241" i="22"/>
  <c r="B242" i="22"/>
  <c r="C242" i="22"/>
  <c r="D242" i="22"/>
  <c r="B243" i="22"/>
  <c r="C243" i="22"/>
  <c r="D243" i="22"/>
  <c r="B244" i="22"/>
  <c r="C244" i="22"/>
  <c r="D244" i="22"/>
  <c r="B245" i="22"/>
  <c r="C245" i="22"/>
  <c r="D245" i="22"/>
  <c r="B246" i="22"/>
  <c r="C246" i="22"/>
  <c r="D246" i="22"/>
  <c r="B247" i="22"/>
  <c r="C247" i="22"/>
  <c r="D247" i="22"/>
  <c r="B248" i="22"/>
  <c r="C248" i="22"/>
  <c r="D248" i="22"/>
  <c r="B249" i="22"/>
  <c r="C249" i="22"/>
  <c r="D249" i="22"/>
  <c r="B250" i="22"/>
  <c r="C250" i="22"/>
  <c r="D250" i="22"/>
  <c r="B251" i="22"/>
  <c r="C251" i="22"/>
  <c r="D251" i="22"/>
  <c r="B252" i="22"/>
  <c r="C252" i="22"/>
  <c r="D252" i="22"/>
  <c r="B253" i="22"/>
  <c r="C253" i="22"/>
  <c r="D253" i="22"/>
  <c r="B254" i="22"/>
  <c r="C254" i="22"/>
  <c r="D254" i="22"/>
  <c r="B255" i="22"/>
  <c r="C255" i="22"/>
  <c r="D255" i="22"/>
  <c r="B256" i="22"/>
  <c r="C256" i="22"/>
  <c r="D256" i="22"/>
  <c r="B257" i="22"/>
  <c r="C257" i="22"/>
  <c r="D257" i="22"/>
  <c r="B258" i="22"/>
  <c r="C258" i="22"/>
  <c r="D258" i="22"/>
  <c r="B259" i="22"/>
  <c r="C259" i="22"/>
  <c r="D259" i="22"/>
  <c r="B260" i="22"/>
  <c r="C260" i="22"/>
  <c r="D260" i="22"/>
  <c r="B261" i="22"/>
  <c r="C261" i="22"/>
  <c r="D261" i="22"/>
  <c r="B262" i="22"/>
  <c r="C262" i="22"/>
  <c r="D262" i="22"/>
  <c r="B263" i="22"/>
  <c r="C263" i="22"/>
  <c r="D263" i="22"/>
  <c r="B264" i="22"/>
  <c r="C264" i="22"/>
  <c r="D264" i="22"/>
  <c r="B265" i="22"/>
  <c r="C265" i="22"/>
  <c r="D265" i="22"/>
  <c r="B266" i="22"/>
  <c r="C266" i="22"/>
  <c r="D266" i="22"/>
  <c r="B267" i="22"/>
  <c r="C267" i="22"/>
  <c r="D267" i="22"/>
  <c r="B268" i="22"/>
  <c r="C268" i="22"/>
  <c r="D268" i="22"/>
  <c r="B269" i="22"/>
  <c r="C269" i="22"/>
  <c r="D269" i="22"/>
  <c r="B270" i="22"/>
  <c r="C270" i="22"/>
  <c r="D270" i="22"/>
  <c r="B271" i="22"/>
  <c r="C271" i="22"/>
  <c r="D271" i="22"/>
  <c r="B272" i="22"/>
  <c r="C272" i="22"/>
  <c r="D272" i="22"/>
  <c r="B273" i="22"/>
  <c r="C273" i="22"/>
  <c r="D273" i="22"/>
  <c r="B274" i="22"/>
  <c r="C274" i="22"/>
  <c r="D274" i="22"/>
  <c r="B275" i="22"/>
  <c r="C275" i="22"/>
  <c r="D275" i="22"/>
  <c r="B276" i="22"/>
  <c r="C276" i="22"/>
  <c r="D276" i="22"/>
  <c r="B277" i="22"/>
  <c r="C277" i="22"/>
  <c r="D277" i="22"/>
  <c r="B278" i="22"/>
  <c r="C278" i="22"/>
  <c r="D278" i="22"/>
  <c r="B279" i="22"/>
  <c r="C279" i="22"/>
  <c r="D279" i="22"/>
  <c r="B280" i="22"/>
  <c r="C280" i="22"/>
  <c r="D280" i="22"/>
  <c r="B281" i="22"/>
  <c r="C281" i="22"/>
  <c r="D281" i="22"/>
  <c r="B282" i="22"/>
  <c r="C282" i="22"/>
  <c r="D282" i="22"/>
  <c r="B283" i="22"/>
  <c r="C283" i="22"/>
  <c r="D283" i="22"/>
  <c r="B284" i="22"/>
  <c r="C284" i="22"/>
  <c r="D284" i="22"/>
  <c r="B285" i="22"/>
  <c r="C285" i="22"/>
  <c r="D285" i="22"/>
  <c r="B286" i="22"/>
  <c r="C286" i="22"/>
  <c r="D286" i="22"/>
  <c r="B287" i="22"/>
  <c r="C287" i="22"/>
  <c r="D287" i="22"/>
  <c r="B288" i="22"/>
  <c r="C288" i="22"/>
  <c r="D288" i="22"/>
  <c r="B289" i="22"/>
  <c r="C289" i="22"/>
  <c r="D289" i="22"/>
  <c r="B290" i="22"/>
  <c r="C290" i="22"/>
  <c r="D290" i="22"/>
  <c r="B291" i="22"/>
  <c r="C291" i="22"/>
  <c r="D291" i="22"/>
  <c r="B292" i="22"/>
  <c r="C292" i="22"/>
  <c r="D292" i="22"/>
  <c r="B293" i="22"/>
  <c r="C293" i="22"/>
  <c r="D293" i="22"/>
  <c r="C6" i="22"/>
  <c r="B6" i="22"/>
  <c r="B7" i="20"/>
  <c r="C7" i="20"/>
  <c r="B8" i="20"/>
  <c r="C8" i="20"/>
  <c r="B9" i="20"/>
  <c r="C9" i="20"/>
  <c r="B10" i="20"/>
  <c r="C10" i="20"/>
  <c r="B11" i="20"/>
  <c r="C11" i="20"/>
  <c r="B12" i="20"/>
  <c r="C12" i="20"/>
  <c r="B13" i="20"/>
  <c r="C13" i="20"/>
  <c r="B14" i="20"/>
  <c r="C14" i="20"/>
  <c r="B15" i="20"/>
  <c r="C15" i="20"/>
  <c r="B16" i="20"/>
  <c r="C16" i="20"/>
  <c r="B17" i="20"/>
  <c r="C17" i="20"/>
  <c r="B18" i="20"/>
  <c r="C18" i="20"/>
  <c r="B19" i="20"/>
  <c r="C19" i="20"/>
  <c r="B20" i="20"/>
  <c r="C20" i="20"/>
  <c r="B21" i="20"/>
  <c r="C21" i="20"/>
  <c r="B22" i="20"/>
  <c r="C22" i="20"/>
  <c r="B23" i="20"/>
  <c r="C23" i="20"/>
  <c r="B24" i="20"/>
  <c r="C24" i="20"/>
  <c r="B25" i="20"/>
  <c r="C25" i="20"/>
  <c r="B26" i="20"/>
  <c r="C26" i="20"/>
  <c r="B27" i="20"/>
  <c r="C27" i="20"/>
  <c r="B28" i="20"/>
  <c r="C28" i="20"/>
  <c r="B29" i="20"/>
  <c r="C29" i="20"/>
  <c r="B30" i="20"/>
  <c r="C30" i="20"/>
  <c r="B31" i="20"/>
  <c r="C31" i="20"/>
  <c r="B32" i="20"/>
  <c r="C32" i="20"/>
  <c r="B33" i="20"/>
  <c r="C33" i="20"/>
  <c r="B34" i="20"/>
  <c r="C34" i="20"/>
  <c r="B35" i="20"/>
  <c r="C35" i="20"/>
  <c r="B36" i="20"/>
  <c r="C36" i="20"/>
  <c r="B37" i="20"/>
  <c r="C37" i="20"/>
  <c r="B38" i="20"/>
  <c r="C38" i="20"/>
  <c r="B39" i="20"/>
  <c r="C39" i="20"/>
  <c r="B40" i="20"/>
  <c r="C40" i="20"/>
  <c r="B41" i="20"/>
  <c r="C41" i="20"/>
  <c r="B42" i="20"/>
  <c r="C42" i="20"/>
  <c r="B43" i="20"/>
  <c r="C43" i="20"/>
  <c r="B44" i="20"/>
  <c r="C44" i="20"/>
  <c r="B45" i="20"/>
  <c r="C45" i="20"/>
  <c r="B46" i="20"/>
  <c r="C46" i="20"/>
  <c r="B47" i="20"/>
  <c r="C47" i="20"/>
  <c r="B48" i="20"/>
  <c r="C48" i="20"/>
  <c r="B49" i="20"/>
  <c r="C49" i="20"/>
  <c r="B50" i="20"/>
  <c r="C50" i="20"/>
  <c r="B51" i="20"/>
  <c r="C51" i="20"/>
  <c r="B52" i="20"/>
  <c r="C52" i="20"/>
  <c r="B53" i="20"/>
  <c r="C53" i="20"/>
  <c r="B54" i="20"/>
  <c r="C54" i="20"/>
  <c r="B55" i="20"/>
  <c r="C55" i="20"/>
  <c r="B56" i="20"/>
  <c r="C56" i="20"/>
  <c r="B57" i="20"/>
  <c r="C57" i="20"/>
  <c r="B58" i="20"/>
  <c r="C58" i="20"/>
  <c r="B59" i="20"/>
  <c r="C59" i="20"/>
  <c r="B60" i="20"/>
  <c r="C60" i="20"/>
  <c r="B61" i="20"/>
  <c r="C61" i="20"/>
  <c r="B62" i="20"/>
  <c r="C62" i="20"/>
  <c r="B63" i="20"/>
  <c r="C63" i="20"/>
  <c r="B64" i="20"/>
  <c r="C64" i="20"/>
  <c r="B65" i="20"/>
  <c r="C65" i="20"/>
  <c r="B66" i="20"/>
  <c r="C66" i="20"/>
  <c r="B67" i="20"/>
  <c r="C67" i="20"/>
  <c r="B68" i="20"/>
  <c r="C68" i="20"/>
  <c r="B69" i="20"/>
  <c r="C69" i="20"/>
  <c r="B70" i="20"/>
  <c r="C70" i="20"/>
  <c r="B71" i="20"/>
  <c r="C71" i="20"/>
  <c r="B72" i="20"/>
  <c r="C72" i="20"/>
  <c r="B73" i="20"/>
  <c r="C73" i="20"/>
  <c r="B74" i="20"/>
  <c r="C74" i="20"/>
  <c r="B75" i="20"/>
  <c r="C75" i="20"/>
  <c r="B76" i="20"/>
  <c r="C76" i="20"/>
  <c r="B77" i="20"/>
  <c r="C77" i="20"/>
  <c r="B78" i="20"/>
  <c r="C78" i="20"/>
  <c r="B79" i="20"/>
  <c r="C79" i="20"/>
  <c r="B80" i="20"/>
  <c r="C80" i="20"/>
  <c r="B81" i="20"/>
  <c r="C81" i="20"/>
  <c r="B82" i="20"/>
  <c r="C82" i="20"/>
  <c r="B83" i="20"/>
  <c r="C83" i="20"/>
  <c r="B84" i="20"/>
  <c r="C84" i="20"/>
  <c r="B85" i="20"/>
  <c r="C85" i="20"/>
  <c r="B86" i="20"/>
  <c r="C86" i="20"/>
  <c r="B87" i="20"/>
  <c r="C87" i="20"/>
  <c r="B88" i="20"/>
  <c r="C88" i="20"/>
  <c r="B89" i="20"/>
  <c r="C89" i="20"/>
  <c r="B90" i="20"/>
  <c r="C90" i="20"/>
  <c r="B91" i="20"/>
  <c r="C91" i="20"/>
  <c r="B92" i="20"/>
  <c r="C92" i="20"/>
  <c r="B93" i="20"/>
  <c r="C93" i="20"/>
  <c r="B94" i="20"/>
  <c r="C94" i="20"/>
  <c r="B95" i="20"/>
  <c r="C95" i="20"/>
  <c r="B96" i="20"/>
  <c r="C96" i="20"/>
  <c r="B97" i="20"/>
  <c r="C97" i="20"/>
  <c r="B98" i="20"/>
  <c r="C98" i="20"/>
  <c r="B99" i="20"/>
  <c r="C99" i="20"/>
  <c r="B100" i="20"/>
  <c r="C100" i="20"/>
  <c r="B101" i="20"/>
  <c r="C101" i="20"/>
  <c r="B102" i="20"/>
  <c r="C102" i="20"/>
  <c r="B103" i="20"/>
  <c r="C103" i="20"/>
  <c r="B104" i="20"/>
  <c r="C104" i="20"/>
  <c r="B105" i="20"/>
  <c r="C105" i="20"/>
  <c r="B106" i="20"/>
  <c r="C106" i="20"/>
  <c r="B107" i="20"/>
  <c r="C107" i="20"/>
  <c r="B108" i="20"/>
  <c r="C108" i="20"/>
  <c r="B109" i="20"/>
  <c r="C109" i="20"/>
  <c r="B110" i="20"/>
  <c r="C110" i="20"/>
  <c r="B111" i="20"/>
  <c r="C111" i="20"/>
  <c r="B112" i="20"/>
  <c r="C112" i="20"/>
  <c r="B113" i="20"/>
  <c r="C113" i="20"/>
  <c r="B114" i="20"/>
  <c r="C114" i="20"/>
  <c r="B115" i="20"/>
  <c r="C115" i="20"/>
  <c r="B116" i="20"/>
  <c r="C116" i="20"/>
  <c r="B117" i="20"/>
  <c r="C117" i="20"/>
  <c r="B118" i="20"/>
  <c r="C118" i="20"/>
  <c r="B119" i="20"/>
  <c r="C119" i="20"/>
  <c r="B120" i="20"/>
  <c r="C120" i="20"/>
  <c r="B121" i="20"/>
  <c r="C121" i="20"/>
  <c r="B122" i="20"/>
  <c r="C122" i="20"/>
  <c r="B123" i="20"/>
  <c r="C123" i="20"/>
  <c r="B124" i="20"/>
  <c r="C124" i="20"/>
  <c r="B125" i="20"/>
  <c r="C125" i="20"/>
  <c r="B126" i="20"/>
  <c r="C126" i="20"/>
  <c r="B127" i="20"/>
  <c r="C127" i="20"/>
  <c r="B128" i="20"/>
  <c r="C128" i="20"/>
  <c r="B129" i="20"/>
  <c r="C129" i="20"/>
  <c r="B130" i="20"/>
  <c r="C130" i="20"/>
  <c r="B131" i="20"/>
  <c r="C131" i="20"/>
  <c r="B132" i="20"/>
  <c r="C132" i="20"/>
  <c r="B133" i="20"/>
  <c r="C133" i="20"/>
  <c r="B134" i="20"/>
  <c r="C134" i="20"/>
  <c r="B135" i="20"/>
  <c r="C135" i="20"/>
  <c r="B136" i="20"/>
  <c r="C136" i="20"/>
  <c r="B137" i="20"/>
  <c r="C137" i="20"/>
  <c r="B138" i="20"/>
  <c r="C138" i="20"/>
  <c r="B139" i="20"/>
  <c r="C139" i="20"/>
  <c r="B140" i="20"/>
  <c r="C140" i="20"/>
  <c r="B141" i="20"/>
  <c r="C141" i="20"/>
  <c r="B142" i="20"/>
  <c r="C142" i="20"/>
  <c r="B143" i="20"/>
  <c r="C143" i="20"/>
  <c r="B144" i="20"/>
  <c r="C144" i="20"/>
  <c r="D144" i="20"/>
  <c r="B145" i="20"/>
  <c r="C145" i="20"/>
  <c r="D145" i="20"/>
  <c r="B146" i="20"/>
  <c r="C146" i="20"/>
  <c r="D146" i="20"/>
  <c r="B147" i="20"/>
  <c r="C147" i="20"/>
  <c r="D147" i="20"/>
  <c r="B148" i="20"/>
  <c r="C148" i="20"/>
  <c r="D148" i="20"/>
  <c r="B149" i="20"/>
  <c r="C149" i="20"/>
  <c r="D149" i="20"/>
  <c r="B150" i="20"/>
  <c r="C150" i="20"/>
  <c r="D150" i="20"/>
  <c r="B151" i="20"/>
  <c r="C151" i="20"/>
  <c r="D151" i="20"/>
  <c r="B152" i="20"/>
  <c r="C152" i="20"/>
  <c r="D152" i="20"/>
  <c r="B153" i="20"/>
  <c r="C153" i="20"/>
  <c r="D153" i="20"/>
  <c r="B154" i="20"/>
  <c r="C154" i="20"/>
  <c r="D154" i="20"/>
  <c r="B155" i="20"/>
  <c r="C155" i="20"/>
  <c r="D155" i="20"/>
  <c r="B156" i="20"/>
  <c r="C156" i="20"/>
  <c r="D156" i="20"/>
  <c r="B157" i="20"/>
  <c r="C157" i="20"/>
  <c r="D157" i="20"/>
  <c r="B158" i="20"/>
  <c r="C158" i="20"/>
  <c r="D158" i="20"/>
  <c r="B159" i="20"/>
  <c r="C159" i="20"/>
  <c r="D159" i="20"/>
  <c r="B160" i="20"/>
  <c r="C160" i="20"/>
  <c r="D160" i="20"/>
  <c r="B161" i="20"/>
  <c r="C161" i="20"/>
  <c r="D161" i="20"/>
  <c r="B162" i="20"/>
  <c r="C162" i="20"/>
  <c r="D162" i="20"/>
  <c r="B163" i="20"/>
  <c r="C163" i="20"/>
  <c r="D163" i="20"/>
  <c r="B164" i="20"/>
  <c r="C164" i="20"/>
  <c r="D164" i="20"/>
  <c r="B165" i="20"/>
  <c r="C165" i="20"/>
  <c r="D165" i="20"/>
  <c r="B166" i="20"/>
  <c r="C166" i="20"/>
  <c r="D166" i="20"/>
  <c r="B167" i="20"/>
  <c r="C167" i="20"/>
  <c r="D167" i="20"/>
  <c r="B168" i="20"/>
  <c r="C168" i="20"/>
  <c r="D168" i="20"/>
  <c r="B169" i="20"/>
  <c r="C169" i="20"/>
  <c r="D169" i="20"/>
  <c r="B170" i="20"/>
  <c r="C170" i="20"/>
  <c r="D170" i="20"/>
  <c r="B171" i="20"/>
  <c r="C171" i="20"/>
  <c r="D171" i="20"/>
  <c r="B172" i="20"/>
  <c r="C172" i="20"/>
  <c r="D172" i="20"/>
  <c r="B173" i="20"/>
  <c r="C173" i="20"/>
  <c r="D173" i="20"/>
  <c r="B174" i="20"/>
  <c r="C174" i="20"/>
  <c r="D174" i="20"/>
  <c r="B175" i="20"/>
  <c r="C175" i="20"/>
  <c r="D175" i="20"/>
  <c r="B176" i="20"/>
  <c r="C176" i="20"/>
  <c r="D176" i="20"/>
  <c r="B177" i="20"/>
  <c r="C177" i="20"/>
  <c r="D177" i="20"/>
  <c r="B178" i="20"/>
  <c r="C178" i="20"/>
  <c r="D178" i="20"/>
  <c r="B179" i="20"/>
  <c r="C179" i="20"/>
  <c r="D179" i="20"/>
  <c r="B180" i="20"/>
  <c r="C180" i="20"/>
  <c r="D180" i="20"/>
  <c r="B181" i="20"/>
  <c r="C181" i="20"/>
  <c r="D181" i="20"/>
  <c r="B182" i="20"/>
  <c r="C182" i="20"/>
  <c r="D182" i="20"/>
  <c r="B183" i="20"/>
  <c r="C183" i="20"/>
  <c r="D183" i="20"/>
  <c r="B184" i="20"/>
  <c r="C184" i="20"/>
  <c r="D184" i="20"/>
  <c r="B185" i="20"/>
  <c r="C185" i="20"/>
  <c r="D185" i="20"/>
  <c r="B186" i="20"/>
  <c r="C186" i="20"/>
  <c r="D186" i="20"/>
  <c r="B187" i="20"/>
  <c r="C187" i="20"/>
  <c r="D187" i="20"/>
  <c r="B188" i="20"/>
  <c r="C188" i="20"/>
  <c r="D188" i="20"/>
  <c r="B189" i="20"/>
  <c r="C189" i="20"/>
  <c r="D189" i="20"/>
  <c r="B190" i="20"/>
  <c r="C190" i="20"/>
  <c r="D190" i="20"/>
  <c r="B191" i="20"/>
  <c r="C191" i="20"/>
  <c r="D191" i="20"/>
  <c r="B192" i="20"/>
  <c r="C192" i="20"/>
  <c r="D192" i="20"/>
  <c r="B193" i="20"/>
  <c r="C193" i="20"/>
  <c r="D193" i="20"/>
  <c r="B194" i="20"/>
  <c r="C194" i="20"/>
  <c r="D194" i="20"/>
  <c r="B195" i="20"/>
  <c r="C195" i="20"/>
  <c r="D195" i="20"/>
  <c r="B196" i="20"/>
  <c r="C196" i="20"/>
  <c r="D196" i="20"/>
  <c r="B197" i="20"/>
  <c r="C197" i="20"/>
  <c r="D197" i="20"/>
  <c r="B198" i="20"/>
  <c r="C198" i="20"/>
  <c r="D198" i="20"/>
  <c r="B199" i="20"/>
  <c r="C199" i="20"/>
  <c r="D199" i="20"/>
  <c r="B200" i="20"/>
  <c r="C200" i="20"/>
  <c r="D200" i="20"/>
  <c r="B201" i="20"/>
  <c r="C201" i="20"/>
  <c r="D201" i="20"/>
  <c r="B202" i="20"/>
  <c r="C202" i="20"/>
  <c r="D202" i="20"/>
  <c r="B203" i="20"/>
  <c r="C203" i="20"/>
  <c r="D203" i="20"/>
  <c r="B204" i="20"/>
  <c r="C204" i="20"/>
  <c r="D204" i="20"/>
  <c r="B205" i="20"/>
  <c r="C205" i="20"/>
  <c r="D205" i="20"/>
  <c r="B206" i="20"/>
  <c r="C206" i="20"/>
  <c r="D206" i="20"/>
  <c r="B207" i="20"/>
  <c r="C207" i="20"/>
  <c r="D207" i="20"/>
  <c r="B208" i="20"/>
  <c r="C208" i="20"/>
  <c r="D208" i="20"/>
  <c r="B209" i="20"/>
  <c r="C209" i="20"/>
  <c r="D209" i="20"/>
  <c r="B210" i="20"/>
  <c r="C210" i="20"/>
  <c r="D210" i="20"/>
  <c r="B211" i="20"/>
  <c r="C211" i="20"/>
  <c r="D211" i="20"/>
  <c r="B212" i="20"/>
  <c r="C212" i="20"/>
  <c r="D212" i="20"/>
  <c r="B213" i="20"/>
  <c r="C213" i="20"/>
  <c r="D213" i="20"/>
  <c r="B214" i="20"/>
  <c r="C214" i="20"/>
  <c r="D214" i="20"/>
  <c r="B215" i="20"/>
  <c r="C215" i="20"/>
  <c r="D215" i="20"/>
  <c r="B216" i="20"/>
  <c r="C216" i="20"/>
  <c r="D216" i="20"/>
  <c r="B217" i="20"/>
  <c r="C217" i="20"/>
  <c r="D217" i="20"/>
  <c r="B218" i="20"/>
  <c r="C218" i="20"/>
  <c r="D218" i="20"/>
  <c r="B219" i="20"/>
  <c r="C219" i="20"/>
  <c r="D219" i="20"/>
  <c r="B220" i="20"/>
  <c r="C220" i="20"/>
  <c r="D220" i="20"/>
  <c r="B221" i="20"/>
  <c r="C221" i="20"/>
  <c r="D221" i="20"/>
  <c r="B222" i="20"/>
  <c r="C222" i="20"/>
  <c r="D222" i="20"/>
  <c r="B223" i="20"/>
  <c r="C223" i="20"/>
  <c r="D223" i="20"/>
  <c r="B224" i="20"/>
  <c r="C224" i="20"/>
  <c r="D224" i="20"/>
  <c r="B225" i="20"/>
  <c r="C225" i="20"/>
  <c r="D225" i="20"/>
  <c r="B226" i="20"/>
  <c r="C226" i="20"/>
  <c r="D226" i="20"/>
  <c r="B227" i="20"/>
  <c r="C227" i="20"/>
  <c r="D227" i="20"/>
  <c r="B228" i="20"/>
  <c r="C228" i="20"/>
  <c r="D228" i="20"/>
  <c r="B229" i="20"/>
  <c r="C229" i="20"/>
  <c r="D229" i="20"/>
  <c r="B230" i="20"/>
  <c r="C230" i="20"/>
  <c r="D230" i="20"/>
  <c r="B231" i="20"/>
  <c r="C231" i="20"/>
  <c r="D231" i="20"/>
  <c r="B232" i="20"/>
  <c r="C232" i="20"/>
  <c r="D232" i="20"/>
  <c r="B233" i="20"/>
  <c r="C233" i="20"/>
  <c r="D233" i="20"/>
  <c r="B234" i="20"/>
  <c r="C234" i="20"/>
  <c r="D234" i="20"/>
  <c r="B235" i="20"/>
  <c r="C235" i="20"/>
  <c r="D235" i="20"/>
  <c r="B236" i="20"/>
  <c r="C236" i="20"/>
  <c r="D236" i="20"/>
  <c r="B237" i="20"/>
  <c r="C237" i="20"/>
  <c r="D237" i="20"/>
  <c r="B238" i="20"/>
  <c r="C238" i="20"/>
  <c r="D238" i="20"/>
  <c r="B239" i="20"/>
  <c r="C239" i="20"/>
  <c r="D239" i="20"/>
  <c r="B240" i="20"/>
  <c r="C240" i="20"/>
  <c r="D240" i="20"/>
  <c r="B241" i="20"/>
  <c r="C241" i="20"/>
  <c r="D241" i="20"/>
  <c r="B242" i="20"/>
  <c r="C242" i="20"/>
  <c r="D242" i="20"/>
  <c r="B243" i="20"/>
  <c r="C243" i="20"/>
  <c r="D243" i="20"/>
  <c r="B244" i="20"/>
  <c r="C244" i="20"/>
  <c r="D244" i="20"/>
  <c r="B245" i="20"/>
  <c r="C245" i="20"/>
  <c r="D245" i="20"/>
  <c r="B246" i="20"/>
  <c r="C246" i="20"/>
  <c r="D246" i="20"/>
  <c r="B247" i="20"/>
  <c r="C247" i="20"/>
  <c r="D247" i="20"/>
  <c r="B248" i="20"/>
  <c r="C248" i="20"/>
  <c r="D248" i="20"/>
  <c r="B249" i="20"/>
  <c r="C249" i="20"/>
  <c r="D249" i="20"/>
  <c r="B250" i="20"/>
  <c r="C250" i="20"/>
  <c r="D250" i="20"/>
  <c r="B251" i="20"/>
  <c r="C251" i="20"/>
  <c r="D251" i="20"/>
  <c r="B252" i="20"/>
  <c r="C252" i="20"/>
  <c r="D252" i="20"/>
  <c r="B253" i="20"/>
  <c r="C253" i="20"/>
  <c r="D253" i="20"/>
  <c r="B254" i="20"/>
  <c r="C254" i="20"/>
  <c r="D254" i="20"/>
  <c r="B255" i="20"/>
  <c r="C255" i="20"/>
  <c r="D255" i="20"/>
  <c r="B256" i="20"/>
  <c r="C256" i="20"/>
  <c r="D256" i="20"/>
  <c r="B257" i="20"/>
  <c r="C257" i="20"/>
  <c r="D257" i="20"/>
  <c r="B258" i="20"/>
  <c r="C258" i="20"/>
  <c r="D258" i="20"/>
  <c r="B259" i="20"/>
  <c r="C259" i="20"/>
  <c r="D259" i="20"/>
  <c r="B260" i="20"/>
  <c r="C260" i="20"/>
  <c r="D260" i="20"/>
  <c r="B261" i="20"/>
  <c r="C261" i="20"/>
  <c r="D261" i="20"/>
  <c r="B262" i="20"/>
  <c r="C262" i="20"/>
  <c r="D262" i="20"/>
  <c r="B263" i="20"/>
  <c r="C263" i="20"/>
  <c r="D263" i="20"/>
  <c r="B264" i="20"/>
  <c r="C264" i="20"/>
  <c r="D264" i="20"/>
  <c r="B265" i="20"/>
  <c r="C265" i="20"/>
  <c r="D265" i="20"/>
  <c r="B266" i="20"/>
  <c r="C266" i="20"/>
  <c r="D266" i="20"/>
  <c r="B267" i="20"/>
  <c r="C267" i="20"/>
  <c r="D267" i="20"/>
  <c r="B268" i="20"/>
  <c r="C268" i="20"/>
  <c r="D268" i="20"/>
  <c r="B269" i="20"/>
  <c r="C269" i="20"/>
  <c r="D269" i="20"/>
  <c r="B270" i="20"/>
  <c r="C270" i="20"/>
  <c r="D270" i="20"/>
  <c r="B271" i="20"/>
  <c r="C271" i="20"/>
  <c r="D271" i="20"/>
  <c r="B272" i="20"/>
  <c r="C272" i="20"/>
  <c r="D272" i="20"/>
  <c r="B273" i="20"/>
  <c r="C273" i="20"/>
  <c r="D273" i="20"/>
  <c r="B274" i="20"/>
  <c r="C274" i="20"/>
  <c r="D274" i="20"/>
  <c r="B275" i="20"/>
  <c r="C275" i="20"/>
  <c r="D275" i="20"/>
  <c r="B276" i="20"/>
  <c r="C276" i="20"/>
  <c r="D276" i="20"/>
  <c r="B277" i="20"/>
  <c r="C277" i="20"/>
  <c r="D277" i="20"/>
  <c r="B278" i="20"/>
  <c r="C278" i="20"/>
  <c r="D278" i="20"/>
  <c r="B279" i="20"/>
  <c r="C279" i="20"/>
  <c r="D279" i="20"/>
  <c r="B280" i="20"/>
  <c r="C280" i="20"/>
  <c r="D280" i="20"/>
  <c r="B281" i="20"/>
  <c r="C281" i="20"/>
  <c r="D281" i="20"/>
  <c r="B282" i="20"/>
  <c r="C282" i="20"/>
  <c r="D282" i="20"/>
  <c r="B283" i="20"/>
  <c r="C283" i="20"/>
  <c r="D283" i="20"/>
  <c r="B284" i="20"/>
  <c r="C284" i="20"/>
  <c r="D284" i="20"/>
  <c r="B285" i="20"/>
  <c r="C285" i="20"/>
  <c r="D285" i="20"/>
  <c r="B286" i="20"/>
  <c r="C286" i="20"/>
  <c r="D286" i="20"/>
  <c r="B287" i="20"/>
  <c r="C287" i="20"/>
  <c r="D287" i="20"/>
  <c r="B288" i="20"/>
  <c r="C288" i="20"/>
  <c r="D288" i="20"/>
  <c r="B289" i="20"/>
  <c r="C289" i="20"/>
  <c r="D289" i="20"/>
  <c r="B290" i="20"/>
  <c r="C290" i="20"/>
  <c r="D290" i="20"/>
  <c r="B291" i="20"/>
  <c r="C291" i="20"/>
  <c r="D291" i="20"/>
  <c r="B292" i="20"/>
  <c r="C292" i="20"/>
  <c r="D292" i="20"/>
  <c r="B293" i="20"/>
  <c r="C293" i="20"/>
  <c r="D293" i="20"/>
  <c r="C6" i="20"/>
  <c r="B6" i="20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7" i="13"/>
  <c r="C7" i="13"/>
  <c r="B8" i="13"/>
  <c r="C8" i="13"/>
  <c r="B9" i="13"/>
  <c r="C9" i="13"/>
  <c r="B10" i="13"/>
  <c r="C10" i="13"/>
  <c r="B11" i="13"/>
  <c r="C11" i="13"/>
  <c r="B12" i="13"/>
  <c r="C12" i="13"/>
  <c r="B13" i="13"/>
  <c r="C13" i="13"/>
  <c r="B14" i="13"/>
  <c r="C14" i="13"/>
  <c r="B15" i="13"/>
  <c r="C15" i="13"/>
  <c r="B16" i="13"/>
  <c r="C16" i="13"/>
  <c r="B17" i="13"/>
  <c r="C17" i="13"/>
  <c r="B18" i="13"/>
  <c r="C18" i="13"/>
  <c r="B19" i="13"/>
  <c r="C19" i="13"/>
  <c r="B20" i="13"/>
  <c r="C20" i="13"/>
  <c r="B21" i="13"/>
  <c r="C21" i="13"/>
  <c r="B22" i="13"/>
  <c r="C22" i="13"/>
  <c r="B23" i="13"/>
  <c r="C23" i="13"/>
  <c r="B24" i="13"/>
  <c r="C24" i="13"/>
  <c r="B25" i="13"/>
  <c r="C25" i="13"/>
  <c r="B26" i="13"/>
  <c r="C26" i="13"/>
  <c r="B27" i="13"/>
  <c r="C27" i="13"/>
  <c r="B28" i="13"/>
  <c r="C28" i="13"/>
  <c r="B29" i="13"/>
  <c r="C29" i="13"/>
  <c r="B30" i="13"/>
  <c r="C30" i="13"/>
  <c r="B31" i="13"/>
  <c r="C31" i="13"/>
  <c r="B32" i="13"/>
  <c r="C32" i="13"/>
  <c r="B33" i="13"/>
  <c r="C33" i="13"/>
  <c r="B34" i="13"/>
  <c r="C34" i="13"/>
  <c r="B35" i="13"/>
  <c r="C35" i="13"/>
  <c r="B36" i="13"/>
  <c r="C36" i="13"/>
  <c r="B37" i="13"/>
  <c r="C37" i="13"/>
  <c r="B38" i="13"/>
  <c r="C38" i="13"/>
  <c r="B39" i="13"/>
  <c r="C39" i="13"/>
  <c r="B40" i="13"/>
  <c r="C40" i="13"/>
  <c r="B41" i="13"/>
  <c r="C41" i="13"/>
  <c r="B42" i="13"/>
  <c r="C42" i="13"/>
  <c r="B43" i="13"/>
  <c r="C43" i="13"/>
  <c r="B44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B83" i="13"/>
  <c r="C83" i="13"/>
  <c r="B84" i="13"/>
  <c r="C84" i="13"/>
  <c r="B85" i="13"/>
  <c r="C85" i="13"/>
  <c r="B86" i="13"/>
  <c r="C86" i="13"/>
  <c r="B87" i="13"/>
  <c r="C87" i="13"/>
  <c r="B88" i="13"/>
  <c r="C88" i="13"/>
  <c r="B89" i="13"/>
  <c r="C89" i="13"/>
  <c r="B90" i="13"/>
  <c r="C90" i="13"/>
  <c r="B91" i="13"/>
  <c r="C91" i="13"/>
  <c r="B92" i="13"/>
  <c r="C92" i="13"/>
  <c r="B93" i="13"/>
  <c r="C93" i="13"/>
  <c r="B94" i="13"/>
  <c r="C94" i="13"/>
  <c r="B95" i="13"/>
  <c r="C95" i="13"/>
  <c r="B96" i="13"/>
  <c r="C96" i="13"/>
  <c r="B97" i="13"/>
  <c r="C97" i="13"/>
  <c r="B98" i="13"/>
  <c r="C98" i="13"/>
  <c r="B99" i="13"/>
  <c r="C99" i="13"/>
  <c r="B100" i="13"/>
  <c r="C100" i="13"/>
  <c r="B101" i="13"/>
  <c r="C101" i="13"/>
  <c r="B102" i="13"/>
  <c r="C102" i="13"/>
  <c r="B103" i="13"/>
  <c r="C103" i="13"/>
  <c r="B104" i="13"/>
  <c r="C104" i="13"/>
  <c r="B105" i="13"/>
  <c r="C105" i="13"/>
  <c r="B106" i="13"/>
  <c r="C106" i="13"/>
  <c r="B107" i="13"/>
  <c r="C107" i="13"/>
  <c r="B108" i="13"/>
  <c r="C108" i="13"/>
  <c r="B109" i="13"/>
  <c r="C109" i="13"/>
  <c r="B110" i="13"/>
  <c r="C110" i="13"/>
  <c r="B111" i="13"/>
  <c r="C111" i="13"/>
  <c r="B112" i="13"/>
  <c r="C112" i="13"/>
  <c r="B113" i="13"/>
  <c r="C113" i="13"/>
  <c r="B114" i="13"/>
  <c r="C114" i="13"/>
  <c r="B115" i="13"/>
  <c r="C115" i="13"/>
  <c r="B116" i="13"/>
  <c r="C116" i="13"/>
  <c r="B117" i="13"/>
  <c r="C117" i="13"/>
  <c r="B118" i="13"/>
  <c r="C118" i="13"/>
  <c r="B119" i="13"/>
  <c r="C119" i="13"/>
  <c r="B120" i="13"/>
  <c r="C120" i="13"/>
  <c r="B121" i="13"/>
  <c r="C121" i="13"/>
  <c r="B122" i="13"/>
  <c r="C122" i="13"/>
  <c r="B123" i="13"/>
  <c r="C123" i="13"/>
  <c r="B124" i="13"/>
  <c r="C124" i="13"/>
  <c r="B125" i="13"/>
  <c r="C125" i="13"/>
  <c r="B126" i="13"/>
  <c r="C126" i="13"/>
  <c r="B127" i="13"/>
  <c r="C127" i="13"/>
  <c r="B128" i="13"/>
  <c r="C128" i="13"/>
  <c r="B129" i="13"/>
  <c r="C129" i="13"/>
  <c r="B130" i="13"/>
  <c r="C130" i="13"/>
  <c r="B131" i="13"/>
  <c r="C131" i="13"/>
  <c r="B132" i="13"/>
  <c r="C132" i="13"/>
  <c r="B133" i="13"/>
  <c r="C133" i="13"/>
  <c r="B134" i="13"/>
  <c r="C134" i="13"/>
  <c r="B135" i="13"/>
  <c r="C135" i="13"/>
  <c r="B136" i="13"/>
  <c r="C136" i="13"/>
  <c r="B137" i="13"/>
  <c r="C137" i="13"/>
  <c r="B138" i="13"/>
  <c r="C138" i="13"/>
  <c r="B139" i="13"/>
  <c r="C139" i="13"/>
  <c r="B140" i="13"/>
  <c r="C140" i="13"/>
  <c r="B141" i="13"/>
  <c r="C141" i="13"/>
  <c r="B142" i="13"/>
  <c r="C142" i="13"/>
  <c r="B143" i="13"/>
  <c r="C143" i="13"/>
  <c r="B144" i="13"/>
  <c r="C144" i="13"/>
  <c r="B145" i="13"/>
  <c r="C145" i="13"/>
  <c r="B146" i="13"/>
  <c r="C146" i="13"/>
  <c r="B147" i="13"/>
  <c r="C147" i="13"/>
  <c r="B148" i="13"/>
  <c r="C148" i="13"/>
  <c r="B149" i="13"/>
  <c r="C149" i="13"/>
  <c r="D149" i="13"/>
  <c r="B150" i="13"/>
  <c r="C150" i="13"/>
  <c r="D150" i="13"/>
  <c r="B151" i="13"/>
  <c r="C151" i="13"/>
  <c r="D151" i="13"/>
  <c r="B152" i="13"/>
  <c r="C152" i="13"/>
  <c r="D152" i="13"/>
  <c r="B153" i="13"/>
  <c r="C153" i="13"/>
  <c r="D153" i="13"/>
  <c r="B154" i="13"/>
  <c r="C154" i="13"/>
  <c r="D154" i="13"/>
  <c r="B155" i="13"/>
  <c r="C155" i="13"/>
  <c r="D155" i="13"/>
  <c r="B156" i="13"/>
  <c r="C156" i="13"/>
  <c r="D156" i="13"/>
  <c r="B157" i="13"/>
  <c r="C157" i="13"/>
  <c r="D157" i="13"/>
  <c r="B158" i="13"/>
  <c r="C158" i="13"/>
  <c r="D158" i="13"/>
  <c r="B159" i="13"/>
  <c r="C159" i="13"/>
  <c r="D159" i="13"/>
  <c r="B160" i="13"/>
  <c r="C160" i="13"/>
  <c r="D160" i="13"/>
  <c r="B161" i="13"/>
  <c r="C161" i="13"/>
  <c r="D161" i="13"/>
  <c r="B162" i="13"/>
  <c r="C162" i="13"/>
  <c r="D162" i="13"/>
  <c r="B163" i="13"/>
  <c r="C163" i="13"/>
  <c r="D163" i="13"/>
  <c r="B164" i="13"/>
  <c r="C164" i="13"/>
  <c r="D164" i="13"/>
  <c r="B165" i="13"/>
  <c r="C165" i="13"/>
  <c r="D165" i="13"/>
  <c r="B166" i="13"/>
  <c r="C166" i="13"/>
  <c r="D166" i="13"/>
  <c r="B167" i="13"/>
  <c r="C167" i="13"/>
  <c r="D167" i="13"/>
  <c r="B168" i="13"/>
  <c r="C168" i="13"/>
  <c r="D168" i="13"/>
  <c r="B169" i="13"/>
  <c r="C169" i="13"/>
  <c r="D169" i="13"/>
  <c r="B170" i="13"/>
  <c r="C170" i="13"/>
  <c r="D170" i="13"/>
  <c r="B171" i="13"/>
  <c r="C171" i="13"/>
  <c r="D171" i="13"/>
  <c r="B172" i="13"/>
  <c r="C172" i="13"/>
  <c r="D172" i="13"/>
  <c r="B173" i="13"/>
  <c r="C173" i="13"/>
  <c r="D173" i="13"/>
  <c r="B174" i="13"/>
  <c r="C174" i="13"/>
  <c r="D174" i="13"/>
  <c r="B175" i="13"/>
  <c r="C175" i="13"/>
  <c r="D175" i="13"/>
  <c r="B176" i="13"/>
  <c r="C176" i="13"/>
  <c r="D176" i="13"/>
  <c r="B177" i="13"/>
  <c r="C177" i="13"/>
  <c r="D177" i="13"/>
  <c r="B178" i="13"/>
  <c r="C178" i="13"/>
  <c r="D178" i="13"/>
  <c r="B179" i="13"/>
  <c r="C179" i="13"/>
  <c r="D179" i="13"/>
  <c r="B180" i="13"/>
  <c r="C180" i="13"/>
  <c r="D180" i="13"/>
  <c r="B181" i="13"/>
  <c r="C181" i="13"/>
  <c r="D181" i="13"/>
  <c r="B182" i="13"/>
  <c r="C182" i="13"/>
  <c r="D182" i="13"/>
  <c r="B183" i="13"/>
  <c r="C183" i="13"/>
  <c r="D183" i="13"/>
  <c r="B184" i="13"/>
  <c r="C184" i="13"/>
  <c r="D184" i="13"/>
  <c r="B185" i="13"/>
  <c r="C185" i="13"/>
  <c r="D185" i="13"/>
  <c r="B186" i="13"/>
  <c r="C186" i="13"/>
  <c r="D186" i="13"/>
  <c r="B187" i="13"/>
  <c r="C187" i="13"/>
  <c r="D187" i="13"/>
  <c r="B188" i="13"/>
  <c r="C188" i="13"/>
  <c r="D188" i="13"/>
  <c r="B189" i="13"/>
  <c r="C189" i="13"/>
  <c r="D189" i="13"/>
  <c r="B190" i="13"/>
  <c r="C190" i="13"/>
  <c r="D190" i="13"/>
  <c r="B191" i="13"/>
  <c r="C191" i="13"/>
  <c r="D191" i="13"/>
  <c r="B192" i="13"/>
  <c r="C192" i="13"/>
  <c r="D192" i="13"/>
  <c r="B193" i="13"/>
  <c r="C193" i="13"/>
  <c r="D193" i="13"/>
  <c r="B194" i="13"/>
  <c r="C194" i="13"/>
  <c r="D194" i="13"/>
  <c r="B195" i="13"/>
  <c r="C195" i="13"/>
  <c r="D195" i="13"/>
  <c r="B196" i="13"/>
  <c r="C196" i="13"/>
  <c r="D196" i="13"/>
  <c r="B197" i="13"/>
  <c r="C197" i="13"/>
  <c r="D197" i="13"/>
  <c r="B198" i="13"/>
  <c r="C198" i="13"/>
  <c r="D198" i="13"/>
  <c r="B199" i="13"/>
  <c r="C199" i="13"/>
  <c r="D199" i="13"/>
  <c r="B200" i="13"/>
  <c r="C200" i="13"/>
  <c r="D200" i="13"/>
  <c r="B201" i="13"/>
  <c r="C201" i="13"/>
  <c r="D201" i="13"/>
  <c r="B202" i="13"/>
  <c r="C202" i="13"/>
  <c r="D202" i="13"/>
  <c r="B203" i="13"/>
  <c r="C203" i="13"/>
  <c r="D203" i="13"/>
  <c r="B204" i="13"/>
  <c r="C204" i="13"/>
  <c r="D204" i="13"/>
  <c r="B205" i="13"/>
  <c r="C205" i="13"/>
  <c r="D205" i="13"/>
  <c r="B206" i="13"/>
  <c r="C206" i="13"/>
  <c r="D206" i="13"/>
  <c r="B207" i="13"/>
  <c r="C207" i="13"/>
  <c r="D207" i="13"/>
  <c r="B208" i="13"/>
  <c r="C208" i="13"/>
  <c r="D208" i="13"/>
  <c r="B209" i="13"/>
  <c r="C209" i="13"/>
  <c r="D209" i="13"/>
  <c r="B210" i="13"/>
  <c r="C210" i="13"/>
  <c r="D210" i="13"/>
  <c r="B211" i="13"/>
  <c r="C211" i="13"/>
  <c r="D211" i="13"/>
  <c r="B212" i="13"/>
  <c r="C212" i="13"/>
  <c r="D212" i="13"/>
  <c r="B213" i="13"/>
  <c r="C213" i="13"/>
  <c r="D213" i="13"/>
  <c r="B214" i="13"/>
  <c r="C214" i="13"/>
  <c r="D214" i="13"/>
  <c r="B215" i="13"/>
  <c r="C215" i="13"/>
  <c r="D215" i="13"/>
  <c r="B216" i="13"/>
  <c r="C216" i="13"/>
  <c r="D216" i="13"/>
  <c r="B217" i="13"/>
  <c r="C217" i="13"/>
  <c r="D217" i="13"/>
  <c r="B218" i="13"/>
  <c r="C218" i="13"/>
  <c r="D218" i="13"/>
  <c r="B219" i="13"/>
  <c r="C219" i="13"/>
  <c r="D219" i="13"/>
  <c r="B220" i="13"/>
  <c r="C220" i="13"/>
  <c r="D220" i="13"/>
  <c r="B221" i="13"/>
  <c r="C221" i="13"/>
  <c r="D221" i="13"/>
  <c r="B222" i="13"/>
  <c r="C222" i="13"/>
  <c r="D222" i="13"/>
  <c r="B223" i="13"/>
  <c r="C223" i="13"/>
  <c r="D223" i="13"/>
  <c r="B224" i="13"/>
  <c r="C224" i="13"/>
  <c r="D224" i="13"/>
  <c r="B225" i="13"/>
  <c r="C225" i="13"/>
  <c r="D225" i="13"/>
  <c r="B226" i="13"/>
  <c r="C226" i="13"/>
  <c r="D226" i="13"/>
  <c r="B227" i="13"/>
  <c r="C227" i="13"/>
  <c r="D227" i="13"/>
  <c r="B228" i="13"/>
  <c r="C228" i="13"/>
  <c r="D228" i="13"/>
  <c r="B229" i="13"/>
  <c r="C229" i="13"/>
  <c r="D229" i="13"/>
  <c r="B230" i="13"/>
  <c r="C230" i="13"/>
  <c r="D230" i="13"/>
  <c r="B231" i="13"/>
  <c r="C231" i="13"/>
  <c r="D231" i="13"/>
  <c r="B232" i="13"/>
  <c r="C232" i="13"/>
  <c r="D232" i="13"/>
  <c r="B233" i="13"/>
  <c r="C233" i="13"/>
  <c r="D233" i="13"/>
  <c r="B234" i="13"/>
  <c r="C234" i="13"/>
  <c r="D234" i="13"/>
  <c r="B235" i="13"/>
  <c r="C235" i="13"/>
  <c r="D235" i="13"/>
  <c r="B236" i="13"/>
  <c r="C236" i="13"/>
  <c r="D236" i="13"/>
  <c r="B237" i="13"/>
  <c r="C237" i="13"/>
  <c r="D237" i="13"/>
  <c r="B238" i="13"/>
  <c r="C238" i="13"/>
  <c r="D238" i="13"/>
  <c r="B239" i="13"/>
  <c r="C239" i="13"/>
  <c r="D239" i="13"/>
  <c r="B240" i="13"/>
  <c r="C240" i="13"/>
  <c r="D240" i="13"/>
  <c r="B241" i="13"/>
  <c r="C241" i="13"/>
  <c r="D241" i="13"/>
  <c r="B242" i="13"/>
  <c r="C242" i="13"/>
  <c r="D242" i="13"/>
  <c r="B243" i="13"/>
  <c r="C243" i="13"/>
  <c r="D243" i="13"/>
  <c r="B244" i="13"/>
  <c r="C244" i="13"/>
  <c r="D244" i="13"/>
  <c r="B245" i="13"/>
  <c r="C245" i="13"/>
  <c r="D245" i="13"/>
  <c r="B246" i="13"/>
  <c r="C246" i="13"/>
  <c r="D246" i="13"/>
  <c r="B247" i="13"/>
  <c r="C247" i="13"/>
  <c r="D247" i="13"/>
  <c r="B248" i="13"/>
  <c r="C248" i="13"/>
  <c r="D248" i="13"/>
  <c r="B249" i="13"/>
  <c r="C249" i="13"/>
  <c r="D249" i="13"/>
  <c r="B250" i="13"/>
  <c r="C250" i="13"/>
  <c r="D250" i="13"/>
  <c r="B251" i="13"/>
  <c r="C251" i="13"/>
  <c r="D251" i="13"/>
  <c r="B252" i="13"/>
  <c r="C252" i="13"/>
  <c r="D252" i="13"/>
  <c r="B253" i="13"/>
  <c r="C253" i="13"/>
  <c r="D253" i="13"/>
  <c r="B254" i="13"/>
  <c r="C254" i="13"/>
  <c r="D254" i="13"/>
  <c r="B255" i="13"/>
  <c r="C255" i="13"/>
  <c r="D255" i="13"/>
  <c r="B256" i="13"/>
  <c r="C256" i="13"/>
  <c r="D256" i="13"/>
  <c r="B257" i="13"/>
  <c r="C257" i="13"/>
  <c r="D257" i="13"/>
  <c r="B258" i="13"/>
  <c r="C258" i="13"/>
  <c r="D258" i="13"/>
  <c r="B259" i="13"/>
  <c r="C259" i="13"/>
  <c r="D259" i="13"/>
  <c r="B260" i="13"/>
  <c r="C260" i="13"/>
  <c r="D260" i="13"/>
  <c r="B261" i="13"/>
  <c r="C261" i="13"/>
  <c r="D261" i="13"/>
  <c r="B262" i="13"/>
  <c r="C262" i="13"/>
  <c r="D262" i="13"/>
  <c r="B263" i="13"/>
  <c r="C263" i="13"/>
  <c r="D263" i="13"/>
  <c r="B264" i="13"/>
  <c r="C264" i="13"/>
  <c r="D264" i="13"/>
  <c r="B265" i="13"/>
  <c r="C265" i="13"/>
  <c r="D265" i="13"/>
  <c r="B266" i="13"/>
  <c r="C266" i="13"/>
  <c r="D266" i="13"/>
  <c r="B267" i="13"/>
  <c r="C267" i="13"/>
  <c r="D267" i="13"/>
  <c r="B268" i="13"/>
  <c r="C268" i="13"/>
  <c r="D268" i="13"/>
  <c r="B269" i="13"/>
  <c r="C269" i="13"/>
  <c r="D269" i="13"/>
  <c r="B270" i="13"/>
  <c r="C270" i="13"/>
  <c r="D270" i="13"/>
  <c r="B271" i="13"/>
  <c r="C271" i="13"/>
  <c r="D271" i="13"/>
  <c r="B272" i="13"/>
  <c r="C272" i="13"/>
  <c r="D272" i="13"/>
  <c r="B273" i="13"/>
  <c r="C273" i="13"/>
  <c r="D273" i="13"/>
  <c r="B274" i="13"/>
  <c r="C274" i="13"/>
  <c r="D274" i="13"/>
  <c r="B275" i="13"/>
  <c r="C275" i="13"/>
  <c r="D275" i="13"/>
  <c r="B276" i="13"/>
  <c r="C276" i="13"/>
  <c r="D276" i="13"/>
  <c r="B277" i="13"/>
  <c r="C277" i="13"/>
  <c r="D277" i="13"/>
  <c r="B278" i="13"/>
  <c r="C278" i="13"/>
  <c r="D278" i="13"/>
  <c r="B279" i="13"/>
  <c r="C279" i="13"/>
  <c r="D279" i="13"/>
  <c r="B280" i="13"/>
  <c r="C280" i="13"/>
  <c r="D280" i="13"/>
  <c r="B281" i="13"/>
  <c r="C281" i="13"/>
  <c r="D281" i="13"/>
  <c r="B282" i="13"/>
  <c r="C282" i="13"/>
  <c r="D282" i="13"/>
  <c r="B283" i="13"/>
  <c r="C283" i="13"/>
  <c r="D283" i="13"/>
  <c r="B284" i="13"/>
  <c r="C284" i="13"/>
  <c r="D284" i="13"/>
  <c r="B285" i="13"/>
  <c r="C285" i="13"/>
  <c r="D285" i="13"/>
  <c r="B286" i="13"/>
  <c r="C286" i="13"/>
  <c r="D286" i="13"/>
  <c r="B287" i="13"/>
  <c r="C287" i="13"/>
  <c r="D287" i="13"/>
  <c r="B288" i="13"/>
  <c r="C288" i="13"/>
  <c r="D288" i="13"/>
  <c r="B289" i="13"/>
  <c r="C289" i="13"/>
  <c r="D289" i="13"/>
  <c r="B290" i="13"/>
  <c r="C290" i="13"/>
  <c r="D290" i="13"/>
  <c r="B291" i="13"/>
  <c r="C291" i="13"/>
  <c r="D291" i="13"/>
  <c r="B292" i="13"/>
  <c r="C292" i="13"/>
  <c r="D292" i="13"/>
  <c r="B293" i="13"/>
  <c r="C293" i="13"/>
  <c r="D293" i="13"/>
  <c r="C6" i="13"/>
  <c r="B6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C394" i="29"/>
  <c r="C393" i="29"/>
  <c r="C392" i="29"/>
  <c r="C314" i="29"/>
  <c r="C313" i="29"/>
  <c r="C312" i="29"/>
  <c r="C311" i="29"/>
  <c r="C310" i="29"/>
  <c r="C309" i="29"/>
  <c r="C308" i="29"/>
  <c r="C154" i="29"/>
  <c r="C153" i="29"/>
  <c r="C152" i="29"/>
  <c r="C68" i="29"/>
  <c r="C69" i="29"/>
  <c r="C70" i="29"/>
  <c r="C71" i="29"/>
  <c r="C72" i="29"/>
  <c r="C73" i="29"/>
  <c r="C74" i="29"/>
  <c r="D314" i="29"/>
  <c r="B314" i="29"/>
  <c r="D313" i="29"/>
  <c r="B313" i="29"/>
  <c r="D312" i="29"/>
  <c r="B312" i="29"/>
  <c r="D311" i="29"/>
  <c r="B311" i="29"/>
  <c r="D310" i="29"/>
  <c r="B310" i="29"/>
  <c r="D309" i="29"/>
  <c r="B309" i="29"/>
  <c r="D308" i="29"/>
  <c r="B308" i="29"/>
  <c r="D74" i="29"/>
  <c r="B74" i="29"/>
  <c r="D73" i="29"/>
  <c r="B73" i="29"/>
  <c r="D72" i="29"/>
  <c r="B72" i="29"/>
  <c r="D71" i="29"/>
  <c r="B71" i="29"/>
  <c r="D70" i="29"/>
  <c r="B70" i="29"/>
  <c r="D69" i="29"/>
  <c r="B69" i="29"/>
  <c r="D68" i="29"/>
  <c r="B68" i="29"/>
  <c r="I7" i="33" a="1"/>
  <c r="I7" i="33" s="1"/>
  <c r="I8" i="33" a="1"/>
  <c r="I8" i="33" s="1"/>
  <c r="F19" i="26" l="1"/>
  <c r="F18" i="26"/>
  <c r="F17" i="26"/>
  <c r="F16" i="26"/>
  <c r="F15" i="26"/>
  <c r="F14" i="26"/>
  <c r="F13" i="26"/>
  <c r="F12" i="26"/>
  <c r="F11" i="26"/>
  <c r="E19" i="26"/>
  <c r="E18" i="26"/>
  <c r="E17" i="26"/>
  <c r="E16" i="26"/>
  <c r="E15" i="26"/>
  <c r="E14" i="26"/>
  <c r="E11" i="26"/>
  <c r="E12" i="26"/>
  <c r="E13" i="26"/>
  <c r="I9" i="33" a="1"/>
  <c r="I9" i="33" s="1"/>
  <c r="I10" i="33" a="1"/>
  <c r="I10" i="33" s="1"/>
  <c r="I11" i="33" a="1"/>
  <c r="I11" i="33" s="1"/>
  <c r="I12" i="33" a="1"/>
  <c r="I12" i="33" s="1"/>
  <c r="H8" i="33" l="1" a="1"/>
  <c r="H8" i="33" s="1"/>
  <c r="I41" i="21"/>
  <c r="H12" i="33" l="1" a="1"/>
  <c r="H12" i="33" s="1"/>
  <c r="B9" i="33" a="1"/>
  <c r="B9" i="33" s="1"/>
  <c r="B19" i="33" a="1"/>
  <c r="B19" i="33" s="1"/>
  <c r="B7" i="33" a="1"/>
  <c r="B7" i="33" s="1"/>
  <c r="B15" i="33" a="1"/>
  <c r="B15" i="33" s="1"/>
  <c r="B5" i="33" a="1"/>
  <c r="B5" i="33" s="1"/>
  <c r="B13" i="33" a="1"/>
  <c r="B13" i="33" s="1"/>
  <c r="B17" i="33" a="1"/>
  <c r="B17" i="33" s="1"/>
  <c r="C9" i="26" l="1"/>
  <c r="G2" i="44" s="1"/>
  <c r="Q7" i="20"/>
  <c r="R7" i="20" s="1"/>
  <c r="S7" i="20" s="1"/>
  <c r="T7" i="20" s="1"/>
  <c r="Q8" i="20"/>
  <c r="R8" i="20" s="1"/>
  <c r="S8" i="20" s="1"/>
  <c r="Q9" i="20"/>
  <c r="R9" i="20" s="1"/>
  <c r="S9" i="20" s="1"/>
  <c r="Q10" i="20"/>
  <c r="Q11" i="20"/>
  <c r="R11" i="20" s="1"/>
  <c r="S11" i="20" s="1"/>
  <c r="Q12" i="20"/>
  <c r="R12" i="20" s="1"/>
  <c r="S12" i="20" s="1"/>
  <c r="Q13" i="20"/>
  <c r="R13" i="20" s="1"/>
  <c r="S13" i="20" s="1"/>
  <c r="Q14" i="20"/>
  <c r="R14" i="20" s="1"/>
  <c r="S14" i="20" s="1"/>
  <c r="Q15" i="20"/>
  <c r="R15" i="20" s="1"/>
  <c r="S15" i="20" s="1"/>
  <c r="T15" i="20" s="1"/>
  <c r="U15" i="20" s="1"/>
  <c r="Q16" i="20"/>
  <c r="Q17" i="20"/>
  <c r="R17" i="20" s="1"/>
  <c r="S17" i="20" s="1"/>
  <c r="Q18" i="20"/>
  <c r="Q19" i="20"/>
  <c r="R19" i="20" s="1"/>
  <c r="S19" i="20" s="1"/>
  <c r="Q20" i="20"/>
  <c r="R20" i="20" s="1"/>
  <c r="S20" i="20" s="1"/>
  <c r="Q21" i="20"/>
  <c r="R21" i="20" s="1"/>
  <c r="S21" i="20" s="1"/>
  <c r="Q22" i="20"/>
  <c r="R22" i="20" s="1"/>
  <c r="S22" i="20" s="1"/>
  <c r="Q23" i="20"/>
  <c r="R23" i="20" s="1"/>
  <c r="S23" i="20" s="1"/>
  <c r="Q24" i="20"/>
  <c r="Q25" i="20"/>
  <c r="R25" i="20" s="1"/>
  <c r="S25" i="20" s="1"/>
  <c r="T25" i="20" s="1"/>
  <c r="Q26" i="20"/>
  <c r="Q27" i="20"/>
  <c r="R27" i="20" s="1"/>
  <c r="S27" i="20" s="1"/>
  <c r="Q28" i="20"/>
  <c r="R28" i="20" s="1"/>
  <c r="S28" i="20" s="1"/>
  <c r="T28" i="20" s="1"/>
  <c r="Q29" i="20"/>
  <c r="Q30" i="20"/>
  <c r="R30" i="20" s="1"/>
  <c r="S30" i="20" s="1"/>
  <c r="Q31" i="20"/>
  <c r="R31" i="20" s="1"/>
  <c r="S31" i="20" s="1"/>
  <c r="Q32" i="20"/>
  <c r="R32" i="20" s="1"/>
  <c r="S32" i="20" s="1"/>
  <c r="Q33" i="20"/>
  <c r="R33" i="20" s="1"/>
  <c r="S33" i="20" s="1"/>
  <c r="T33" i="20" s="1"/>
  <c r="Q34" i="20"/>
  <c r="Q35" i="20"/>
  <c r="R35" i="20" s="1"/>
  <c r="S35" i="20" s="1"/>
  <c r="Q36" i="20"/>
  <c r="R36" i="20" s="1"/>
  <c r="S36" i="20" s="1"/>
  <c r="Q37" i="20"/>
  <c r="Q38" i="20"/>
  <c r="R38" i="20" s="1"/>
  <c r="S38" i="20" s="1"/>
  <c r="Q39" i="20"/>
  <c r="R39" i="20" s="1"/>
  <c r="S39" i="20" s="1"/>
  <c r="Q40" i="20"/>
  <c r="R40" i="20" s="1"/>
  <c r="S40" i="20" s="1"/>
  <c r="Q41" i="20"/>
  <c r="R41" i="20" s="1"/>
  <c r="S41" i="20" s="1"/>
  <c r="T41" i="20" s="1"/>
  <c r="Q42" i="20"/>
  <c r="Q43" i="20"/>
  <c r="R43" i="20" s="1"/>
  <c r="S43" i="20" s="1"/>
  <c r="T43" i="20" s="1"/>
  <c r="Q44" i="20"/>
  <c r="R44" i="20" s="1"/>
  <c r="S44" i="20" s="1"/>
  <c r="T44" i="20" s="1"/>
  <c r="Q45" i="20"/>
  <c r="R45" i="20" s="1"/>
  <c r="S45" i="20" s="1"/>
  <c r="Q46" i="20"/>
  <c r="R46" i="20" s="1"/>
  <c r="S46" i="20" s="1"/>
  <c r="Q47" i="20"/>
  <c r="R47" i="20" s="1"/>
  <c r="S47" i="20" s="1"/>
  <c r="T47" i="20" s="1"/>
  <c r="U47" i="20" s="1"/>
  <c r="Q48" i="20"/>
  <c r="Q49" i="20"/>
  <c r="R49" i="20" s="1"/>
  <c r="S49" i="20" s="1"/>
  <c r="Q50" i="20"/>
  <c r="Q51" i="20"/>
  <c r="R51" i="20" s="1"/>
  <c r="S51" i="20" s="1"/>
  <c r="Q52" i="20"/>
  <c r="R52" i="20" s="1"/>
  <c r="S52" i="20" s="1"/>
  <c r="T52" i="20" s="1"/>
  <c r="Q53" i="20"/>
  <c r="R53" i="20" s="1"/>
  <c r="S53" i="20" s="1"/>
  <c r="Q54" i="20"/>
  <c r="R54" i="20" s="1"/>
  <c r="S54" i="20" s="1"/>
  <c r="T54" i="20" s="1"/>
  <c r="Q55" i="20"/>
  <c r="R55" i="20" s="1"/>
  <c r="S55" i="20" s="1"/>
  <c r="Q56" i="20"/>
  <c r="R56" i="20" s="1"/>
  <c r="S56" i="20" s="1"/>
  <c r="Q57" i="20"/>
  <c r="R57" i="20" s="1"/>
  <c r="S57" i="20" s="1"/>
  <c r="Q58" i="20"/>
  <c r="Q59" i="20"/>
  <c r="R59" i="20" s="1"/>
  <c r="S59" i="20" s="1"/>
  <c r="Q60" i="20"/>
  <c r="R60" i="20" s="1"/>
  <c r="S60" i="20" s="1"/>
  <c r="T60" i="20" s="1"/>
  <c r="Q61" i="20"/>
  <c r="R61" i="20" s="1"/>
  <c r="S61" i="20" s="1"/>
  <c r="Q62" i="20"/>
  <c r="R62" i="20" s="1"/>
  <c r="S62" i="20" s="1"/>
  <c r="Q63" i="20"/>
  <c r="R63" i="20" s="1"/>
  <c r="S63" i="20" s="1"/>
  <c r="Q64" i="20"/>
  <c r="R64" i="20" s="1"/>
  <c r="S64" i="20" s="1"/>
  <c r="Q65" i="20"/>
  <c r="R65" i="20" s="1"/>
  <c r="S65" i="20" s="1"/>
  <c r="Q66" i="20"/>
  <c r="Q67" i="20"/>
  <c r="Q68" i="20"/>
  <c r="R68" i="20" s="1"/>
  <c r="S68" i="20" s="1"/>
  <c r="Q69" i="20"/>
  <c r="R69" i="20" s="1"/>
  <c r="S69" i="20" s="1"/>
  <c r="Q70" i="20"/>
  <c r="R70" i="20" s="1"/>
  <c r="S70" i="20" s="1"/>
  <c r="T70" i="20" s="1"/>
  <c r="Q71" i="20"/>
  <c r="R71" i="20" s="1"/>
  <c r="S71" i="20" s="1"/>
  <c r="Q72" i="20"/>
  <c r="R72" i="20" s="1"/>
  <c r="S72" i="20" s="1"/>
  <c r="Q73" i="20"/>
  <c r="R73" i="20" s="1"/>
  <c r="S73" i="20" s="1"/>
  <c r="Q74" i="20"/>
  <c r="Q75" i="20"/>
  <c r="Q76" i="20"/>
  <c r="R76" i="20" s="1"/>
  <c r="S76" i="20" s="1"/>
  <c r="T76" i="20" s="1"/>
  <c r="U76" i="20" s="1"/>
  <c r="Q77" i="20"/>
  <c r="R77" i="20" s="1"/>
  <c r="S77" i="20" s="1"/>
  <c r="Q78" i="20"/>
  <c r="Q79" i="20"/>
  <c r="R79" i="20" s="1"/>
  <c r="S79" i="20" s="1"/>
  <c r="T79" i="20" s="1"/>
  <c r="Q80" i="20"/>
  <c r="Q81" i="20"/>
  <c r="R81" i="20" s="1"/>
  <c r="S81" i="20" s="1"/>
  <c r="Q82" i="20"/>
  <c r="Q83" i="20"/>
  <c r="Q84" i="20"/>
  <c r="R84" i="20" s="1"/>
  <c r="S84" i="20" s="1"/>
  <c r="Q85" i="20"/>
  <c r="R85" i="20" s="1"/>
  <c r="S85" i="20" s="1"/>
  <c r="Q86" i="20"/>
  <c r="R86" i="20" s="1"/>
  <c r="S86" i="20" s="1"/>
  <c r="Q87" i="20"/>
  <c r="R87" i="20" s="1"/>
  <c r="S87" i="20" s="1"/>
  <c r="Q88" i="20"/>
  <c r="Q89" i="20"/>
  <c r="R89" i="20" s="1"/>
  <c r="S89" i="20" s="1"/>
  <c r="Q90" i="20"/>
  <c r="Q91" i="20"/>
  <c r="Q92" i="20"/>
  <c r="R92" i="20" s="1"/>
  <c r="S92" i="20" s="1"/>
  <c r="Q93" i="20"/>
  <c r="Q94" i="20"/>
  <c r="R94" i="20" s="1"/>
  <c r="S94" i="20" s="1"/>
  <c r="T94" i="20" s="1"/>
  <c r="Q95" i="20"/>
  <c r="R95" i="20" s="1"/>
  <c r="S95" i="20" s="1"/>
  <c r="T95" i="20" s="1"/>
  <c r="Q96" i="20"/>
  <c r="R96" i="20" s="1"/>
  <c r="S96" i="20" s="1"/>
  <c r="Q97" i="20"/>
  <c r="R97" i="20" s="1"/>
  <c r="S97" i="20" s="1"/>
  <c r="T97" i="20" s="1"/>
  <c r="Q98" i="20"/>
  <c r="Q99" i="20"/>
  <c r="R99" i="20" s="1"/>
  <c r="S99" i="20" s="1"/>
  <c r="Q100" i="20"/>
  <c r="Q101" i="20"/>
  <c r="Q102" i="20"/>
  <c r="R102" i="20" s="1"/>
  <c r="S102" i="20" s="1"/>
  <c r="Q103" i="20"/>
  <c r="R103" i="20" s="1"/>
  <c r="S103" i="20" s="1"/>
  <c r="Q104" i="20"/>
  <c r="R104" i="20" s="1"/>
  <c r="S104" i="20" s="1"/>
  <c r="Q105" i="20"/>
  <c r="R105" i="20" s="1"/>
  <c r="S105" i="20" s="1"/>
  <c r="T105" i="20" s="1"/>
  <c r="Q106" i="20"/>
  <c r="Q107" i="20"/>
  <c r="R107" i="20" s="1"/>
  <c r="S107" i="20" s="1"/>
  <c r="T107" i="20" s="1"/>
  <c r="Q108" i="20"/>
  <c r="R108" i="20" s="1"/>
  <c r="S108" i="20" s="1"/>
  <c r="T108" i="20" s="1"/>
  <c r="Q109" i="20"/>
  <c r="R109" i="20" s="1"/>
  <c r="S109" i="20" s="1"/>
  <c r="Q110" i="20"/>
  <c r="R110" i="20" s="1"/>
  <c r="S110" i="20" s="1"/>
  <c r="T110" i="20" s="1"/>
  <c r="Q111" i="20"/>
  <c r="R111" i="20" s="1"/>
  <c r="S111" i="20" s="1"/>
  <c r="T111" i="20" s="1"/>
  <c r="U111" i="20" s="1"/>
  <c r="Q112" i="20"/>
  <c r="R112" i="20" s="1"/>
  <c r="S112" i="20" s="1"/>
  <c r="Q113" i="20"/>
  <c r="R113" i="20" s="1"/>
  <c r="S113" i="20" s="1"/>
  <c r="T113" i="20" s="1"/>
  <c r="Q114" i="20"/>
  <c r="Q115" i="20"/>
  <c r="Q116" i="20"/>
  <c r="R116" i="20" s="1"/>
  <c r="S116" i="20" s="1"/>
  <c r="T116" i="20" s="1"/>
  <c r="Q117" i="20"/>
  <c r="R117" i="20" s="1"/>
  <c r="S117" i="20" s="1"/>
  <c r="Q118" i="20"/>
  <c r="R118" i="20" s="1"/>
  <c r="S118" i="20" s="1"/>
  <c r="Q119" i="20"/>
  <c r="R119" i="20" s="1"/>
  <c r="S119" i="20" s="1"/>
  <c r="Q120" i="20"/>
  <c r="R120" i="20" s="1"/>
  <c r="S120" i="20" s="1"/>
  <c r="Q121" i="20"/>
  <c r="R121" i="20" s="1"/>
  <c r="S121" i="20" s="1"/>
  <c r="Q122" i="20"/>
  <c r="Q123" i="20"/>
  <c r="R123" i="20" s="1"/>
  <c r="S123" i="20" s="1"/>
  <c r="Q124" i="20"/>
  <c r="R124" i="20" s="1"/>
  <c r="S124" i="20" s="1"/>
  <c r="Q125" i="20"/>
  <c r="R125" i="20" s="1"/>
  <c r="S125" i="20" s="1"/>
  <c r="Q126" i="20"/>
  <c r="Q127" i="20"/>
  <c r="Q128" i="20"/>
  <c r="R128" i="20" s="1"/>
  <c r="S128" i="20" s="1"/>
  <c r="Q129" i="20"/>
  <c r="R129" i="20" s="1"/>
  <c r="S129" i="20" s="1"/>
  <c r="Q130" i="20"/>
  <c r="R130" i="20" s="1"/>
  <c r="S130" i="20" s="1"/>
  <c r="Q131" i="20"/>
  <c r="Q132" i="20"/>
  <c r="R132" i="20" s="1"/>
  <c r="S132" i="20" s="1"/>
  <c r="T132" i="20" s="1"/>
  <c r="Q133" i="20"/>
  <c r="R133" i="20" s="1"/>
  <c r="S133" i="20" s="1"/>
  <c r="Q134" i="20"/>
  <c r="R134" i="20" s="1"/>
  <c r="S134" i="20" s="1"/>
  <c r="Q135" i="20"/>
  <c r="R135" i="20" s="1"/>
  <c r="S135" i="20" s="1"/>
  <c r="T135" i="20" s="1"/>
  <c r="Q136" i="20"/>
  <c r="Q137" i="20"/>
  <c r="R137" i="20" s="1"/>
  <c r="S137" i="20" s="1"/>
  <c r="Q138" i="20"/>
  <c r="Q139" i="20"/>
  <c r="R139" i="20" s="1"/>
  <c r="S139" i="20" s="1"/>
  <c r="Q140" i="20"/>
  <c r="R140" i="20" s="1"/>
  <c r="S140" i="20" s="1"/>
  <c r="Q141" i="20"/>
  <c r="R141" i="20" s="1"/>
  <c r="S141" i="20" s="1"/>
  <c r="Q142" i="20"/>
  <c r="R142" i="20" s="1"/>
  <c r="S142" i="20" s="1"/>
  <c r="T142" i="20" s="1"/>
  <c r="Q143" i="20"/>
  <c r="Q144" i="20"/>
  <c r="R144" i="20" s="1"/>
  <c r="S144" i="20" s="1"/>
  <c r="Q145" i="20"/>
  <c r="R145" i="20" s="1"/>
  <c r="S145" i="20" s="1"/>
  <c r="Q146" i="20"/>
  <c r="R146" i="20" s="1"/>
  <c r="S146" i="20" s="1"/>
  <c r="Q147" i="20"/>
  <c r="Q148" i="20"/>
  <c r="R148" i="20" s="1"/>
  <c r="S148" i="20" s="1"/>
  <c r="T148" i="20" s="1"/>
  <c r="Q149" i="20"/>
  <c r="R149" i="20" s="1"/>
  <c r="S149" i="20" s="1"/>
  <c r="Q150" i="20"/>
  <c r="R150" i="20" s="1"/>
  <c r="S150" i="20" s="1"/>
  <c r="Q151" i="20"/>
  <c r="R151" i="20" s="1"/>
  <c r="S151" i="20" s="1"/>
  <c r="T151" i="20" s="1"/>
  <c r="Q152" i="20"/>
  <c r="R152" i="20" s="1"/>
  <c r="S152" i="20" s="1"/>
  <c r="Q153" i="20"/>
  <c r="R153" i="20" s="1"/>
  <c r="S153" i="20" s="1"/>
  <c r="Q154" i="20"/>
  <c r="Q155" i="20"/>
  <c r="Q156" i="20"/>
  <c r="R156" i="20" s="1"/>
  <c r="S156" i="20" s="1"/>
  <c r="Q157" i="20"/>
  <c r="R157" i="20" s="1"/>
  <c r="S157" i="20" s="1"/>
  <c r="Q158" i="20"/>
  <c r="R158" i="20" s="1"/>
  <c r="S158" i="20" s="1"/>
  <c r="Q159" i="20"/>
  <c r="Q160" i="20"/>
  <c r="R160" i="20" s="1"/>
  <c r="S160" i="20" s="1"/>
  <c r="Q161" i="20"/>
  <c r="R161" i="20" s="1"/>
  <c r="S161" i="20" s="1"/>
  <c r="Q162" i="20"/>
  <c r="Q163" i="20"/>
  <c r="Q164" i="20"/>
  <c r="R164" i="20" s="1"/>
  <c r="S164" i="20" s="1"/>
  <c r="Q165" i="20"/>
  <c r="R165" i="20" s="1"/>
  <c r="S165" i="20" s="1"/>
  <c r="Q166" i="20"/>
  <c r="R166" i="20" s="1"/>
  <c r="S166" i="20" s="1"/>
  <c r="Q167" i="20"/>
  <c r="R167" i="20" s="1"/>
  <c r="S167" i="20" s="1"/>
  <c r="Q168" i="20"/>
  <c r="R168" i="20" s="1"/>
  <c r="S168" i="20" s="1"/>
  <c r="Q169" i="20"/>
  <c r="R169" i="20" s="1"/>
  <c r="S169" i="20" s="1"/>
  <c r="Q170" i="20"/>
  <c r="Q171" i="20"/>
  <c r="R171" i="20" s="1"/>
  <c r="S171" i="20" s="1"/>
  <c r="T171" i="20" s="1"/>
  <c r="U171" i="20" s="1"/>
  <c r="Q172" i="20"/>
  <c r="R172" i="20" s="1"/>
  <c r="S172" i="20" s="1"/>
  <c r="Q173" i="20"/>
  <c r="R173" i="20" s="1"/>
  <c r="S173" i="20" s="1"/>
  <c r="Q174" i="20"/>
  <c r="R174" i="20" s="1"/>
  <c r="S174" i="20" s="1"/>
  <c r="Q175" i="20"/>
  <c r="Q176" i="20"/>
  <c r="Q177" i="20"/>
  <c r="R177" i="20" s="1"/>
  <c r="S177" i="20" s="1"/>
  <c r="T177" i="20" s="1"/>
  <c r="Q178" i="20"/>
  <c r="R178" i="20" s="1"/>
  <c r="S178" i="20" s="1"/>
  <c r="Q179" i="20"/>
  <c r="R179" i="20" s="1"/>
  <c r="S179" i="20" s="1"/>
  <c r="Q180" i="20"/>
  <c r="R180" i="20" s="1"/>
  <c r="S180" i="20" s="1"/>
  <c r="Q181" i="20"/>
  <c r="R181" i="20" s="1"/>
  <c r="S181" i="20" s="1"/>
  <c r="T181" i="20" s="1"/>
  <c r="U181" i="20" s="1"/>
  <c r="Q182" i="20"/>
  <c r="R182" i="20" s="1"/>
  <c r="S182" i="20" s="1"/>
  <c r="Q183" i="20"/>
  <c r="R183" i="20" s="1"/>
  <c r="S183" i="20" s="1"/>
  <c r="Q184" i="20"/>
  <c r="Q185" i="20"/>
  <c r="R185" i="20" s="1"/>
  <c r="S185" i="20" s="1"/>
  <c r="Q186" i="20"/>
  <c r="Q187" i="20"/>
  <c r="R187" i="20" s="1"/>
  <c r="S187" i="20" s="1"/>
  <c r="Q188" i="20"/>
  <c r="R188" i="20" s="1"/>
  <c r="S188" i="20" s="1"/>
  <c r="Q189" i="20"/>
  <c r="R189" i="20" s="1"/>
  <c r="S189" i="20" s="1"/>
  <c r="Q190" i="20"/>
  <c r="R190" i="20" s="1"/>
  <c r="S190" i="20" s="1"/>
  <c r="Q191" i="20"/>
  <c r="R191" i="20" s="1"/>
  <c r="S191" i="20" s="1"/>
  <c r="Q192" i="20"/>
  <c r="R192" i="20" s="1"/>
  <c r="S192" i="20" s="1"/>
  <c r="T192" i="20" s="1"/>
  <c r="Q193" i="20"/>
  <c r="R193" i="20" s="1"/>
  <c r="S193" i="20" s="1"/>
  <c r="Q194" i="20"/>
  <c r="Q195" i="20"/>
  <c r="R195" i="20" s="1"/>
  <c r="S195" i="20" s="1"/>
  <c r="T195" i="20" s="1"/>
  <c r="U195" i="20" s="1"/>
  <c r="Q196" i="20"/>
  <c r="R196" i="20" s="1"/>
  <c r="S196" i="20" s="1"/>
  <c r="Q197" i="20"/>
  <c r="R197" i="20" s="1"/>
  <c r="S197" i="20" s="1"/>
  <c r="T197" i="20" s="1"/>
  <c r="U197" i="20" s="1"/>
  <c r="Q198" i="20"/>
  <c r="R198" i="20" s="1"/>
  <c r="S198" i="20" s="1"/>
  <c r="T198" i="20" s="1"/>
  <c r="Q199" i="20"/>
  <c r="R199" i="20" s="1"/>
  <c r="S199" i="20" s="1"/>
  <c r="Q200" i="20"/>
  <c r="R200" i="20" s="1"/>
  <c r="S200" i="20" s="1"/>
  <c r="Q201" i="20"/>
  <c r="R201" i="20" s="1"/>
  <c r="S201" i="20" s="1"/>
  <c r="Q202" i="20"/>
  <c r="R202" i="20" s="1"/>
  <c r="S202" i="20" s="1"/>
  <c r="Q203" i="20"/>
  <c r="R203" i="20" s="1"/>
  <c r="S203" i="20" s="1"/>
  <c r="T203" i="20" s="1"/>
  <c r="Q204" i="20"/>
  <c r="R204" i="20" s="1"/>
  <c r="S204" i="20" s="1"/>
  <c r="Q205" i="20"/>
  <c r="R205" i="20" s="1"/>
  <c r="S205" i="20" s="1"/>
  <c r="Q206" i="20"/>
  <c r="R206" i="20" s="1"/>
  <c r="S206" i="20" s="1"/>
  <c r="Q207" i="20"/>
  <c r="R207" i="20" s="1"/>
  <c r="S207" i="20" s="1"/>
  <c r="Q208" i="20"/>
  <c r="R208" i="20" s="1"/>
  <c r="S208" i="20" s="1"/>
  <c r="Q209" i="20"/>
  <c r="R209" i="20" s="1"/>
  <c r="S209" i="20" s="1"/>
  <c r="Q210" i="20"/>
  <c r="R210" i="20" s="1"/>
  <c r="S210" i="20" s="1"/>
  <c r="Q211" i="20"/>
  <c r="R211" i="20" s="1"/>
  <c r="S211" i="20" s="1"/>
  <c r="Q212" i="20"/>
  <c r="R212" i="20" s="1"/>
  <c r="S212" i="20" s="1"/>
  <c r="Q213" i="20"/>
  <c r="R213" i="20" s="1"/>
  <c r="S213" i="20" s="1"/>
  <c r="T213" i="20" s="1"/>
  <c r="Q214" i="20"/>
  <c r="R214" i="20" s="1"/>
  <c r="S214" i="20" s="1"/>
  <c r="Q215" i="20"/>
  <c r="R215" i="20" s="1"/>
  <c r="S215" i="20" s="1"/>
  <c r="Q216" i="20"/>
  <c r="Q217" i="20"/>
  <c r="R217" i="20" s="1"/>
  <c r="S217" i="20" s="1"/>
  <c r="Q218" i="20"/>
  <c r="R218" i="20" s="1"/>
  <c r="S218" i="20" s="1"/>
  <c r="Q219" i="20"/>
  <c r="R219" i="20" s="1"/>
  <c r="S219" i="20" s="1"/>
  <c r="T219" i="20" s="1"/>
  <c r="U219" i="20" s="1"/>
  <c r="Q220" i="20"/>
  <c r="Q221" i="20"/>
  <c r="R221" i="20" s="1"/>
  <c r="S221" i="20" s="1"/>
  <c r="Q222" i="20"/>
  <c r="R222" i="20" s="1"/>
  <c r="S222" i="20" s="1"/>
  <c r="T222" i="20" s="1"/>
  <c r="Q223" i="20"/>
  <c r="R223" i="20" s="1"/>
  <c r="S223" i="20" s="1"/>
  <c r="Q224" i="20"/>
  <c r="R224" i="20" s="1"/>
  <c r="S224" i="20" s="1"/>
  <c r="Q225" i="20"/>
  <c r="R225" i="20" s="1"/>
  <c r="S225" i="20" s="1"/>
  <c r="Q226" i="20"/>
  <c r="R226" i="20" s="1"/>
  <c r="S226" i="20" s="1"/>
  <c r="T226" i="20" s="1"/>
  <c r="Q227" i="20"/>
  <c r="R227" i="20" s="1"/>
  <c r="S227" i="20" s="1"/>
  <c r="T227" i="20" s="1"/>
  <c r="Q228" i="20"/>
  <c r="R228" i="20" s="1"/>
  <c r="S228" i="20" s="1"/>
  <c r="Q229" i="20"/>
  <c r="R229" i="20" s="1"/>
  <c r="S229" i="20" s="1"/>
  <c r="Q230" i="20"/>
  <c r="R230" i="20" s="1"/>
  <c r="S230" i="20" s="1"/>
  <c r="Q231" i="20"/>
  <c r="R231" i="20" s="1"/>
  <c r="S231" i="20" s="1"/>
  <c r="Q232" i="20"/>
  <c r="Q233" i="20"/>
  <c r="R233" i="20" s="1"/>
  <c r="S233" i="20" s="1"/>
  <c r="Q234" i="20"/>
  <c r="R234" i="20" s="1"/>
  <c r="S234" i="20" s="1"/>
  <c r="Q235" i="20"/>
  <c r="R235" i="20" s="1"/>
  <c r="S235" i="20" s="1"/>
  <c r="Q236" i="20"/>
  <c r="Q237" i="20"/>
  <c r="R237" i="20" s="1"/>
  <c r="S237" i="20" s="1"/>
  <c r="T237" i="20" s="1"/>
  <c r="Q238" i="20"/>
  <c r="R238" i="20" s="1"/>
  <c r="S238" i="20" s="1"/>
  <c r="Q239" i="20"/>
  <c r="R239" i="20" s="1"/>
  <c r="S239" i="20" s="1"/>
  <c r="Q240" i="20"/>
  <c r="R240" i="20" s="1"/>
  <c r="S240" i="20" s="1"/>
  <c r="Q241" i="20"/>
  <c r="R241" i="20" s="1"/>
  <c r="S241" i="20" s="1"/>
  <c r="Q242" i="20"/>
  <c r="R242" i="20" s="1"/>
  <c r="S242" i="20" s="1"/>
  <c r="T242" i="20" s="1"/>
  <c r="Q243" i="20"/>
  <c r="R243" i="20" s="1"/>
  <c r="S243" i="20" s="1"/>
  <c r="T243" i="20" s="1"/>
  <c r="Q244" i="20"/>
  <c r="R244" i="20" s="1"/>
  <c r="S244" i="20" s="1"/>
  <c r="Q245" i="20"/>
  <c r="R245" i="20" s="1"/>
  <c r="S245" i="20" s="1"/>
  <c r="Q246" i="20"/>
  <c r="R246" i="20" s="1"/>
  <c r="S246" i="20" s="1"/>
  <c r="Q247" i="20"/>
  <c r="R247" i="20" s="1"/>
  <c r="S247" i="20" s="1"/>
  <c r="Q248" i="20"/>
  <c r="Q249" i="20"/>
  <c r="R249" i="20" s="1"/>
  <c r="S249" i="20" s="1"/>
  <c r="Q250" i="20"/>
  <c r="R250" i="20" s="1"/>
  <c r="S250" i="20" s="1"/>
  <c r="Q251" i="20"/>
  <c r="R251" i="20" s="1"/>
  <c r="S251" i="20" s="1"/>
  <c r="T251" i="20" s="1"/>
  <c r="U251" i="20" s="1"/>
  <c r="Q252" i="20"/>
  <c r="Q253" i="20"/>
  <c r="Q254" i="20"/>
  <c r="R254" i="20" s="1"/>
  <c r="S254" i="20" s="1"/>
  <c r="Q255" i="20"/>
  <c r="R255" i="20" s="1"/>
  <c r="S255" i="20" s="1"/>
  <c r="Q256" i="20"/>
  <c r="R256" i="20" s="1"/>
  <c r="S256" i="20" s="1"/>
  <c r="Q257" i="20"/>
  <c r="Q258" i="20"/>
  <c r="R258" i="20" s="1"/>
  <c r="S258" i="20" s="1"/>
  <c r="T258" i="20" s="1"/>
  <c r="Q259" i="20"/>
  <c r="R259" i="20" s="1"/>
  <c r="S259" i="20" s="1"/>
  <c r="Q260" i="20"/>
  <c r="R260" i="20" s="1"/>
  <c r="S260" i="20" s="1"/>
  <c r="T260" i="20" s="1"/>
  <c r="Q261" i="20"/>
  <c r="R261" i="20" s="1"/>
  <c r="S261" i="20" s="1"/>
  <c r="Q262" i="20"/>
  <c r="R262" i="20" s="1"/>
  <c r="S262" i="20" s="1"/>
  <c r="Q263" i="20"/>
  <c r="R263" i="20" s="1"/>
  <c r="S263" i="20" s="1"/>
  <c r="Q264" i="20"/>
  <c r="R264" i="20" s="1"/>
  <c r="S264" i="20" s="1"/>
  <c r="Q265" i="20"/>
  <c r="R265" i="20" s="1"/>
  <c r="S265" i="20" s="1"/>
  <c r="Q266" i="20"/>
  <c r="R266" i="20" s="1"/>
  <c r="S266" i="20" s="1"/>
  <c r="Q267" i="20"/>
  <c r="R267" i="20" s="1"/>
  <c r="S267" i="20" s="1"/>
  <c r="Q268" i="20"/>
  <c r="R268" i="20" s="1"/>
  <c r="S268" i="20" s="1"/>
  <c r="Q269" i="20"/>
  <c r="R269" i="20" s="1"/>
  <c r="S269" i="20" s="1"/>
  <c r="Q270" i="20"/>
  <c r="R270" i="20" s="1"/>
  <c r="S270" i="20" s="1"/>
  <c r="Q271" i="20"/>
  <c r="R271" i="20" s="1"/>
  <c r="S271" i="20" s="1"/>
  <c r="Q272" i="20"/>
  <c r="R272" i="20" s="1"/>
  <c r="S272" i="20" s="1"/>
  <c r="T272" i="20" s="1"/>
  <c r="Q273" i="20"/>
  <c r="R273" i="20" s="1"/>
  <c r="S273" i="20" s="1"/>
  <c r="Q274" i="20"/>
  <c r="R274" i="20" s="1"/>
  <c r="S274" i="20" s="1"/>
  <c r="Q275" i="20"/>
  <c r="R275" i="20" s="1"/>
  <c r="S275" i="20" s="1"/>
  <c r="Q276" i="20"/>
  <c r="R276" i="20" s="1"/>
  <c r="S276" i="20" s="1"/>
  <c r="Q277" i="20"/>
  <c r="Q278" i="20"/>
  <c r="R278" i="20" s="1"/>
  <c r="S278" i="20" s="1"/>
  <c r="T278" i="20" s="1"/>
  <c r="Q279" i="20"/>
  <c r="R279" i="20" s="1"/>
  <c r="S279" i="20" s="1"/>
  <c r="Q280" i="20"/>
  <c r="R280" i="20" s="1"/>
  <c r="S280" i="20" s="1"/>
  <c r="Q281" i="20"/>
  <c r="Q282" i="20"/>
  <c r="R282" i="20" s="1"/>
  <c r="S282" i="20" s="1"/>
  <c r="Q283" i="20"/>
  <c r="R283" i="20" s="1"/>
  <c r="S283" i="20" s="1"/>
  <c r="Q284" i="20"/>
  <c r="R284" i="20" s="1"/>
  <c r="S284" i="20" s="1"/>
  <c r="Q285" i="20"/>
  <c r="Q286" i="20"/>
  <c r="R286" i="20" s="1"/>
  <c r="S286" i="20" s="1"/>
  <c r="T286" i="20" s="1"/>
  <c r="Q287" i="20"/>
  <c r="R287" i="20" s="1"/>
  <c r="S287" i="20" s="1"/>
  <c r="Q288" i="20"/>
  <c r="R288" i="20" s="1"/>
  <c r="S288" i="20" s="1"/>
  <c r="Q289" i="20"/>
  <c r="Q290" i="20"/>
  <c r="R290" i="20" s="1"/>
  <c r="S290" i="20" s="1"/>
  <c r="Q291" i="20"/>
  <c r="R291" i="20" s="1"/>
  <c r="S291" i="20" s="1"/>
  <c r="Q292" i="20"/>
  <c r="R292" i="20" s="1"/>
  <c r="S292" i="20" s="1"/>
  <c r="Q293" i="20"/>
  <c r="J7" i="22"/>
  <c r="M94" i="40" s="1"/>
  <c r="J8" i="22"/>
  <c r="M95" i="40" s="1"/>
  <c r="J9" i="22"/>
  <c r="M96" i="40" s="1"/>
  <c r="J10" i="22"/>
  <c r="M97" i="40" s="1"/>
  <c r="J11" i="22"/>
  <c r="M99" i="40" s="1"/>
  <c r="J12" i="22"/>
  <c r="M101" i="40" s="1"/>
  <c r="J13" i="22"/>
  <c r="M102" i="40" s="1"/>
  <c r="J14" i="22"/>
  <c r="M113" i="40" s="1"/>
  <c r="J15" i="22"/>
  <c r="M114" i="40" s="1"/>
  <c r="J16" i="22"/>
  <c r="M115" i="40" s="1"/>
  <c r="J17" i="22"/>
  <c r="M116" i="40" s="1"/>
  <c r="J18" i="22"/>
  <c r="M117" i="40" s="1"/>
  <c r="J19" i="22"/>
  <c r="M118" i="40" s="1"/>
  <c r="J20" i="22"/>
  <c r="M133" i="40" s="1"/>
  <c r="J21" i="22"/>
  <c r="M134" i="40" s="1"/>
  <c r="J22" i="22"/>
  <c r="M135" i="40" s="1"/>
  <c r="J23" i="22"/>
  <c r="M136" i="40" s="1"/>
  <c r="J24" i="22"/>
  <c r="M137" i="40" s="1"/>
  <c r="J25" i="22"/>
  <c r="M138" i="40" s="1"/>
  <c r="J26" i="22"/>
  <c r="M33" i="40" s="1"/>
  <c r="J27" i="22"/>
  <c r="M34" i="40" s="1"/>
  <c r="J28" i="22"/>
  <c r="M35" i="40" s="1"/>
  <c r="J29" i="22"/>
  <c r="M36" i="40" s="1"/>
  <c r="J30" i="22"/>
  <c r="M37" i="40" s="1"/>
  <c r="J31" i="22"/>
  <c r="M38" i="40" s="1"/>
  <c r="J32" i="22"/>
  <c r="M39" i="40" s="1"/>
  <c r="J33" i="22"/>
  <c r="M53" i="40" s="1"/>
  <c r="J34" i="22"/>
  <c r="M54" i="40" s="1"/>
  <c r="J35" i="22"/>
  <c r="M55" i="40" s="1"/>
  <c r="J36" i="22"/>
  <c r="M57" i="40" s="1"/>
  <c r="J37" i="22"/>
  <c r="M58" i="40" s="1"/>
  <c r="J38" i="22"/>
  <c r="M59" i="40" s="1"/>
  <c r="J39" i="22"/>
  <c r="M61" i="40" s="1"/>
  <c r="J40" i="22"/>
  <c r="M73" i="40" s="1"/>
  <c r="J41" i="22"/>
  <c r="M74" i="40" s="1"/>
  <c r="J42" i="22"/>
  <c r="M75" i="40" s="1"/>
  <c r="J43" i="22"/>
  <c r="M76" i="40" s="1"/>
  <c r="J44" i="22"/>
  <c r="M77" i="40" s="1"/>
  <c r="J45" i="22"/>
  <c r="M78" i="40" s="1"/>
  <c r="J46" i="22"/>
  <c r="M79" i="40" s="1"/>
  <c r="J47" i="22"/>
  <c r="M80" i="40" s="1"/>
  <c r="J48" i="22"/>
  <c r="M81" i="40" s="1"/>
  <c r="J49" i="22"/>
  <c r="M82" i="40" s="1"/>
  <c r="J50" i="22"/>
  <c r="M43" i="40" s="1"/>
  <c r="J51" i="22"/>
  <c r="M44" i="40" s="1"/>
  <c r="J52" i="22"/>
  <c r="M45" i="40" s="1"/>
  <c r="J53" i="22"/>
  <c r="M46" i="40" s="1"/>
  <c r="Q46" i="40" s="1"/>
  <c r="J54" i="22"/>
  <c r="M47" i="40" s="1"/>
  <c r="J55" i="22"/>
  <c r="M48" i="40" s="1"/>
  <c r="J56" i="22"/>
  <c r="M49" i="40" s="1"/>
  <c r="J57" i="22"/>
  <c r="M50" i="40" s="1"/>
  <c r="J58" i="22"/>
  <c r="M63" i="40" s="1"/>
  <c r="J59" i="22"/>
  <c r="M64" i="40" s="1"/>
  <c r="J60" i="22"/>
  <c r="M65" i="40" s="1"/>
  <c r="J61" i="22"/>
  <c r="M66" i="40" s="1"/>
  <c r="J62" i="22"/>
  <c r="M67" i="40" s="1"/>
  <c r="J63" i="22"/>
  <c r="M68" i="40" s="1"/>
  <c r="J64" i="22"/>
  <c r="M69" i="40" s="1"/>
  <c r="J65" i="22"/>
  <c r="M70" i="40" s="1"/>
  <c r="J66" i="22"/>
  <c r="M71" i="40" s="1"/>
  <c r="J67" i="22"/>
  <c r="M72" i="40" s="1"/>
  <c r="J68" i="22"/>
  <c r="M83" i="40" s="1"/>
  <c r="J69" i="22"/>
  <c r="M84" i="40" s="1"/>
  <c r="J70" i="22"/>
  <c r="M85" i="40" s="1"/>
  <c r="J71" i="22"/>
  <c r="M86" i="40" s="1"/>
  <c r="J72" i="22"/>
  <c r="M87" i="40" s="1"/>
  <c r="J73" i="22"/>
  <c r="M88" i="40" s="1"/>
  <c r="J74" i="22"/>
  <c r="M89" i="40" s="1"/>
  <c r="J75" i="22"/>
  <c r="M90" i="40" s="1"/>
  <c r="J76" i="22"/>
  <c r="M103" i="40" s="1"/>
  <c r="J77" i="22"/>
  <c r="M104" i="40" s="1"/>
  <c r="J78" i="22"/>
  <c r="M105" i="40" s="1"/>
  <c r="J79" i="22"/>
  <c r="M106" i="40" s="1"/>
  <c r="J80" i="22"/>
  <c r="M107" i="40" s="1"/>
  <c r="J81" i="22"/>
  <c r="M108" i="40" s="1"/>
  <c r="J82" i="22"/>
  <c r="M123" i="40" s="1"/>
  <c r="Q123" i="40" s="1"/>
  <c r="J83" i="22"/>
  <c r="M124" i="40" s="1"/>
  <c r="J84" i="22"/>
  <c r="M125" i="40" s="1"/>
  <c r="J85" i="22"/>
  <c r="M126" i="40" s="1"/>
  <c r="J86" i="22"/>
  <c r="M127" i="40" s="1"/>
  <c r="Q127" i="40" s="1"/>
  <c r="J87" i="22"/>
  <c r="M128" i="40" s="1"/>
  <c r="J88" i="22"/>
  <c r="M129" i="40" s="1"/>
  <c r="J89" i="22"/>
  <c r="M143" i="40" s="1"/>
  <c r="J90" i="22"/>
  <c r="M144" i="40" s="1"/>
  <c r="J91" i="22"/>
  <c r="M145" i="40" s="1"/>
  <c r="J92" i="22"/>
  <c r="M146" i="40" s="1"/>
  <c r="J93" i="22"/>
  <c r="M147" i="40" s="1"/>
  <c r="J94" i="22"/>
  <c r="M148" i="40" s="1"/>
  <c r="J95" i="22"/>
  <c r="M149" i="40" s="1"/>
  <c r="J96" i="22"/>
  <c r="M150" i="40" s="1"/>
  <c r="J97" i="22"/>
  <c r="M151" i="40" s="1"/>
  <c r="J98" i="22"/>
  <c r="M152" i="40" s="1"/>
  <c r="J99" i="22"/>
  <c r="J100" i="22"/>
  <c r="J101" i="22"/>
  <c r="J102" i="22"/>
  <c r="J103" i="22"/>
  <c r="J104" i="22"/>
  <c r="J105" i="22"/>
  <c r="J106" i="22"/>
  <c r="J107" i="22"/>
  <c r="J108" i="22"/>
  <c r="J109" i="22"/>
  <c r="J110" i="22"/>
  <c r="J111" i="22"/>
  <c r="J112" i="22"/>
  <c r="J113" i="22"/>
  <c r="J114" i="22"/>
  <c r="J115" i="22"/>
  <c r="J116" i="22"/>
  <c r="J117" i="22"/>
  <c r="J118" i="22"/>
  <c r="J119" i="22"/>
  <c r="J120" i="22"/>
  <c r="J121" i="22"/>
  <c r="J122" i="22"/>
  <c r="J123" i="22"/>
  <c r="J124" i="22"/>
  <c r="J125" i="22"/>
  <c r="J126" i="22"/>
  <c r="J127" i="22"/>
  <c r="J128" i="22"/>
  <c r="J129" i="22"/>
  <c r="J130" i="22"/>
  <c r="J131" i="22"/>
  <c r="J132" i="22"/>
  <c r="J133" i="22"/>
  <c r="J134" i="22"/>
  <c r="J135" i="22"/>
  <c r="J136" i="22"/>
  <c r="J137" i="22"/>
  <c r="J138" i="22"/>
  <c r="J139" i="22"/>
  <c r="J140" i="22"/>
  <c r="J141" i="22"/>
  <c r="J142" i="22"/>
  <c r="J143" i="22"/>
  <c r="J144" i="22"/>
  <c r="J145" i="22"/>
  <c r="J146" i="22"/>
  <c r="J147" i="22"/>
  <c r="J148" i="22"/>
  <c r="J149" i="22"/>
  <c r="J150" i="22"/>
  <c r="J151" i="22"/>
  <c r="J152" i="22"/>
  <c r="J153" i="22"/>
  <c r="J154" i="22"/>
  <c r="J155" i="22"/>
  <c r="J156" i="22"/>
  <c r="J157" i="22"/>
  <c r="J158" i="22"/>
  <c r="J159" i="22"/>
  <c r="J160" i="22"/>
  <c r="J161" i="22"/>
  <c r="J162" i="22"/>
  <c r="J163" i="22"/>
  <c r="J164" i="22"/>
  <c r="J165" i="22"/>
  <c r="J166" i="22"/>
  <c r="J167" i="22"/>
  <c r="J168" i="22"/>
  <c r="J169" i="22"/>
  <c r="J170" i="22"/>
  <c r="J171" i="22"/>
  <c r="J172" i="22"/>
  <c r="J173" i="22"/>
  <c r="J174" i="22"/>
  <c r="J175" i="22"/>
  <c r="J176" i="22"/>
  <c r="J177" i="22"/>
  <c r="J178" i="22"/>
  <c r="J179" i="22"/>
  <c r="J180" i="22"/>
  <c r="J181" i="22"/>
  <c r="J182" i="22"/>
  <c r="J183" i="22"/>
  <c r="J184" i="22"/>
  <c r="J185" i="22"/>
  <c r="J186" i="22"/>
  <c r="J187" i="22"/>
  <c r="J188" i="22"/>
  <c r="J189" i="22"/>
  <c r="J190" i="22"/>
  <c r="J191" i="22"/>
  <c r="J192" i="22"/>
  <c r="J193" i="22"/>
  <c r="J194" i="22"/>
  <c r="J195" i="22"/>
  <c r="J196" i="22"/>
  <c r="J197" i="22"/>
  <c r="J198" i="22"/>
  <c r="J199" i="22"/>
  <c r="J200" i="22"/>
  <c r="J201" i="22"/>
  <c r="J202" i="22"/>
  <c r="J203" i="22"/>
  <c r="J204" i="22"/>
  <c r="J205" i="22"/>
  <c r="J206" i="22"/>
  <c r="J207" i="22"/>
  <c r="J208" i="22"/>
  <c r="J209" i="22"/>
  <c r="J210" i="22"/>
  <c r="J211" i="22"/>
  <c r="J212" i="22"/>
  <c r="J213" i="22"/>
  <c r="J214" i="22"/>
  <c r="J215" i="22"/>
  <c r="J216" i="22"/>
  <c r="J217" i="22"/>
  <c r="J218" i="22"/>
  <c r="J219" i="22"/>
  <c r="J220" i="22"/>
  <c r="J221" i="22"/>
  <c r="J222" i="22"/>
  <c r="J223" i="22"/>
  <c r="J224" i="22"/>
  <c r="J225" i="22"/>
  <c r="J226" i="22"/>
  <c r="J227" i="22"/>
  <c r="J228" i="22"/>
  <c r="J229" i="22"/>
  <c r="J230" i="22"/>
  <c r="J231" i="22"/>
  <c r="J232" i="22"/>
  <c r="J233" i="22"/>
  <c r="J234" i="22"/>
  <c r="J235" i="22"/>
  <c r="J236" i="22"/>
  <c r="J237" i="22"/>
  <c r="J238" i="22"/>
  <c r="J239" i="22"/>
  <c r="J240" i="22"/>
  <c r="J241" i="22"/>
  <c r="J242" i="22"/>
  <c r="J243" i="22"/>
  <c r="J244" i="22"/>
  <c r="J245" i="22"/>
  <c r="J246" i="22"/>
  <c r="J247" i="22"/>
  <c r="J248" i="22"/>
  <c r="J249" i="22"/>
  <c r="J250" i="22"/>
  <c r="J251" i="22"/>
  <c r="J252" i="22"/>
  <c r="J253" i="22"/>
  <c r="J254" i="22"/>
  <c r="J255" i="22"/>
  <c r="J256" i="22"/>
  <c r="J257" i="22"/>
  <c r="J258" i="22"/>
  <c r="J259" i="22"/>
  <c r="J260" i="22"/>
  <c r="J261" i="22"/>
  <c r="J262" i="22"/>
  <c r="J263" i="22"/>
  <c r="J264" i="22"/>
  <c r="J265" i="22"/>
  <c r="J266" i="22"/>
  <c r="J267" i="22"/>
  <c r="J268" i="22"/>
  <c r="J269" i="22"/>
  <c r="J270" i="22"/>
  <c r="J271" i="22"/>
  <c r="J272" i="22"/>
  <c r="J273" i="22"/>
  <c r="J274" i="22"/>
  <c r="J275" i="22"/>
  <c r="J276" i="22"/>
  <c r="J277" i="22"/>
  <c r="J278" i="22"/>
  <c r="J279" i="22"/>
  <c r="J280" i="22"/>
  <c r="J281" i="22"/>
  <c r="J282" i="22"/>
  <c r="J283" i="22"/>
  <c r="J284" i="22"/>
  <c r="J285" i="22"/>
  <c r="J286" i="22"/>
  <c r="J287" i="22"/>
  <c r="J288" i="22"/>
  <c r="J289" i="22"/>
  <c r="J290" i="22"/>
  <c r="J291" i="22"/>
  <c r="J292" i="22"/>
  <c r="J293" i="22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P126" i="40" s="1"/>
  <c r="J42" i="21"/>
  <c r="J43" i="21"/>
  <c r="P128" i="40" s="1"/>
  <c r="J44" i="21"/>
  <c r="P129" i="40" s="1"/>
  <c r="J45" i="21"/>
  <c r="P143" i="40" s="1"/>
  <c r="J46" i="21"/>
  <c r="J47" i="21"/>
  <c r="J48" i="21"/>
  <c r="J49" i="21"/>
  <c r="J50" i="21"/>
  <c r="J51" i="21"/>
  <c r="J52" i="21"/>
  <c r="J53" i="21"/>
  <c r="J54" i="21"/>
  <c r="J55" i="21"/>
  <c r="P93" i="40" s="1"/>
  <c r="J56" i="21"/>
  <c r="P94" i="40" s="1"/>
  <c r="J57" i="21"/>
  <c r="P95" i="40" s="1"/>
  <c r="J58" i="21"/>
  <c r="P96" i="40" s="1"/>
  <c r="J59" i="21"/>
  <c r="P97" i="40" s="1"/>
  <c r="J60" i="21"/>
  <c r="P99" i="40" s="1"/>
  <c r="J61" i="21"/>
  <c r="P102" i="40" s="1"/>
  <c r="J62" i="21"/>
  <c r="P113" i="40" s="1"/>
  <c r="J63" i="21"/>
  <c r="P114" i="40" s="1"/>
  <c r="J64" i="21"/>
  <c r="P115" i="40" s="1"/>
  <c r="J65" i="21"/>
  <c r="P116" i="40" s="1"/>
  <c r="J66" i="21"/>
  <c r="P117" i="40" s="1"/>
  <c r="J67" i="21"/>
  <c r="P118" i="40" s="1"/>
  <c r="J68" i="21"/>
  <c r="P133" i="40" s="1"/>
  <c r="J69" i="21"/>
  <c r="P134" i="40" s="1"/>
  <c r="J70" i="21"/>
  <c r="P135" i="40" s="1"/>
  <c r="J71" i="21"/>
  <c r="P136" i="40" s="1"/>
  <c r="J72" i="21"/>
  <c r="P137" i="40" s="1"/>
  <c r="J73" i="21"/>
  <c r="P138" i="40" s="1"/>
  <c r="J74" i="21"/>
  <c r="J75" i="21"/>
  <c r="P34" i="40" s="1"/>
  <c r="J76" i="21"/>
  <c r="P35" i="40" s="1"/>
  <c r="J77" i="21"/>
  <c r="P36" i="40" s="1"/>
  <c r="J78" i="21"/>
  <c r="P37" i="40" s="1"/>
  <c r="J79" i="21"/>
  <c r="P38" i="40" s="1"/>
  <c r="J80" i="21"/>
  <c r="P39" i="40" s="1"/>
  <c r="J81" i="21"/>
  <c r="P40" i="40" s="1"/>
  <c r="J82" i="21"/>
  <c r="P53" i="40" s="1"/>
  <c r="J83" i="21"/>
  <c r="P54" i="40" s="1"/>
  <c r="J84" i="21"/>
  <c r="P55" i="40" s="1"/>
  <c r="J85" i="21"/>
  <c r="P56" i="40" s="1"/>
  <c r="J86" i="21"/>
  <c r="P57" i="40" s="1"/>
  <c r="J87" i="21"/>
  <c r="P58" i="40" s="1"/>
  <c r="J88" i="21"/>
  <c r="P59" i="40" s="1"/>
  <c r="J89" i="21"/>
  <c r="P73" i="40" s="1"/>
  <c r="J90" i="21"/>
  <c r="P74" i="40" s="1"/>
  <c r="J91" i="21"/>
  <c r="P75" i="40" s="1"/>
  <c r="J92" i="21"/>
  <c r="P76" i="40" s="1"/>
  <c r="J93" i="21"/>
  <c r="P77" i="40" s="1"/>
  <c r="J94" i="21"/>
  <c r="P78" i="40" s="1"/>
  <c r="J95" i="21"/>
  <c r="P79" i="40" s="1"/>
  <c r="J96" i="21"/>
  <c r="P80" i="40" s="1"/>
  <c r="J97" i="21"/>
  <c r="P81" i="40" s="1"/>
  <c r="J98" i="21"/>
  <c r="P82" i="40" s="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J149" i="21"/>
  <c r="J150" i="21"/>
  <c r="J151" i="21"/>
  <c r="J152" i="21"/>
  <c r="J153" i="21"/>
  <c r="J154" i="21"/>
  <c r="J155" i="21"/>
  <c r="J156" i="21"/>
  <c r="J157" i="21"/>
  <c r="J158" i="21"/>
  <c r="J159" i="21"/>
  <c r="J160" i="21"/>
  <c r="J161" i="21"/>
  <c r="J162" i="21"/>
  <c r="J163" i="21"/>
  <c r="J164" i="21"/>
  <c r="J165" i="21"/>
  <c r="J166" i="21"/>
  <c r="J167" i="21"/>
  <c r="J168" i="21"/>
  <c r="J169" i="21"/>
  <c r="J170" i="21"/>
  <c r="J171" i="21"/>
  <c r="J172" i="21"/>
  <c r="J173" i="21"/>
  <c r="J174" i="21"/>
  <c r="J175" i="21"/>
  <c r="J176" i="21"/>
  <c r="J177" i="21"/>
  <c r="J178" i="21"/>
  <c r="J179" i="21"/>
  <c r="J180" i="21"/>
  <c r="J181" i="21"/>
  <c r="J182" i="21"/>
  <c r="J183" i="21"/>
  <c r="J184" i="21"/>
  <c r="J185" i="21"/>
  <c r="J186" i="21"/>
  <c r="J187" i="21"/>
  <c r="J188" i="21"/>
  <c r="J189" i="21"/>
  <c r="J190" i="21"/>
  <c r="J191" i="21"/>
  <c r="J192" i="21"/>
  <c r="J193" i="21"/>
  <c r="J194" i="21"/>
  <c r="J195" i="21"/>
  <c r="J196" i="21"/>
  <c r="J197" i="21"/>
  <c r="J198" i="21"/>
  <c r="J199" i="21"/>
  <c r="J200" i="21"/>
  <c r="J201" i="21"/>
  <c r="J202" i="21"/>
  <c r="J203" i="21"/>
  <c r="J204" i="21"/>
  <c r="J205" i="21"/>
  <c r="J206" i="21"/>
  <c r="J207" i="21"/>
  <c r="J208" i="21"/>
  <c r="J209" i="21"/>
  <c r="J210" i="21"/>
  <c r="J211" i="21"/>
  <c r="J212" i="21"/>
  <c r="J213" i="21"/>
  <c r="J214" i="21"/>
  <c r="J215" i="21"/>
  <c r="J216" i="21"/>
  <c r="J217" i="21"/>
  <c r="J218" i="21"/>
  <c r="J219" i="21"/>
  <c r="J220" i="21"/>
  <c r="J221" i="21"/>
  <c r="J222" i="21"/>
  <c r="J223" i="21"/>
  <c r="J224" i="21"/>
  <c r="J225" i="21"/>
  <c r="J226" i="21"/>
  <c r="J227" i="21"/>
  <c r="J228" i="21"/>
  <c r="J229" i="21"/>
  <c r="J230" i="21"/>
  <c r="J231" i="21"/>
  <c r="J232" i="21"/>
  <c r="J233" i="21"/>
  <c r="J234" i="21"/>
  <c r="J235" i="21"/>
  <c r="J236" i="21"/>
  <c r="J237" i="21"/>
  <c r="J238" i="21"/>
  <c r="J239" i="21"/>
  <c r="J240" i="21"/>
  <c r="J241" i="21"/>
  <c r="J242" i="21"/>
  <c r="J243" i="21"/>
  <c r="J244" i="21"/>
  <c r="J245" i="21"/>
  <c r="J246" i="21"/>
  <c r="J247" i="21"/>
  <c r="J248" i="21"/>
  <c r="J249" i="21"/>
  <c r="J250" i="21"/>
  <c r="J251" i="21"/>
  <c r="J252" i="21"/>
  <c r="J253" i="21"/>
  <c r="J254" i="21"/>
  <c r="J255" i="21"/>
  <c r="J256" i="21"/>
  <c r="J257" i="21"/>
  <c r="J258" i="21"/>
  <c r="J259" i="21"/>
  <c r="J260" i="21"/>
  <c r="J261" i="21"/>
  <c r="J262" i="21"/>
  <c r="J263" i="21"/>
  <c r="J264" i="21"/>
  <c r="J265" i="21"/>
  <c r="J266" i="21"/>
  <c r="J267" i="21"/>
  <c r="J268" i="21"/>
  <c r="J269" i="21"/>
  <c r="J270" i="21"/>
  <c r="J271" i="21"/>
  <c r="J272" i="21"/>
  <c r="J273" i="21"/>
  <c r="J274" i="21"/>
  <c r="J275" i="21"/>
  <c r="J276" i="21"/>
  <c r="J277" i="21"/>
  <c r="J278" i="21"/>
  <c r="J279" i="21"/>
  <c r="J280" i="21"/>
  <c r="J281" i="21"/>
  <c r="J282" i="21"/>
  <c r="J283" i="21"/>
  <c r="J284" i="21"/>
  <c r="J285" i="21"/>
  <c r="J286" i="21"/>
  <c r="J287" i="21"/>
  <c r="J288" i="21"/>
  <c r="J289" i="21"/>
  <c r="J290" i="21"/>
  <c r="J291" i="21"/>
  <c r="J292" i="21"/>
  <c r="J293" i="21"/>
  <c r="J6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149" i="21"/>
  <c r="I150" i="21"/>
  <c r="I151" i="21"/>
  <c r="I152" i="21"/>
  <c r="I153" i="21"/>
  <c r="I154" i="21"/>
  <c r="I155" i="21"/>
  <c r="I156" i="21"/>
  <c r="I157" i="21"/>
  <c r="I158" i="21"/>
  <c r="I159" i="21"/>
  <c r="I160" i="21"/>
  <c r="I161" i="21"/>
  <c r="I162" i="21"/>
  <c r="I163" i="21"/>
  <c r="I164" i="21"/>
  <c r="I165" i="21"/>
  <c r="I166" i="21"/>
  <c r="I167" i="21"/>
  <c r="I168" i="21"/>
  <c r="I169" i="21"/>
  <c r="I170" i="21"/>
  <c r="I171" i="21"/>
  <c r="I172" i="21"/>
  <c r="I173" i="21"/>
  <c r="I174" i="21"/>
  <c r="I175" i="21"/>
  <c r="I176" i="21"/>
  <c r="I177" i="21"/>
  <c r="I178" i="21"/>
  <c r="I179" i="21"/>
  <c r="I180" i="21"/>
  <c r="I181" i="21"/>
  <c r="I182" i="21"/>
  <c r="I183" i="21"/>
  <c r="I184" i="21"/>
  <c r="I185" i="21"/>
  <c r="I186" i="21"/>
  <c r="I187" i="21"/>
  <c r="I188" i="21"/>
  <c r="I189" i="21"/>
  <c r="I190" i="21"/>
  <c r="I191" i="21"/>
  <c r="I192" i="21"/>
  <c r="I193" i="21"/>
  <c r="I194" i="21"/>
  <c r="I195" i="21"/>
  <c r="I196" i="21"/>
  <c r="I197" i="21"/>
  <c r="I198" i="21"/>
  <c r="I199" i="21"/>
  <c r="I200" i="21"/>
  <c r="I201" i="21"/>
  <c r="I202" i="21"/>
  <c r="I203" i="21"/>
  <c r="I204" i="21"/>
  <c r="I205" i="21"/>
  <c r="I206" i="21"/>
  <c r="I207" i="21"/>
  <c r="I208" i="21"/>
  <c r="I209" i="21"/>
  <c r="I210" i="21"/>
  <c r="I211" i="21"/>
  <c r="I212" i="21"/>
  <c r="I213" i="21"/>
  <c r="I214" i="21"/>
  <c r="I215" i="21"/>
  <c r="I216" i="21"/>
  <c r="I217" i="21"/>
  <c r="I218" i="21"/>
  <c r="I219" i="21"/>
  <c r="I220" i="21"/>
  <c r="I221" i="21"/>
  <c r="I222" i="21"/>
  <c r="I223" i="21"/>
  <c r="I224" i="21"/>
  <c r="I225" i="21"/>
  <c r="I226" i="21"/>
  <c r="I227" i="21"/>
  <c r="I228" i="21"/>
  <c r="I229" i="21"/>
  <c r="I230" i="21"/>
  <c r="I231" i="21"/>
  <c r="I232" i="21"/>
  <c r="I233" i="21"/>
  <c r="I234" i="21"/>
  <c r="I235" i="21"/>
  <c r="I236" i="21"/>
  <c r="I237" i="21"/>
  <c r="I238" i="21"/>
  <c r="I239" i="21"/>
  <c r="I240" i="21"/>
  <c r="I241" i="21"/>
  <c r="I242" i="21"/>
  <c r="I243" i="21"/>
  <c r="I244" i="21"/>
  <c r="I245" i="21"/>
  <c r="I246" i="21"/>
  <c r="I247" i="21"/>
  <c r="I248" i="21"/>
  <c r="I249" i="21"/>
  <c r="I250" i="21"/>
  <c r="I251" i="21"/>
  <c r="I252" i="21"/>
  <c r="I253" i="21"/>
  <c r="I254" i="21"/>
  <c r="I255" i="21"/>
  <c r="I256" i="21"/>
  <c r="I257" i="21"/>
  <c r="I258" i="21"/>
  <c r="I259" i="21"/>
  <c r="I260" i="21"/>
  <c r="I261" i="21"/>
  <c r="I262" i="21"/>
  <c r="I263" i="21"/>
  <c r="I264" i="21"/>
  <c r="I265" i="21"/>
  <c r="I266" i="21"/>
  <c r="I267" i="21"/>
  <c r="I268" i="21"/>
  <c r="I269" i="21"/>
  <c r="I270" i="21"/>
  <c r="I271" i="21"/>
  <c r="I272" i="21"/>
  <c r="I273" i="21"/>
  <c r="I274" i="21"/>
  <c r="I275" i="21"/>
  <c r="I276" i="21"/>
  <c r="I277" i="21"/>
  <c r="I278" i="21"/>
  <c r="I279" i="21"/>
  <c r="I280" i="21"/>
  <c r="I281" i="21"/>
  <c r="I282" i="21"/>
  <c r="I283" i="21"/>
  <c r="I284" i="21"/>
  <c r="I285" i="21"/>
  <c r="I286" i="21"/>
  <c r="I287" i="21"/>
  <c r="I288" i="21"/>
  <c r="I289" i="21"/>
  <c r="I290" i="21"/>
  <c r="I291" i="21"/>
  <c r="I292" i="21"/>
  <c r="I293" i="21"/>
  <c r="I6" i="21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266" i="22"/>
  <c r="I267" i="22"/>
  <c r="I268" i="22"/>
  <c r="I269" i="22"/>
  <c r="I270" i="22"/>
  <c r="I271" i="22"/>
  <c r="I272" i="22"/>
  <c r="I273" i="22"/>
  <c r="I274" i="22"/>
  <c r="I275" i="22"/>
  <c r="I276" i="22"/>
  <c r="I277" i="22"/>
  <c r="I278" i="22"/>
  <c r="I279" i="22"/>
  <c r="I280" i="22"/>
  <c r="I281" i="22"/>
  <c r="I282" i="22"/>
  <c r="I283" i="22"/>
  <c r="I284" i="22"/>
  <c r="I285" i="22"/>
  <c r="I286" i="22"/>
  <c r="I287" i="22"/>
  <c r="I288" i="22"/>
  <c r="I289" i="22"/>
  <c r="I290" i="22"/>
  <c r="I291" i="22"/>
  <c r="I292" i="22"/>
  <c r="I293" i="22"/>
  <c r="I6" i="22"/>
  <c r="J7" i="13"/>
  <c r="G43" i="40" s="1"/>
  <c r="J8" i="13"/>
  <c r="G103" i="40" s="1"/>
  <c r="J9" i="13"/>
  <c r="G83" i="40" s="1"/>
  <c r="J10" i="13"/>
  <c r="G143" i="40" s="1"/>
  <c r="J11" i="13"/>
  <c r="G63" i="40" s="1"/>
  <c r="J12" i="13"/>
  <c r="G144" i="40" s="1"/>
  <c r="J13" i="13"/>
  <c r="G104" i="40" s="1"/>
  <c r="J14" i="13"/>
  <c r="G64" i="40" s="1"/>
  <c r="J15" i="13"/>
  <c r="G44" i="40" s="1"/>
  <c r="J16" i="13"/>
  <c r="G124" i="40" s="1"/>
  <c r="J17" i="13"/>
  <c r="G84" i="40" s="1"/>
  <c r="J18" i="13"/>
  <c r="G145" i="40" s="1"/>
  <c r="J19" i="13"/>
  <c r="G105" i="40" s="1"/>
  <c r="J20" i="13"/>
  <c r="G65" i="40" s="1"/>
  <c r="J21" i="13"/>
  <c r="G45" i="40" s="1"/>
  <c r="J22" i="13"/>
  <c r="G85" i="40" s="1"/>
  <c r="J23" i="13"/>
  <c r="G125" i="40" s="1"/>
  <c r="J24" i="13"/>
  <c r="J25" i="13"/>
  <c r="J26" i="13"/>
  <c r="J27" i="13"/>
  <c r="J28" i="13"/>
  <c r="J29" i="13"/>
  <c r="J30" i="13"/>
  <c r="J31" i="13"/>
  <c r="J32" i="13"/>
  <c r="G148" i="40" s="1"/>
  <c r="J33" i="13"/>
  <c r="J34" i="13"/>
  <c r="J35" i="13"/>
  <c r="J36" i="13"/>
  <c r="G88" i="40" s="1"/>
  <c r="J37" i="13"/>
  <c r="G150" i="40" s="1"/>
  <c r="J38" i="13"/>
  <c r="G69" i="40" s="1"/>
  <c r="J39" i="13"/>
  <c r="G108" i="40" s="1"/>
  <c r="J40" i="13"/>
  <c r="G48" i="40" s="1"/>
  <c r="J41" i="13"/>
  <c r="G149" i="40" s="1"/>
  <c r="J42" i="13"/>
  <c r="G71" i="40" s="1"/>
  <c r="J43" i="13"/>
  <c r="G49" i="40" s="1"/>
  <c r="J44" i="13"/>
  <c r="G70" i="40" s="1"/>
  <c r="J45" i="13"/>
  <c r="G89" i="40" s="1"/>
  <c r="J46" i="13"/>
  <c r="G72" i="40" s="1"/>
  <c r="J47" i="13"/>
  <c r="G90" i="40" s="1"/>
  <c r="J48" i="13"/>
  <c r="G152" i="40" s="1"/>
  <c r="J49" i="13"/>
  <c r="G151" i="40" s="1"/>
  <c r="J50" i="13"/>
  <c r="G50" i="40" s="1"/>
  <c r="J51" i="13"/>
  <c r="G33" i="40" s="1"/>
  <c r="J52" i="13"/>
  <c r="G93" i="40" s="1"/>
  <c r="J53" i="13"/>
  <c r="G113" i="40" s="1"/>
  <c r="J54" i="13"/>
  <c r="G75" i="40" s="1"/>
  <c r="J55" i="13"/>
  <c r="G54" i="40" s="1"/>
  <c r="J56" i="13"/>
  <c r="G133" i="40" s="1"/>
  <c r="J57" i="13"/>
  <c r="G114" i="40" s="1"/>
  <c r="J58" i="13"/>
  <c r="G80" i="40" s="1"/>
  <c r="J59" i="13"/>
  <c r="G94" i="40" s="1"/>
  <c r="J60" i="13"/>
  <c r="G134" i="40" s="1"/>
  <c r="J61" i="13"/>
  <c r="G38" i="40" s="1"/>
  <c r="J62" i="13"/>
  <c r="G57" i="40" s="1"/>
  <c r="J63" i="13"/>
  <c r="G59" i="40" s="1"/>
  <c r="J64" i="13"/>
  <c r="G39" i="40" s="1"/>
  <c r="J65" i="13"/>
  <c r="G79" i="40" s="1"/>
  <c r="J66" i="13"/>
  <c r="G135" i="40" s="1"/>
  <c r="J67" i="13"/>
  <c r="G95" i="40" s="1"/>
  <c r="J68" i="13"/>
  <c r="G115" i="40" s="1"/>
  <c r="J69" i="13"/>
  <c r="G116" i="40" s="1"/>
  <c r="J70" i="13"/>
  <c r="G96" i="40" s="1"/>
  <c r="J71" i="13"/>
  <c r="G74" i="40" s="1"/>
  <c r="J72" i="13"/>
  <c r="G55" i="40" s="1"/>
  <c r="J73" i="13"/>
  <c r="G36" i="40" s="1"/>
  <c r="J74" i="13"/>
  <c r="G136" i="40" s="1"/>
  <c r="J75" i="13"/>
  <c r="G117" i="40" s="1"/>
  <c r="J76" i="13"/>
  <c r="G73" i="40" s="1"/>
  <c r="J77" i="13"/>
  <c r="G34" i="40" s="1"/>
  <c r="J78" i="13"/>
  <c r="G97" i="40" s="1"/>
  <c r="J79" i="13"/>
  <c r="G137" i="40" s="1"/>
  <c r="J80" i="13"/>
  <c r="G61" i="40" s="1"/>
  <c r="J81" i="13"/>
  <c r="G99" i="40" s="1"/>
  <c r="J82" i="13"/>
  <c r="G118" i="40" s="1"/>
  <c r="J83" i="13"/>
  <c r="G37" i="40" s="1"/>
  <c r="J84" i="13"/>
  <c r="G138" i="40" s="1"/>
  <c r="J85" i="13"/>
  <c r="G76" i="40" s="1"/>
  <c r="J86" i="13"/>
  <c r="G58" i="40" s="1"/>
  <c r="J87" i="13"/>
  <c r="G35" i="40" s="1"/>
  <c r="J88" i="13"/>
  <c r="G53" i="40" s="1"/>
  <c r="J89" i="13"/>
  <c r="G78" i="40" s="1"/>
  <c r="J90" i="13"/>
  <c r="G77" i="40" s="1"/>
  <c r="J91" i="13"/>
  <c r="G101" i="40" s="1"/>
  <c r="J92" i="13"/>
  <c r="G82" i="40" s="1"/>
  <c r="J93" i="13"/>
  <c r="G40" i="40" s="1"/>
  <c r="J94" i="13"/>
  <c r="G102" i="40" s="1"/>
  <c r="J95" i="13"/>
  <c r="G56" i="40" s="1"/>
  <c r="J96" i="13"/>
  <c r="G81" i="40" s="1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A166" i="27"/>
  <c r="A146" i="27"/>
  <c r="A126" i="27"/>
  <c r="A106" i="27"/>
  <c r="A86" i="27"/>
  <c r="A66" i="27"/>
  <c r="A46" i="27"/>
  <c r="A26" i="27"/>
  <c r="F31" i="27" s="1"/>
  <c r="Q129" i="40" l="1"/>
  <c r="Q126" i="40"/>
  <c r="Q148" i="40"/>
  <c r="Q61" i="40"/>
  <c r="G67" i="40"/>
  <c r="G47" i="40"/>
  <c r="G68" i="40"/>
  <c r="G87" i="40"/>
  <c r="G107" i="40"/>
  <c r="P33" i="40"/>
  <c r="P43" i="40"/>
  <c r="C58" i="40"/>
  <c r="C274" i="40"/>
  <c r="G2" i="42"/>
  <c r="A4" i="27"/>
  <c r="D64" i="21"/>
  <c r="D35" i="22"/>
  <c r="D34" i="20"/>
  <c r="D23" i="13"/>
  <c r="E2" i="21"/>
  <c r="E2" i="22"/>
  <c r="E2" i="20"/>
  <c r="E2" i="13"/>
  <c r="I2" i="20"/>
  <c r="I2" i="22"/>
  <c r="I2" i="13"/>
  <c r="I2" i="21"/>
  <c r="T55" i="20"/>
  <c r="U55" i="20" s="1"/>
  <c r="J55" i="20" s="1"/>
  <c r="J145" i="40" s="1"/>
  <c r="Q145" i="40" s="1"/>
  <c r="T46" i="20"/>
  <c r="U46" i="20" s="1"/>
  <c r="T229" i="20"/>
  <c r="T39" i="20"/>
  <c r="U39" i="20" s="1"/>
  <c r="J39" i="20" s="1"/>
  <c r="J59" i="40" s="1"/>
  <c r="Q59" i="40" s="1"/>
  <c r="T275" i="20"/>
  <c r="U275" i="20" s="1"/>
  <c r="J275" i="20" s="1"/>
  <c r="T269" i="20"/>
  <c r="U269" i="20" s="1"/>
  <c r="J269" i="20" s="1"/>
  <c r="T185" i="20"/>
  <c r="U185" i="20" s="1"/>
  <c r="J185" i="20" s="1"/>
  <c r="T87" i="20"/>
  <c r="U87" i="20" s="1"/>
  <c r="J87" i="20" s="1"/>
  <c r="J124" i="40" s="1"/>
  <c r="Q124" i="40" s="1"/>
  <c r="T65" i="20"/>
  <c r="U65" i="20" s="1"/>
  <c r="T57" i="20"/>
  <c r="U57" i="20" s="1"/>
  <c r="J57" i="20" s="1"/>
  <c r="J88" i="40" s="1"/>
  <c r="Q88" i="40" s="1"/>
  <c r="B282" i="29"/>
  <c r="B2" i="29"/>
  <c r="B242" i="29"/>
  <c r="B42" i="29"/>
  <c r="T30" i="20"/>
  <c r="U30" i="20" s="1"/>
  <c r="J30" i="20" s="1"/>
  <c r="J58" i="40" s="1"/>
  <c r="Q58" i="40" s="1"/>
  <c r="T23" i="20"/>
  <c r="U23" i="20" s="1"/>
  <c r="J23" i="20" s="1"/>
  <c r="J39" i="40" s="1"/>
  <c r="Q39" i="40" s="1"/>
  <c r="T153" i="20"/>
  <c r="U153" i="20" s="1"/>
  <c r="T36" i="20"/>
  <c r="U36" i="20" s="1"/>
  <c r="J36" i="20" s="1"/>
  <c r="J73" i="40" s="1"/>
  <c r="Q73" i="40" s="1"/>
  <c r="T224" i="20"/>
  <c r="U224" i="20" s="1"/>
  <c r="J224" i="20" s="1"/>
  <c r="T179" i="20"/>
  <c r="U179" i="20" s="1"/>
  <c r="J179" i="20" s="1"/>
  <c r="T164" i="20"/>
  <c r="U164" i="20" s="1"/>
  <c r="J164" i="20" s="1"/>
  <c r="T140" i="20"/>
  <c r="U140" i="20" s="1"/>
  <c r="T202" i="20"/>
  <c r="U202" i="20" s="1"/>
  <c r="J202" i="20" s="1"/>
  <c r="T92" i="20"/>
  <c r="U92" i="20" s="1"/>
  <c r="J92" i="20" s="1"/>
  <c r="J152" i="40" s="1"/>
  <c r="Q152" i="40" s="1"/>
  <c r="T205" i="20"/>
  <c r="U205" i="20" s="1"/>
  <c r="T189" i="20"/>
  <c r="U189" i="20" s="1"/>
  <c r="T172" i="20"/>
  <c r="U172" i="20" s="1"/>
  <c r="T68" i="20"/>
  <c r="U68" i="20" s="1"/>
  <c r="J68" i="20" s="1"/>
  <c r="J66" i="40" s="1"/>
  <c r="Q66" i="40" s="1"/>
  <c r="T264" i="20"/>
  <c r="U264" i="20" s="1"/>
  <c r="J264" i="20" s="1"/>
  <c r="T240" i="20"/>
  <c r="U240" i="20" s="1"/>
  <c r="J240" i="20" s="1"/>
  <c r="T263" i="20"/>
  <c r="U263" i="20" s="1"/>
  <c r="J263" i="20" s="1"/>
  <c r="T256" i="20"/>
  <c r="U256" i="20" s="1"/>
  <c r="J256" i="20" s="1"/>
  <c r="T288" i="20"/>
  <c r="U288" i="20" s="1"/>
  <c r="J288" i="20" s="1"/>
  <c r="T187" i="20"/>
  <c r="U187" i="20" s="1"/>
  <c r="J187" i="20" s="1"/>
  <c r="T169" i="20"/>
  <c r="U169" i="20" s="1"/>
  <c r="T211" i="20"/>
  <c r="U211" i="20" s="1"/>
  <c r="J211" i="20" s="1"/>
  <c r="T280" i="20"/>
  <c r="U280" i="20" s="1"/>
  <c r="J280" i="20" s="1"/>
  <c r="T89" i="20"/>
  <c r="U89" i="20" s="1"/>
  <c r="J89" i="20" s="1"/>
  <c r="J149" i="40" s="1"/>
  <c r="Q149" i="40" s="1"/>
  <c r="T17" i="20"/>
  <c r="U17" i="20" s="1"/>
  <c r="T271" i="20"/>
  <c r="U271" i="20" s="1"/>
  <c r="J271" i="20" s="1"/>
  <c r="R253" i="20"/>
  <c r="S253" i="20" s="1"/>
  <c r="T245" i="20"/>
  <c r="U245" i="20" s="1"/>
  <c r="J245" i="20" s="1"/>
  <c r="T235" i="20"/>
  <c r="U235" i="20" s="1"/>
  <c r="J235" i="20" s="1"/>
  <c r="T221" i="20"/>
  <c r="U221" i="20" s="1"/>
  <c r="J221" i="20" s="1"/>
  <c r="T214" i="20"/>
  <c r="U214" i="20" s="1"/>
  <c r="J214" i="20" s="1"/>
  <c r="T158" i="20"/>
  <c r="U158" i="20" s="1"/>
  <c r="J158" i="20" s="1"/>
  <c r="T156" i="20"/>
  <c r="U156" i="20" s="1"/>
  <c r="R126" i="20"/>
  <c r="S126" i="20" s="1"/>
  <c r="T126" i="20" s="1"/>
  <c r="U126" i="20" s="1"/>
  <c r="J126" i="20" s="1"/>
  <c r="R100" i="20"/>
  <c r="S100" i="20" s="1"/>
  <c r="T100" i="20" s="1"/>
  <c r="R83" i="20"/>
  <c r="S83" i="20" s="1"/>
  <c r="T83" i="20" s="1"/>
  <c r="U83" i="20" s="1"/>
  <c r="J83" i="20" s="1"/>
  <c r="J83" i="40" s="1"/>
  <c r="Q83" i="40" s="1"/>
  <c r="T63" i="20"/>
  <c r="U63" i="20" s="1"/>
  <c r="J63" i="20" s="1"/>
  <c r="J108" i="40" s="1"/>
  <c r="Q108" i="40" s="1"/>
  <c r="T31" i="20"/>
  <c r="U31" i="20" s="1"/>
  <c r="J31" i="20" s="1"/>
  <c r="J133" i="40" s="1"/>
  <c r="Q133" i="40" s="1"/>
  <c r="U110" i="20"/>
  <c r="T261" i="20"/>
  <c r="U261" i="20" s="1"/>
  <c r="J261" i="20" s="1"/>
  <c r="T254" i="20"/>
  <c r="U254" i="20" s="1"/>
  <c r="J254" i="20" s="1"/>
  <c r="U237" i="20"/>
  <c r="J237" i="20" s="1"/>
  <c r="T208" i="20"/>
  <c r="U208" i="20" s="1"/>
  <c r="J208" i="20" s="1"/>
  <c r="T201" i="20"/>
  <c r="U201" i="20" s="1"/>
  <c r="J201" i="20" s="1"/>
  <c r="T193" i="20"/>
  <c r="U193" i="20" s="1"/>
  <c r="J193" i="20" s="1"/>
  <c r="T99" i="20"/>
  <c r="U99" i="20" s="1"/>
  <c r="J99" i="20" s="1"/>
  <c r="T128" i="20"/>
  <c r="U128" i="20" s="1"/>
  <c r="U177" i="20"/>
  <c r="J177" i="20" s="1"/>
  <c r="T124" i="20"/>
  <c r="U124" i="20" s="1"/>
  <c r="T209" i="20"/>
  <c r="U209" i="20" s="1"/>
  <c r="J209" i="20" s="1"/>
  <c r="T182" i="20"/>
  <c r="U182" i="20" s="1"/>
  <c r="J182" i="20" s="1"/>
  <c r="T86" i="20"/>
  <c r="U86" i="20" s="1"/>
  <c r="J86" i="20" s="1"/>
  <c r="T274" i="20"/>
  <c r="U274" i="20" s="1"/>
  <c r="T238" i="20"/>
  <c r="U238" i="20" s="1"/>
  <c r="J238" i="20" s="1"/>
  <c r="R186" i="20"/>
  <c r="S186" i="20" s="1"/>
  <c r="R176" i="20"/>
  <c r="S176" i="20" s="1"/>
  <c r="T176" i="20" s="1"/>
  <c r="U176" i="20" s="1"/>
  <c r="T12" i="20"/>
  <c r="U12" i="20" s="1"/>
  <c r="J12" i="20" s="1"/>
  <c r="J102" i="40" s="1"/>
  <c r="Q102" i="40" s="1"/>
  <c r="B442" i="29"/>
  <c r="B322" i="29"/>
  <c r="B202" i="29"/>
  <c r="B402" i="29"/>
  <c r="B162" i="29"/>
  <c r="B82" i="29"/>
  <c r="B362" i="29"/>
  <c r="B122" i="29"/>
  <c r="T287" i="20"/>
  <c r="U287" i="20" s="1"/>
  <c r="J287" i="20" s="1"/>
  <c r="T268" i="20"/>
  <c r="U268" i="20" s="1"/>
  <c r="T178" i="20"/>
  <c r="U178" i="20" s="1"/>
  <c r="J178" i="20" s="1"/>
  <c r="T276" i="20"/>
  <c r="U276" i="20" s="1"/>
  <c r="J276" i="20" s="1"/>
  <c r="T190" i="20"/>
  <c r="U190" i="20" s="1"/>
  <c r="T81" i="20"/>
  <c r="U81" i="20" s="1"/>
  <c r="J81" i="20" s="1"/>
  <c r="J63" i="40" s="1"/>
  <c r="Q63" i="40" s="1"/>
  <c r="T22" i="20"/>
  <c r="U22" i="20" s="1"/>
  <c r="J22" i="20" s="1"/>
  <c r="J93" i="40" s="1"/>
  <c r="Q93" i="40" s="1"/>
  <c r="T210" i="20"/>
  <c r="U210" i="20" s="1"/>
  <c r="J210" i="20" s="1"/>
  <c r="T284" i="20"/>
  <c r="U284" i="20" s="1"/>
  <c r="J284" i="20" s="1"/>
  <c r="T206" i="20"/>
  <c r="U206" i="20" s="1"/>
  <c r="T200" i="20"/>
  <c r="U200" i="20" s="1"/>
  <c r="J200" i="20" s="1"/>
  <c r="T279" i="20"/>
  <c r="U279" i="20" s="1"/>
  <c r="J279" i="20" s="1"/>
  <c r="T292" i="20"/>
  <c r="U292" i="20" s="1"/>
  <c r="J292" i="20" s="1"/>
  <c r="R293" i="20"/>
  <c r="S293" i="20" s="1"/>
  <c r="T293" i="20" s="1"/>
  <c r="R285" i="20"/>
  <c r="S285" i="20" s="1"/>
  <c r="R277" i="20"/>
  <c r="S277" i="20" s="1"/>
  <c r="T259" i="20"/>
  <c r="U259" i="20" s="1"/>
  <c r="J259" i="20" s="1"/>
  <c r="R248" i="20"/>
  <c r="S248" i="20" s="1"/>
  <c r="R232" i="20"/>
  <c r="S232" i="20" s="1"/>
  <c r="T232" i="20" s="1"/>
  <c r="R216" i="20"/>
  <c r="S216" i="20" s="1"/>
  <c r="T216" i="20" s="1"/>
  <c r="U203" i="20"/>
  <c r="J203" i="20" s="1"/>
  <c r="R194" i="20"/>
  <c r="S194" i="20" s="1"/>
  <c r="R184" i="20"/>
  <c r="S184" i="20" s="1"/>
  <c r="T184" i="20" s="1"/>
  <c r="R138" i="20"/>
  <c r="S138" i="20" s="1"/>
  <c r="T138" i="20" s="1"/>
  <c r="R106" i="20"/>
  <c r="S106" i="20" s="1"/>
  <c r="T106" i="20" s="1"/>
  <c r="R75" i="20"/>
  <c r="S75" i="20" s="1"/>
  <c r="T75" i="20" s="1"/>
  <c r="U70" i="20"/>
  <c r="J70" i="20" s="1"/>
  <c r="J67" i="40" s="1"/>
  <c r="U198" i="20"/>
  <c r="T196" i="20"/>
  <c r="U196" i="20" s="1"/>
  <c r="J196" i="20" s="1"/>
  <c r="R143" i="20"/>
  <c r="S143" i="20" s="1"/>
  <c r="T143" i="20" s="1"/>
  <c r="R131" i="20"/>
  <c r="S131" i="20" s="1"/>
  <c r="R122" i="20"/>
  <c r="S122" i="20" s="1"/>
  <c r="T122" i="20" s="1"/>
  <c r="T102" i="20"/>
  <c r="U102" i="20" s="1"/>
  <c r="U54" i="20"/>
  <c r="J54" i="20" s="1"/>
  <c r="J105" i="40" s="1"/>
  <c r="Q105" i="40" s="1"/>
  <c r="T51" i="20"/>
  <c r="U51" i="20" s="1"/>
  <c r="R26" i="20"/>
  <c r="S26" i="20" s="1"/>
  <c r="T26" i="20" s="1"/>
  <c r="T290" i="20"/>
  <c r="U290" i="20" s="1"/>
  <c r="U286" i="20"/>
  <c r="J286" i="20" s="1"/>
  <c r="T282" i="20"/>
  <c r="U282" i="20" s="1"/>
  <c r="J282" i="20" s="1"/>
  <c r="U278" i="20"/>
  <c r="J278" i="20" s="1"/>
  <c r="T270" i="20"/>
  <c r="U270" i="20" s="1"/>
  <c r="J270" i="20" s="1"/>
  <c r="U258" i="20"/>
  <c r="J258" i="20" s="1"/>
  <c r="R252" i="20"/>
  <c r="S252" i="20" s="1"/>
  <c r="T250" i="20"/>
  <c r="U250" i="20" s="1"/>
  <c r="J250" i="20" s="1"/>
  <c r="T247" i="20"/>
  <c r="U247" i="20" s="1"/>
  <c r="J247" i="20" s="1"/>
  <c r="U242" i="20"/>
  <c r="J242" i="20" s="1"/>
  <c r="R236" i="20"/>
  <c r="S236" i="20" s="1"/>
  <c r="T234" i="20"/>
  <c r="U234" i="20" s="1"/>
  <c r="J234" i="20" s="1"/>
  <c r="T231" i="20"/>
  <c r="U231" i="20" s="1"/>
  <c r="J231" i="20" s="1"/>
  <c r="U229" i="20"/>
  <c r="J229" i="20" s="1"/>
  <c r="U226" i="20"/>
  <c r="J226" i="20" s="1"/>
  <c r="U222" i="20"/>
  <c r="J222" i="20" s="1"/>
  <c r="R220" i="20"/>
  <c r="S220" i="20" s="1"/>
  <c r="T218" i="20"/>
  <c r="U218" i="20" s="1"/>
  <c r="J218" i="20" s="1"/>
  <c r="T167" i="20"/>
  <c r="U167" i="20" s="1"/>
  <c r="T161" i="20"/>
  <c r="U161" i="20" s="1"/>
  <c r="J161" i="20" s="1"/>
  <c r="R155" i="20"/>
  <c r="S155" i="20" s="1"/>
  <c r="T155" i="20" s="1"/>
  <c r="T146" i="20"/>
  <c r="U146" i="20" s="1"/>
  <c r="J146" i="20" s="1"/>
  <c r="R127" i="20"/>
  <c r="S127" i="20" s="1"/>
  <c r="T127" i="20" s="1"/>
  <c r="U105" i="20"/>
  <c r="J105" i="20" s="1"/>
  <c r="R101" i="20"/>
  <c r="S101" i="20" s="1"/>
  <c r="T35" i="20"/>
  <c r="U35" i="20" s="1"/>
  <c r="J35" i="20" s="1"/>
  <c r="J36" i="40" s="1"/>
  <c r="Q36" i="40" s="1"/>
  <c r="R29" i="20"/>
  <c r="S29" i="20" s="1"/>
  <c r="T29" i="20" s="1"/>
  <c r="U25" i="20"/>
  <c r="J25" i="20" s="1"/>
  <c r="J75" i="40" s="1"/>
  <c r="Q75" i="40" s="1"/>
  <c r="T267" i="20"/>
  <c r="U267" i="20" s="1"/>
  <c r="T265" i="20"/>
  <c r="U265" i="20" s="1"/>
  <c r="T188" i="20"/>
  <c r="U188" i="20" s="1"/>
  <c r="J188" i="20" s="1"/>
  <c r="R170" i="20"/>
  <c r="S170" i="20" s="1"/>
  <c r="T170" i="20" s="1"/>
  <c r="T160" i="20"/>
  <c r="U160" i="20" s="1"/>
  <c r="R154" i="20"/>
  <c r="S154" i="20" s="1"/>
  <c r="T154" i="20" s="1"/>
  <c r="U151" i="20"/>
  <c r="U142" i="20"/>
  <c r="J142" i="20" s="1"/>
  <c r="T112" i="20"/>
  <c r="U112" i="20" s="1"/>
  <c r="U108" i="20"/>
  <c r="J108" i="20" s="1"/>
  <c r="T73" i="20"/>
  <c r="U73" i="20" s="1"/>
  <c r="J73" i="20" s="1"/>
  <c r="J64" i="40" s="1"/>
  <c r="Q64" i="40" s="1"/>
  <c r="T53" i="20"/>
  <c r="U53" i="20" s="1"/>
  <c r="J53" i="20" s="1"/>
  <c r="J65" i="40" s="1"/>
  <c r="Q65" i="40" s="1"/>
  <c r="T38" i="20"/>
  <c r="U38" i="20" s="1"/>
  <c r="J38" i="20" s="1"/>
  <c r="J53" i="40" s="1"/>
  <c r="Q53" i="40" s="1"/>
  <c r="U28" i="20"/>
  <c r="J28" i="20" s="1"/>
  <c r="U148" i="20"/>
  <c r="J148" i="20" s="1"/>
  <c r="R136" i="20"/>
  <c r="S136" i="20" s="1"/>
  <c r="T130" i="20"/>
  <c r="U130" i="20" s="1"/>
  <c r="J130" i="20" s="1"/>
  <c r="R91" i="20"/>
  <c r="S91" i="20" s="1"/>
  <c r="T91" i="20" s="1"/>
  <c r="U41" i="20"/>
  <c r="J41" i="20" s="1"/>
  <c r="J118" i="40" s="1"/>
  <c r="Q118" i="40" s="1"/>
  <c r="R37" i="20"/>
  <c r="S37" i="20" s="1"/>
  <c r="U260" i="20"/>
  <c r="J260" i="20" s="1"/>
  <c r="T255" i="20"/>
  <c r="U255" i="20" s="1"/>
  <c r="J255" i="20" s="1"/>
  <c r="T249" i="20"/>
  <c r="U249" i="20" s="1"/>
  <c r="T239" i="20"/>
  <c r="U239" i="20" s="1"/>
  <c r="J239" i="20" s="1"/>
  <c r="T233" i="20"/>
  <c r="U233" i="20" s="1"/>
  <c r="T223" i="20"/>
  <c r="U223" i="20" s="1"/>
  <c r="J223" i="20" s="1"/>
  <c r="T217" i="20"/>
  <c r="U217" i="20" s="1"/>
  <c r="J217" i="20" s="1"/>
  <c r="T212" i="20"/>
  <c r="U212" i="20" s="1"/>
  <c r="J212" i="20" s="1"/>
  <c r="U192" i="20"/>
  <c r="J192" i="20" s="1"/>
  <c r="T180" i="20"/>
  <c r="U180" i="20" s="1"/>
  <c r="J180" i="20" s="1"/>
  <c r="T174" i="20"/>
  <c r="U174" i="20" s="1"/>
  <c r="J174" i="20" s="1"/>
  <c r="R159" i="20"/>
  <c r="S159" i="20" s="1"/>
  <c r="T159" i="20" s="1"/>
  <c r="R115" i="20"/>
  <c r="S115" i="20" s="1"/>
  <c r="T115" i="20" s="1"/>
  <c r="R90" i="20"/>
  <c r="S90" i="20" s="1"/>
  <c r="T90" i="20" s="1"/>
  <c r="R80" i="20"/>
  <c r="S80" i="20" s="1"/>
  <c r="T291" i="20"/>
  <c r="U291" i="20" s="1"/>
  <c r="J291" i="20" s="1"/>
  <c r="T283" i="20"/>
  <c r="U283" i="20" s="1"/>
  <c r="J283" i="20" s="1"/>
  <c r="T273" i="20"/>
  <c r="U273" i="20" s="1"/>
  <c r="J273" i="20" s="1"/>
  <c r="T266" i="20"/>
  <c r="U266" i="20" s="1"/>
  <c r="T246" i="20"/>
  <c r="U246" i="20" s="1"/>
  <c r="J246" i="20" s="1"/>
  <c r="T241" i="20"/>
  <c r="U241" i="20" s="1"/>
  <c r="T230" i="20"/>
  <c r="U230" i="20" s="1"/>
  <c r="J230" i="20" s="1"/>
  <c r="T225" i="20"/>
  <c r="U225" i="20" s="1"/>
  <c r="U135" i="20"/>
  <c r="T123" i="20"/>
  <c r="U123" i="20" s="1"/>
  <c r="J123" i="20" s="1"/>
  <c r="T120" i="20"/>
  <c r="U120" i="20" s="1"/>
  <c r="T59" i="20"/>
  <c r="U59" i="20" s="1"/>
  <c r="R48" i="20"/>
  <c r="S48" i="20" s="1"/>
  <c r="U44" i="20"/>
  <c r="J44" i="20" s="1"/>
  <c r="J134" i="40" s="1"/>
  <c r="Q134" i="40" s="1"/>
  <c r="R289" i="20"/>
  <c r="S289" i="20" s="1"/>
  <c r="T289" i="20" s="1"/>
  <c r="R281" i="20"/>
  <c r="S281" i="20" s="1"/>
  <c r="T281" i="20" s="1"/>
  <c r="U272" i="20"/>
  <c r="J272" i="20" s="1"/>
  <c r="T262" i="20"/>
  <c r="U262" i="20" s="1"/>
  <c r="J262" i="20" s="1"/>
  <c r="R257" i="20"/>
  <c r="S257" i="20" s="1"/>
  <c r="T257" i="20" s="1"/>
  <c r="U243" i="20"/>
  <c r="J243" i="20" s="1"/>
  <c r="U227" i="20"/>
  <c r="J227" i="20" s="1"/>
  <c r="U213" i="20"/>
  <c r="T204" i="20"/>
  <c r="U204" i="20" s="1"/>
  <c r="J204" i="20" s="1"/>
  <c r="R162" i="20"/>
  <c r="S162" i="20" s="1"/>
  <c r="T139" i="20"/>
  <c r="U139" i="20" s="1"/>
  <c r="T119" i="20"/>
  <c r="U119" i="20" s="1"/>
  <c r="J119" i="20" s="1"/>
  <c r="R114" i="20"/>
  <c r="S114" i="20" s="1"/>
  <c r="T103" i="20"/>
  <c r="U103" i="20" s="1"/>
  <c r="J103" i="20" s="1"/>
  <c r="R93" i="20"/>
  <c r="S93" i="20" s="1"/>
  <c r="T93" i="20" s="1"/>
  <c r="T71" i="20"/>
  <c r="U71" i="20" s="1"/>
  <c r="J71" i="20" s="1"/>
  <c r="J86" i="40" s="1"/>
  <c r="Q86" i="40" s="1"/>
  <c r="R16" i="20"/>
  <c r="S16" i="20" s="1"/>
  <c r="T11" i="20"/>
  <c r="U11" i="20" s="1"/>
  <c r="J11" i="20" s="1"/>
  <c r="J135" i="40" s="1"/>
  <c r="Q135" i="40" s="1"/>
  <c r="T9" i="20"/>
  <c r="U9" i="20" s="1"/>
  <c r="J9" i="20" s="1"/>
  <c r="J138" i="40" s="1"/>
  <c r="Q138" i="40" s="1"/>
  <c r="T244" i="20"/>
  <c r="U244" i="20" s="1"/>
  <c r="J244" i="20" s="1"/>
  <c r="T228" i="20"/>
  <c r="U228" i="20" s="1"/>
  <c r="J228" i="20" s="1"/>
  <c r="T166" i="20"/>
  <c r="U166" i="20" s="1"/>
  <c r="J166" i="20" s="1"/>
  <c r="T145" i="20"/>
  <c r="U145" i="20" s="1"/>
  <c r="J145" i="20" s="1"/>
  <c r="U132" i="20"/>
  <c r="J132" i="20" s="1"/>
  <c r="U113" i="20"/>
  <c r="U79" i="20"/>
  <c r="J79" i="20" s="1"/>
  <c r="J50" i="40" s="1"/>
  <c r="Q50" i="40" s="1"/>
  <c r="R50" i="20"/>
  <c r="S50" i="20" s="1"/>
  <c r="T50" i="20" s="1"/>
  <c r="R18" i="20"/>
  <c r="S18" i="20" s="1"/>
  <c r="R175" i="20"/>
  <c r="S175" i="20" s="1"/>
  <c r="T175" i="20" s="1"/>
  <c r="T173" i="20"/>
  <c r="U173" i="20" s="1"/>
  <c r="T150" i="20"/>
  <c r="U150" i="20" s="1"/>
  <c r="J150" i="20" s="1"/>
  <c r="T129" i="20"/>
  <c r="U129" i="20" s="1"/>
  <c r="J129" i="20" s="1"/>
  <c r="U116" i="20"/>
  <c r="J116" i="20" s="1"/>
  <c r="U95" i="20"/>
  <c r="J95" i="20" s="1"/>
  <c r="R67" i="20"/>
  <c r="S67" i="20" s="1"/>
  <c r="T67" i="20" s="1"/>
  <c r="T62" i="20"/>
  <c r="U62" i="20" s="1"/>
  <c r="J62" i="20" s="1"/>
  <c r="J125" i="40" s="1"/>
  <c r="Q125" i="40" s="1"/>
  <c r="U52" i="20"/>
  <c r="J52" i="20" s="1"/>
  <c r="J68" i="40" s="1"/>
  <c r="T49" i="20"/>
  <c r="U49" i="20" s="1"/>
  <c r="J49" i="20" s="1"/>
  <c r="J81" i="40" s="1"/>
  <c r="Q81" i="40" s="1"/>
  <c r="U43" i="20"/>
  <c r="J43" i="20" s="1"/>
  <c r="J94" i="40" s="1"/>
  <c r="Q94" i="40" s="1"/>
  <c r="T40" i="20"/>
  <c r="U40" i="20" s="1"/>
  <c r="U33" i="20"/>
  <c r="J33" i="20" s="1"/>
  <c r="J78" i="40" s="1"/>
  <c r="Q78" i="40" s="1"/>
  <c r="R24" i="20"/>
  <c r="S24" i="20" s="1"/>
  <c r="T215" i="20"/>
  <c r="U215" i="20" s="1"/>
  <c r="J215" i="20" s="1"/>
  <c r="T207" i="20"/>
  <c r="U207" i="20" s="1"/>
  <c r="J207" i="20" s="1"/>
  <c r="T199" i="20"/>
  <c r="U199" i="20" s="1"/>
  <c r="J199" i="20" s="1"/>
  <c r="T191" i="20"/>
  <c r="U191" i="20" s="1"/>
  <c r="J191" i="20" s="1"/>
  <c r="T183" i="20"/>
  <c r="U183" i="20" s="1"/>
  <c r="J183" i="20" s="1"/>
  <c r="T168" i="20"/>
  <c r="U168" i="20" s="1"/>
  <c r="J168" i="20" s="1"/>
  <c r="R163" i="20"/>
  <c r="S163" i="20" s="1"/>
  <c r="T163" i="20" s="1"/>
  <c r="T137" i="20"/>
  <c r="U137" i="20" s="1"/>
  <c r="T134" i="20"/>
  <c r="U134" i="20" s="1"/>
  <c r="J134" i="20" s="1"/>
  <c r="U107" i="20"/>
  <c r="J107" i="20" s="1"/>
  <c r="T104" i="20"/>
  <c r="U104" i="20" s="1"/>
  <c r="U97" i="20"/>
  <c r="R88" i="20"/>
  <c r="S88" i="20" s="1"/>
  <c r="R82" i="20"/>
  <c r="S82" i="20" s="1"/>
  <c r="T82" i="20" s="1"/>
  <c r="T20" i="20"/>
  <c r="U20" i="20" s="1"/>
  <c r="J20" i="20" s="1"/>
  <c r="J97" i="40" s="1"/>
  <c r="Q97" i="40" s="1"/>
  <c r="T152" i="20"/>
  <c r="U152" i="20" s="1"/>
  <c r="J152" i="20" s="1"/>
  <c r="R147" i="20"/>
  <c r="S147" i="20" s="1"/>
  <c r="T147" i="20" s="1"/>
  <c r="T144" i="20"/>
  <c r="U144" i="20" s="1"/>
  <c r="T121" i="20"/>
  <c r="U121" i="20" s="1"/>
  <c r="J121" i="20" s="1"/>
  <c r="T118" i="20"/>
  <c r="U118" i="20" s="1"/>
  <c r="J118" i="20" s="1"/>
  <c r="U94" i="20"/>
  <c r="J94" i="20" s="1"/>
  <c r="J107" i="40" s="1"/>
  <c r="T84" i="20"/>
  <c r="U84" i="20" s="1"/>
  <c r="J84" i="20" s="1"/>
  <c r="J104" i="40" s="1"/>
  <c r="Q104" i="40" s="1"/>
  <c r="R78" i="20"/>
  <c r="S78" i="20" s="1"/>
  <c r="T78" i="20" s="1"/>
  <c r="T61" i="20"/>
  <c r="U61" i="20" s="1"/>
  <c r="J61" i="20" s="1"/>
  <c r="J85" i="40" s="1"/>
  <c r="Q85" i="40" s="1"/>
  <c r="R42" i="20"/>
  <c r="S42" i="20" s="1"/>
  <c r="T42" i="20" s="1"/>
  <c r="T27" i="20"/>
  <c r="U27" i="20" s="1"/>
  <c r="T157" i="20"/>
  <c r="U157" i="20" s="1"/>
  <c r="T141" i="20"/>
  <c r="U141" i="20" s="1"/>
  <c r="T125" i="20"/>
  <c r="U125" i="20" s="1"/>
  <c r="J125" i="20" s="1"/>
  <c r="T77" i="20"/>
  <c r="U77" i="20" s="1"/>
  <c r="J77" i="20" s="1"/>
  <c r="J71" i="40" s="1"/>
  <c r="Q71" i="40" s="1"/>
  <c r="R66" i="20"/>
  <c r="S66" i="20" s="1"/>
  <c r="T66" i="20" s="1"/>
  <c r="T64" i="20"/>
  <c r="U64" i="20" s="1"/>
  <c r="T13" i="20"/>
  <c r="U13" i="20" s="1"/>
  <c r="J13" i="20" s="1"/>
  <c r="J57" i="40" s="1"/>
  <c r="Q57" i="40" s="1"/>
  <c r="T19" i="20"/>
  <c r="U19" i="20" s="1"/>
  <c r="T85" i="20"/>
  <c r="U85" i="20" s="1"/>
  <c r="J85" i="20" s="1"/>
  <c r="J48" i="40" s="1"/>
  <c r="Q48" i="40" s="1"/>
  <c r="R74" i="20"/>
  <c r="S74" i="20" s="1"/>
  <c r="T74" i="20" s="1"/>
  <c r="T72" i="20"/>
  <c r="U72" i="20" s="1"/>
  <c r="U60" i="20"/>
  <c r="J60" i="20" s="1"/>
  <c r="J49" i="40" s="1"/>
  <c r="Q49" i="40" s="1"/>
  <c r="T21" i="20"/>
  <c r="U21" i="20" s="1"/>
  <c r="J21" i="20" s="1"/>
  <c r="J117" i="40" s="1"/>
  <c r="Q117" i="40" s="1"/>
  <c r="T14" i="20"/>
  <c r="U14" i="20" s="1"/>
  <c r="J14" i="20" s="1"/>
  <c r="J40" i="40" s="1"/>
  <c r="Q40" i="40" s="1"/>
  <c r="R10" i="20"/>
  <c r="S10" i="20" s="1"/>
  <c r="T10" i="20" s="1"/>
  <c r="T8" i="20"/>
  <c r="U8" i="20" s="1"/>
  <c r="T165" i="20"/>
  <c r="U165" i="20" s="1"/>
  <c r="T149" i="20"/>
  <c r="U149" i="20" s="1"/>
  <c r="T133" i="20"/>
  <c r="U133" i="20" s="1"/>
  <c r="T117" i="20"/>
  <c r="U117" i="20" s="1"/>
  <c r="J117" i="20" s="1"/>
  <c r="T109" i="20"/>
  <c r="U109" i="20" s="1"/>
  <c r="J109" i="20" s="1"/>
  <c r="R98" i="20"/>
  <c r="S98" i="20" s="1"/>
  <c r="T98" i="20" s="1"/>
  <c r="T96" i="20"/>
  <c r="U96" i="20" s="1"/>
  <c r="T45" i="20"/>
  <c r="U45" i="20" s="1"/>
  <c r="J45" i="20" s="1"/>
  <c r="J55" i="40" s="1"/>
  <c r="Q55" i="40" s="1"/>
  <c r="R34" i="20"/>
  <c r="S34" i="20" s="1"/>
  <c r="T34" i="20" s="1"/>
  <c r="T32" i="20"/>
  <c r="U32" i="20" s="1"/>
  <c r="T69" i="20"/>
  <c r="U69" i="20" s="1"/>
  <c r="J69" i="20" s="1"/>
  <c r="J44" i="40" s="1"/>
  <c r="Q44" i="40" s="1"/>
  <c r="R58" i="20"/>
  <c r="S58" i="20" s="1"/>
  <c r="T58" i="20" s="1"/>
  <c r="T56" i="20"/>
  <c r="U56" i="20" s="1"/>
  <c r="U7" i="20"/>
  <c r="J7" i="20" s="1"/>
  <c r="J77" i="40" s="1"/>
  <c r="Q77" i="40" s="1"/>
  <c r="J251" i="20"/>
  <c r="J219" i="20"/>
  <c r="J195" i="20"/>
  <c r="J111" i="20"/>
  <c r="J47" i="20"/>
  <c r="J76" i="40" s="1"/>
  <c r="Q76" i="40" s="1"/>
  <c r="J198" i="20"/>
  <c r="J15" i="20"/>
  <c r="J116" i="40" s="1"/>
  <c r="Q116" i="40" s="1"/>
  <c r="F41" i="27"/>
  <c r="F52" i="27"/>
  <c r="F62" i="27"/>
  <c r="F65" i="27"/>
  <c r="F59" i="27"/>
  <c r="F50" i="27"/>
  <c r="F53" i="27"/>
  <c r="F63" i="27"/>
  <c r="F55" i="27"/>
  <c r="F54" i="27"/>
  <c r="F56" i="27"/>
  <c r="F64" i="27"/>
  <c r="F48" i="27"/>
  <c r="F51" i="27"/>
  <c r="F61" i="27"/>
  <c r="F47" i="27"/>
  <c r="F57" i="27"/>
  <c r="F58" i="27"/>
  <c r="F49" i="27"/>
  <c r="F60" i="27"/>
  <c r="F90" i="27"/>
  <c r="F100" i="27"/>
  <c r="F96" i="27"/>
  <c r="F97" i="27"/>
  <c r="F91" i="27"/>
  <c r="F101" i="27"/>
  <c r="F104" i="27"/>
  <c r="F105" i="27"/>
  <c r="F98" i="27"/>
  <c r="F92" i="27"/>
  <c r="F102" i="27"/>
  <c r="F95" i="27"/>
  <c r="F89" i="27"/>
  <c r="F99" i="27"/>
  <c r="F93" i="27"/>
  <c r="F103" i="27"/>
  <c r="F94" i="27"/>
  <c r="F87" i="27"/>
  <c r="F88" i="27"/>
  <c r="F148" i="27"/>
  <c r="F158" i="27"/>
  <c r="F162" i="27"/>
  <c r="F149" i="27"/>
  <c r="F159" i="27"/>
  <c r="F152" i="27"/>
  <c r="F163" i="27"/>
  <c r="F156" i="27"/>
  <c r="F150" i="27"/>
  <c r="F160" i="27"/>
  <c r="F146" i="27"/>
  <c r="F147" i="27"/>
  <c r="F155" i="27"/>
  <c r="F157" i="27"/>
  <c r="F165" i="27"/>
  <c r="F151" i="27"/>
  <c r="F161" i="27"/>
  <c r="F153" i="27"/>
  <c r="F154" i="27"/>
  <c r="F164" i="27"/>
  <c r="F109" i="27"/>
  <c r="F119" i="27"/>
  <c r="F113" i="27"/>
  <c r="F116" i="27"/>
  <c r="F107" i="27"/>
  <c r="F110" i="27"/>
  <c r="F120" i="27"/>
  <c r="F124" i="27"/>
  <c r="F117" i="27"/>
  <c r="F111" i="27"/>
  <c r="F121" i="27"/>
  <c r="F115" i="27"/>
  <c r="F114" i="27"/>
  <c r="F108" i="27"/>
  <c r="F118" i="27"/>
  <c r="F112" i="27"/>
  <c r="F122" i="27"/>
  <c r="F123" i="27"/>
  <c r="F125" i="27"/>
  <c r="F168" i="27"/>
  <c r="F178" i="27"/>
  <c r="F181" i="27"/>
  <c r="F183" i="27"/>
  <c r="F174" i="27"/>
  <c r="F169" i="27"/>
  <c r="F179" i="27"/>
  <c r="F172" i="27"/>
  <c r="F184" i="27"/>
  <c r="F170" i="27"/>
  <c r="F180" i="27"/>
  <c r="F182" i="27"/>
  <c r="F173" i="27"/>
  <c r="F166" i="27"/>
  <c r="F167" i="27"/>
  <c r="F175" i="27"/>
  <c r="F177" i="27"/>
  <c r="F185" i="27"/>
  <c r="F171" i="27"/>
  <c r="F176" i="27"/>
  <c r="F128" i="27"/>
  <c r="F138" i="27"/>
  <c r="F132" i="27"/>
  <c r="F129" i="27"/>
  <c r="F139" i="27"/>
  <c r="F134" i="27"/>
  <c r="F136" i="27"/>
  <c r="F130" i="27"/>
  <c r="F140" i="27"/>
  <c r="F142" i="27"/>
  <c r="F127" i="27"/>
  <c r="F135" i="27"/>
  <c r="F137" i="27"/>
  <c r="F145" i="27"/>
  <c r="F131" i="27"/>
  <c r="F141" i="27"/>
  <c r="F133" i="27"/>
  <c r="F143" i="27"/>
  <c r="F144" i="27"/>
  <c r="F33" i="27"/>
  <c r="F43" i="27"/>
  <c r="F40" i="27"/>
  <c r="F34" i="27"/>
  <c r="F36" i="27"/>
  <c r="F44" i="27"/>
  <c r="F29" i="27"/>
  <c r="F30" i="27"/>
  <c r="F27" i="27"/>
  <c r="F35" i="27"/>
  <c r="F37" i="27"/>
  <c r="F45" i="27"/>
  <c r="F39" i="27"/>
  <c r="F32" i="27"/>
  <c r="F42" i="27"/>
  <c r="F28" i="27"/>
  <c r="F38" i="27"/>
  <c r="F71" i="27"/>
  <c r="F81" i="27"/>
  <c r="F77" i="27"/>
  <c r="F78" i="27"/>
  <c r="F72" i="27"/>
  <c r="F82" i="27"/>
  <c r="F85" i="27"/>
  <c r="F79" i="27"/>
  <c r="F73" i="27"/>
  <c r="F83" i="27"/>
  <c r="F84" i="27"/>
  <c r="F67" i="27"/>
  <c r="F70" i="27"/>
  <c r="F80" i="27"/>
  <c r="F74" i="27"/>
  <c r="F76" i="27"/>
  <c r="F75" i="27"/>
  <c r="F68" i="27"/>
  <c r="F69" i="27"/>
  <c r="Q107" i="40" l="1"/>
  <c r="Q67" i="40"/>
  <c r="Q68" i="40"/>
  <c r="C86" i="40"/>
  <c r="C302" i="40"/>
  <c r="C317" i="40"/>
  <c r="C101" i="40"/>
  <c r="C387" i="40"/>
  <c r="C171" i="40"/>
  <c r="C366" i="40"/>
  <c r="C150" i="40"/>
  <c r="C179" i="40"/>
  <c r="C395" i="40"/>
  <c r="C333" i="40"/>
  <c r="C117" i="40"/>
  <c r="C56" i="40"/>
  <c r="C272" i="40"/>
  <c r="C381" i="40"/>
  <c r="C165" i="40"/>
  <c r="C360" i="40"/>
  <c r="C144" i="40"/>
  <c r="C307" i="40"/>
  <c r="C91" i="40"/>
  <c r="C112" i="40"/>
  <c r="C328" i="40"/>
  <c r="C154" i="40"/>
  <c r="C370" i="40"/>
  <c r="C138" i="40"/>
  <c r="C354" i="40"/>
  <c r="C341" i="40"/>
  <c r="C125" i="40"/>
  <c r="C323" i="40"/>
  <c r="C107" i="40"/>
  <c r="C285" i="40"/>
  <c r="C69" i="40"/>
  <c r="C170" i="40"/>
  <c r="C386" i="40"/>
  <c r="C409" i="40"/>
  <c r="C193" i="40"/>
  <c r="C149" i="40"/>
  <c r="C365" i="40"/>
  <c r="C402" i="40"/>
  <c r="C186" i="40"/>
  <c r="C308" i="40"/>
  <c r="C92" i="40"/>
  <c r="C313" i="40"/>
  <c r="C97" i="40"/>
  <c r="C59" i="40"/>
  <c r="C275" i="40"/>
  <c r="C160" i="40"/>
  <c r="C376" i="40"/>
  <c r="C155" i="40"/>
  <c r="C371" i="40"/>
  <c r="C417" i="40"/>
  <c r="C201" i="40"/>
  <c r="C151" i="40"/>
  <c r="C367" i="40"/>
  <c r="C76" i="40"/>
  <c r="C292" i="40"/>
  <c r="C105" i="40"/>
  <c r="C321" i="40"/>
  <c r="C419" i="40"/>
  <c r="C203" i="40"/>
  <c r="C147" i="40"/>
  <c r="C363" i="40"/>
  <c r="C397" i="40"/>
  <c r="C181" i="40"/>
  <c r="C389" i="40"/>
  <c r="C173" i="40"/>
  <c r="C405" i="40"/>
  <c r="C189" i="40"/>
  <c r="C126" i="40"/>
  <c r="C342" i="40"/>
  <c r="C128" i="40"/>
  <c r="C344" i="40"/>
  <c r="C85" i="40"/>
  <c r="C301" i="40"/>
  <c r="C297" i="40"/>
  <c r="C81" i="40"/>
  <c r="C79" i="40"/>
  <c r="C295" i="40"/>
  <c r="C273" i="40"/>
  <c r="C57" i="40"/>
  <c r="C375" i="40"/>
  <c r="C159" i="40"/>
  <c r="C422" i="40"/>
  <c r="C206" i="40"/>
  <c r="C400" i="40"/>
  <c r="C184" i="40"/>
  <c r="C291" i="40"/>
  <c r="C75" i="40"/>
  <c r="C325" i="40"/>
  <c r="C109" i="40"/>
  <c r="C169" i="40"/>
  <c r="C385" i="40"/>
  <c r="C412" i="40"/>
  <c r="C196" i="40"/>
  <c r="C136" i="40"/>
  <c r="C352" i="40"/>
  <c r="C346" i="40"/>
  <c r="C130" i="40"/>
  <c r="C348" i="40"/>
  <c r="C132" i="40"/>
  <c r="C303" i="40"/>
  <c r="C87" i="40"/>
  <c r="C120" i="40"/>
  <c r="C336" i="40"/>
  <c r="C63" i="40"/>
  <c r="C279" i="40"/>
  <c r="C145" i="40"/>
  <c r="C361" i="40"/>
  <c r="C327" i="40"/>
  <c r="C111" i="40"/>
  <c r="C61" i="40"/>
  <c r="C277" i="40"/>
  <c r="C379" i="40"/>
  <c r="C163" i="40"/>
  <c r="C423" i="40"/>
  <c r="C207" i="40"/>
  <c r="C135" i="40"/>
  <c r="C351" i="40"/>
  <c r="C353" i="40"/>
  <c r="C137" i="40"/>
  <c r="C185" i="40"/>
  <c r="C401" i="40"/>
  <c r="C332" i="40"/>
  <c r="C116" i="40"/>
  <c r="C118" i="40"/>
  <c r="C334" i="40"/>
  <c r="C84" i="40"/>
  <c r="C300" i="40"/>
  <c r="C82" i="40"/>
  <c r="C298" i="40"/>
  <c r="C284" i="40"/>
  <c r="C68" i="40"/>
  <c r="C90" i="40"/>
  <c r="C306" i="40"/>
  <c r="C55" i="40"/>
  <c r="C271" i="40"/>
  <c r="C410" i="40"/>
  <c r="C194" i="40"/>
  <c r="C362" i="40"/>
  <c r="C146" i="40"/>
  <c r="C121" i="40"/>
  <c r="C337" i="40"/>
  <c r="C398" i="40"/>
  <c r="C182" i="40"/>
  <c r="C315" i="40"/>
  <c r="C99" i="40"/>
  <c r="C71" i="40"/>
  <c r="C287" i="40"/>
  <c r="C383" i="40"/>
  <c r="C167" i="40"/>
  <c r="C200" i="40"/>
  <c r="C416" i="40"/>
  <c r="C355" i="40"/>
  <c r="C139" i="40"/>
  <c r="C407" i="40"/>
  <c r="C191" i="40"/>
  <c r="C390" i="40"/>
  <c r="C174" i="40"/>
  <c r="C392" i="40"/>
  <c r="C176" i="40"/>
  <c r="C131" i="40"/>
  <c r="C347" i="40"/>
  <c r="C89" i="40"/>
  <c r="C305" i="40"/>
  <c r="C66" i="40"/>
  <c r="C282" i="40"/>
  <c r="C157" i="40"/>
  <c r="C373" i="40"/>
  <c r="C426" i="40"/>
  <c r="C210" i="40"/>
  <c r="C320" i="40"/>
  <c r="C104" i="40"/>
  <c r="C424" i="40"/>
  <c r="C208" i="40"/>
  <c r="C403" i="40"/>
  <c r="C187" i="40"/>
  <c r="C95" i="40"/>
  <c r="C311" i="40"/>
  <c r="C108" i="40"/>
  <c r="C324" i="40"/>
  <c r="C283" i="40"/>
  <c r="C67" i="40"/>
  <c r="C377" i="40"/>
  <c r="C161" i="40"/>
  <c r="C413" i="40"/>
  <c r="C197" i="40"/>
  <c r="C141" i="40"/>
  <c r="C357" i="40"/>
  <c r="C350" i="40"/>
  <c r="C134" i="40"/>
  <c r="C393" i="40"/>
  <c r="C177" i="40"/>
  <c r="C122" i="40"/>
  <c r="C338" i="40"/>
  <c r="C290" i="40"/>
  <c r="C74" i="40"/>
  <c r="C314" i="40"/>
  <c r="C98" i="40"/>
  <c r="C70" i="40"/>
  <c r="C286" i="40"/>
  <c r="C420" i="40"/>
  <c r="C204" i="40"/>
  <c r="C358" i="40"/>
  <c r="C142" i="40"/>
  <c r="C178" i="40"/>
  <c r="C394" i="40"/>
  <c r="C331" i="40"/>
  <c r="C115" i="40"/>
  <c r="C123" i="40"/>
  <c r="C339" i="40"/>
  <c r="C88" i="40"/>
  <c r="C304" i="40"/>
  <c r="C296" i="40"/>
  <c r="C80" i="40"/>
  <c r="C299" i="40"/>
  <c r="C83" i="40"/>
  <c r="C310" i="40"/>
  <c r="C94" i="40"/>
  <c r="C168" i="40"/>
  <c r="C384" i="40"/>
  <c r="C425" i="40"/>
  <c r="C209" i="40"/>
  <c r="C96" i="40"/>
  <c r="C312" i="40"/>
  <c r="C72" i="40"/>
  <c r="C288" i="40"/>
  <c r="C158" i="40"/>
  <c r="C374" i="40"/>
  <c r="C414" i="40"/>
  <c r="C198" i="40"/>
  <c r="C396" i="40"/>
  <c r="C180" i="40"/>
  <c r="C326" i="40"/>
  <c r="C110" i="40"/>
  <c r="C280" i="40"/>
  <c r="C64" i="40"/>
  <c r="C388" i="40"/>
  <c r="C172" i="40"/>
  <c r="C212" i="40"/>
  <c r="C428" i="40"/>
  <c r="C421" i="40"/>
  <c r="C205" i="40"/>
  <c r="C188" i="40"/>
  <c r="C404" i="40"/>
  <c r="C175" i="40"/>
  <c r="C391" i="40"/>
  <c r="C124" i="40"/>
  <c r="C340" i="40"/>
  <c r="C102" i="40"/>
  <c r="C318" i="40"/>
  <c r="C100" i="40"/>
  <c r="C316" i="40"/>
  <c r="C62" i="40"/>
  <c r="C278" i="40"/>
  <c r="C164" i="40"/>
  <c r="C380" i="40"/>
  <c r="C166" i="40"/>
  <c r="C382" i="40"/>
  <c r="C427" i="40"/>
  <c r="C211" i="40"/>
  <c r="C195" i="40"/>
  <c r="C411" i="40"/>
  <c r="C143" i="40"/>
  <c r="C359" i="40"/>
  <c r="C399" i="40"/>
  <c r="C183" i="40"/>
  <c r="C129" i="40"/>
  <c r="C345" i="40"/>
  <c r="C319" i="40"/>
  <c r="C103" i="40"/>
  <c r="C322" i="40"/>
  <c r="C106" i="40"/>
  <c r="C281" i="40"/>
  <c r="C65" i="40"/>
  <c r="C54" i="40"/>
  <c r="C270" i="40"/>
  <c r="C276" i="40"/>
  <c r="C60" i="40"/>
  <c r="C162" i="40"/>
  <c r="C378" i="40"/>
  <c r="C156" i="40"/>
  <c r="C372" i="40"/>
  <c r="C202" i="40"/>
  <c r="C418" i="40"/>
  <c r="C415" i="40"/>
  <c r="C199" i="40"/>
  <c r="C152" i="40"/>
  <c r="C368" i="40"/>
  <c r="C148" i="40"/>
  <c r="C364" i="40"/>
  <c r="C356" i="40"/>
  <c r="C140" i="40"/>
  <c r="C408" i="40"/>
  <c r="C192" i="40"/>
  <c r="C190" i="40"/>
  <c r="C406" i="40"/>
  <c r="C330" i="40"/>
  <c r="C114" i="40"/>
  <c r="C119" i="40"/>
  <c r="C335" i="40"/>
  <c r="C127" i="40"/>
  <c r="C343" i="40"/>
  <c r="C78" i="40"/>
  <c r="C294" i="40"/>
  <c r="C293" i="40"/>
  <c r="C77" i="40"/>
  <c r="D34" i="22"/>
  <c r="D63" i="21"/>
  <c r="D108" i="20"/>
  <c r="D37" i="13"/>
  <c r="D135" i="21"/>
  <c r="D55" i="20"/>
  <c r="D116" i="22"/>
  <c r="D96" i="13"/>
  <c r="D130" i="21"/>
  <c r="D111" i="22"/>
  <c r="D56" i="20"/>
  <c r="D70" i="21"/>
  <c r="D143" i="13"/>
  <c r="D136" i="20"/>
  <c r="D110" i="21"/>
  <c r="D137" i="22"/>
  <c r="D129" i="20"/>
  <c r="D65" i="13"/>
  <c r="D139" i="21"/>
  <c r="D120" i="22"/>
  <c r="D75" i="20"/>
  <c r="D40" i="22"/>
  <c r="D103" i="13"/>
  <c r="D134" i="20"/>
  <c r="D58" i="21"/>
  <c r="D29" i="22"/>
  <c r="D128" i="21"/>
  <c r="D109" i="22"/>
  <c r="D65" i="20"/>
  <c r="D50" i="13"/>
  <c r="D69" i="21"/>
  <c r="D71" i="22"/>
  <c r="D145" i="13"/>
  <c r="D88" i="20"/>
  <c r="D143" i="21"/>
  <c r="D124" i="22"/>
  <c r="D57" i="13"/>
  <c r="D38" i="20"/>
  <c r="D109" i="21"/>
  <c r="D136" i="22"/>
  <c r="D60" i="13"/>
  <c r="D112" i="20"/>
  <c r="D73" i="21"/>
  <c r="D74" i="22"/>
  <c r="D143" i="20"/>
  <c r="D128" i="13"/>
  <c r="D20" i="22"/>
  <c r="D49" i="21"/>
  <c r="D91" i="20"/>
  <c r="D56" i="13"/>
  <c r="D116" i="21"/>
  <c r="D143" i="22"/>
  <c r="D80" i="20"/>
  <c r="D82" i="13"/>
  <c r="D119" i="21"/>
  <c r="D146" i="22"/>
  <c r="D50" i="20"/>
  <c r="D98" i="13"/>
  <c r="D83" i="21"/>
  <c r="D84" i="22"/>
  <c r="D101" i="20"/>
  <c r="D123" i="13"/>
  <c r="D98" i="21"/>
  <c r="D67" i="22"/>
  <c r="D53" i="20"/>
  <c r="D106" i="13"/>
  <c r="D96" i="21"/>
  <c r="D65" i="22"/>
  <c r="D121" i="13"/>
  <c r="D36" i="21"/>
  <c r="D7" i="22"/>
  <c r="D98" i="20"/>
  <c r="D86" i="13"/>
  <c r="D14" i="21"/>
  <c r="D48" i="22"/>
  <c r="D24" i="20"/>
  <c r="D132" i="13"/>
  <c r="D124" i="21"/>
  <c r="D105" i="22"/>
  <c r="D40" i="20"/>
  <c r="D28" i="13"/>
  <c r="D50" i="21"/>
  <c r="D21" i="22"/>
  <c r="D96" i="20"/>
  <c r="D33" i="13"/>
  <c r="D13" i="21"/>
  <c r="D47" i="22"/>
  <c r="D9" i="20"/>
  <c r="D105" i="13"/>
  <c r="D67" i="21"/>
  <c r="D27" i="20"/>
  <c r="D38" i="22"/>
  <c r="D18" i="13"/>
  <c r="D125" i="21"/>
  <c r="D106" i="22"/>
  <c r="D42" i="20"/>
  <c r="D58" i="13"/>
  <c r="D121" i="21"/>
  <c r="D102" i="22"/>
  <c r="D69" i="20"/>
  <c r="D72" i="13"/>
  <c r="D146" i="21"/>
  <c r="D127" i="22"/>
  <c r="D46" i="13"/>
  <c r="D76" i="20"/>
  <c r="D141" i="21"/>
  <c r="D57" i="20"/>
  <c r="D122" i="22"/>
  <c r="D22" i="13"/>
  <c r="D8" i="22"/>
  <c r="D37" i="21"/>
  <c r="D141" i="20"/>
  <c r="D40" i="13"/>
  <c r="D48" i="21"/>
  <c r="D19" i="22"/>
  <c r="D139" i="20"/>
  <c r="D63" i="13"/>
  <c r="D60" i="21"/>
  <c r="D31" i="22"/>
  <c r="D34" i="13"/>
  <c r="D84" i="20"/>
  <c r="D123" i="21"/>
  <c r="D104" i="22"/>
  <c r="D79" i="20"/>
  <c r="D39" i="13"/>
  <c r="D72" i="21"/>
  <c r="D73" i="22"/>
  <c r="D122" i="20"/>
  <c r="D140" i="13"/>
  <c r="D118" i="21"/>
  <c r="D145" i="22"/>
  <c r="D89" i="13"/>
  <c r="D64" i="20"/>
  <c r="D145" i="21"/>
  <c r="D61" i="20"/>
  <c r="D126" i="22"/>
  <c r="D66" i="13"/>
  <c r="D113" i="21"/>
  <c r="D140" i="22"/>
  <c r="D137" i="20"/>
  <c r="D84" i="13"/>
  <c r="D105" i="21"/>
  <c r="D132" i="22"/>
  <c r="D99" i="20"/>
  <c r="D29" i="13"/>
  <c r="D82" i="21"/>
  <c r="D83" i="22"/>
  <c r="D129" i="13"/>
  <c r="D90" i="20"/>
  <c r="D81" i="21"/>
  <c r="D25" i="20"/>
  <c r="D82" i="22"/>
  <c r="D135" i="13"/>
  <c r="D75" i="21"/>
  <c r="D76" i="22"/>
  <c r="D131" i="13"/>
  <c r="D100" i="20"/>
  <c r="D95" i="21"/>
  <c r="D64" i="22"/>
  <c r="D60" i="20"/>
  <c r="D138" i="13"/>
  <c r="D91" i="21"/>
  <c r="D63" i="20"/>
  <c r="D60" i="22"/>
  <c r="D146" i="13"/>
  <c r="D16" i="22"/>
  <c r="D45" i="21"/>
  <c r="D19" i="20"/>
  <c r="D80" i="13"/>
  <c r="D134" i="21"/>
  <c r="D115" i="22"/>
  <c r="D37" i="20"/>
  <c r="D27" i="13"/>
  <c r="D15" i="21"/>
  <c r="D49" i="22"/>
  <c r="D110" i="20"/>
  <c r="D126" i="13"/>
  <c r="D66" i="21"/>
  <c r="D37" i="22"/>
  <c r="D128" i="20"/>
  <c r="D55" i="13"/>
  <c r="D127" i="21"/>
  <c r="D108" i="22"/>
  <c r="D67" i="20"/>
  <c r="D73" i="13"/>
  <c r="D84" i="21"/>
  <c r="D85" i="22"/>
  <c r="D93" i="20"/>
  <c r="D115" i="13"/>
  <c r="D24" i="22"/>
  <c r="D53" i="21"/>
  <c r="D12" i="20"/>
  <c r="D43" i="13"/>
  <c r="D62" i="21"/>
  <c r="D33" i="22"/>
  <c r="D107" i="20"/>
  <c r="D83" i="13"/>
  <c r="D133" i="21"/>
  <c r="D114" i="22"/>
  <c r="D54" i="13"/>
  <c r="D66" i="20"/>
  <c r="D111" i="21"/>
  <c r="D138" i="22"/>
  <c r="D130" i="20"/>
  <c r="D71" i="13"/>
  <c r="D42" i="21"/>
  <c r="D13" i="22"/>
  <c r="D109" i="20"/>
  <c r="D94" i="13"/>
  <c r="D68" i="21"/>
  <c r="D39" i="22"/>
  <c r="D138" i="20"/>
  <c r="D90" i="13"/>
  <c r="D10" i="21"/>
  <c r="D44" i="22"/>
  <c r="D119" i="13"/>
  <c r="D116" i="20"/>
  <c r="D90" i="21"/>
  <c r="D59" i="22"/>
  <c r="D51" i="20"/>
  <c r="D148" i="13"/>
  <c r="D22" i="22"/>
  <c r="D51" i="21"/>
  <c r="D49" i="13"/>
  <c r="D102" i="20"/>
  <c r="D10" i="22"/>
  <c r="D39" i="21"/>
  <c r="D115" i="20"/>
  <c r="D69" i="13"/>
  <c r="D20" i="21"/>
  <c r="D54" i="22"/>
  <c r="D137" i="13"/>
  <c r="D106" i="21"/>
  <c r="D133" i="22"/>
  <c r="D15" i="20"/>
  <c r="D38" i="13"/>
  <c r="D79" i="21"/>
  <c r="D80" i="22"/>
  <c r="D131" i="20"/>
  <c r="D118" i="13"/>
  <c r="D88" i="21"/>
  <c r="D57" i="22"/>
  <c r="D70" i="20"/>
  <c r="D124" i="13"/>
  <c r="D94" i="21"/>
  <c r="D63" i="22"/>
  <c r="D77" i="20"/>
  <c r="D107" i="13"/>
  <c r="D101" i="21"/>
  <c r="D59" i="20"/>
  <c r="D70" i="22"/>
  <c r="D130" i="13"/>
  <c r="D18" i="22"/>
  <c r="D47" i="21"/>
  <c r="D7" i="20"/>
  <c r="D62" i="13"/>
  <c r="D40" i="21"/>
  <c r="D11" i="22"/>
  <c r="D99" i="13"/>
  <c r="D126" i="20"/>
  <c r="D14" i="22"/>
  <c r="D43" i="21"/>
  <c r="D125" i="20"/>
  <c r="D47" i="13"/>
  <c r="D32" i="22"/>
  <c r="D61" i="21"/>
  <c r="D135" i="20"/>
  <c r="D76" i="13"/>
  <c r="D18" i="21"/>
  <c r="D52" i="22"/>
  <c r="D127" i="13"/>
  <c r="D10" i="20"/>
  <c r="D137" i="21"/>
  <c r="D118" i="22"/>
  <c r="D73" i="20"/>
  <c r="D19" i="13"/>
  <c r="D115" i="21"/>
  <c r="D142" i="22"/>
  <c r="D119" i="20"/>
  <c r="D97" i="13"/>
  <c r="D147" i="21"/>
  <c r="D128" i="22"/>
  <c r="D54" i="20"/>
  <c r="D35" i="13"/>
  <c r="D80" i="21"/>
  <c r="D81" i="22"/>
  <c r="D109" i="13"/>
  <c r="D20" i="20"/>
  <c r="D97" i="21"/>
  <c r="D66" i="22"/>
  <c r="D133" i="13"/>
  <c r="D12" i="22"/>
  <c r="D41" i="21"/>
  <c r="D26" i="20"/>
  <c r="D36" i="22"/>
  <c r="D65" i="21"/>
  <c r="D117" i="20"/>
  <c r="D70" i="13"/>
  <c r="D30" i="22"/>
  <c r="D59" i="21"/>
  <c r="D48" i="13"/>
  <c r="D71" i="21"/>
  <c r="D72" i="22"/>
  <c r="D147" i="13"/>
  <c r="D104" i="20"/>
  <c r="D108" i="21"/>
  <c r="D135" i="22"/>
  <c r="D8" i="20"/>
  <c r="D51" i="13"/>
  <c r="D142" i="21"/>
  <c r="D123" i="22"/>
  <c r="D52" i="13"/>
  <c r="D58" i="20"/>
  <c r="D28" i="22"/>
  <c r="D57" i="21"/>
  <c r="D94" i="20"/>
  <c r="D67" i="13"/>
  <c r="D19" i="21"/>
  <c r="D53" i="22"/>
  <c r="D14" i="20"/>
  <c r="D134" i="13"/>
  <c r="D132" i="21"/>
  <c r="D113" i="22"/>
  <c r="D87" i="13"/>
  <c r="D78" i="20"/>
  <c r="D47" i="20"/>
  <c r="D61" i="13"/>
  <c r="D17" i="21"/>
  <c r="D51" i="22"/>
  <c r="D30" i="20"/>
  <c r="D120" i="13"/>
  <c r="D11" i="21"/>
  <c r="D45" i="22"/>
  <c r="D103" i="20"/>
  <c r="D108" i="13"/>
  <c r="D131" i="21"/>
  <c r="D112" i="22"/>
  <c r="D93" i="13"/>
  <c r="D62" i="20"/>
  <c r="D85" i="21"/>
  <c r="D31" i="20"/>
  <c r="D86" i="22"/>
  <c r="D142" i="13"/>
  <c r="D126" i="21"/>
  <c r="D107" i="22"/>
  <c r="D72" i="20"/>
  <c r="D64" i="13"/>
  <c r="D117" i="21"/>
  <c r="D144" i="22"/>
  <c r="D85" i="13"/>
  <c r="D74" i="20"/>
  <c r="D112" i="21"/>
  <c r="D139" i="22"/>
  <c r="D78" i="13"/>
  <c r="D120" i="20"/>
  <c r="D114" i="21"/>
  <c r="D141" i="22"/>
  <c r="D118" i="20"/>
  <c r="D92" i="13"/>
  <c r="D103" i="21"/>
  <c r="D21" i="20"/>
  <c r="D130" i="22"/>
  <c r="D77" i="21"/>
  <c r="D78" i="22"/>
  <c r="D124" i="20"/>
  <c r="D122" i="13"/>
  <c r="D76" i="21"/>
  <c r="D77" i="22"/>
  <c r="D18" i="20"/>
  <c r="D110" i="13"/>
  <c r="D87" i="21"/>
  <c r="D41" i="20"/>
  <c r="D56" i="22"/>
  <c r="D117" i="13"/>
  <c r="D89" i="21"/>
  <c r="D58" i="22"/>
  <c r="D139" i="13"/>
  <c r="D48" i="20"/>
  <c r="D100" i="21"/>
  <c r="D69" i="22"/>
  <c r="D83" i="20"/>
  <c r="D104" i="13"/>
  <c r="D93" i="21"/>
  <c r="D62" i="22"/>
  <c r="D125" i="13"/>
  <c r="D68" i="20"/>
  <c r="D38" i="21"/>
  <c r="D9" i="22"/>
  <c r="D11" i="20"/>
  <c r="D44" i="21"/>
  <c r="D15" i="22"/>
  <c r="D105" i="20"/>
  <c r="D44" i="13"/>
  <c r="D140" i="21"/>
  <c r="D121" i="22"/>
  <c r="D43" i="20"/>
  <c r="D30" i="13"/>
  <c r="D8" i="21"/>
  <c r="D42" i="22"/>
  <c r="D85" i="20"/>
  <c r="D113" i="13"/>
  <c r="D9" i="21"/>
  <c r="D43" i="22"/>
  <c r="D114" i="20"/>
  <c r="D112" i="13"/>
  <c r="D12" i="21"/>
  <c r="D46" i="22"/>
  <c r="D87" i="20"/>
  <c r="D144" i="13"/>
  <c r="D26" i="22"/>
  <c r="D55" i="21"/>
  <c r="D106" i="20"/>
  <c r="D31" i="13"/>
  <c r="D122" i="21"/>
  <c r="D103" i="22"/>
  <c r="D45" i="20"/>
  <c r="D41" i="13"/>
  <c r="D7" i="21"/>
  <c r="D41" i="22"/>
  <c r="D97" i="20"/>
  <c r="D141" i="13"/>
  <c r="D16" i="21"/>
  <c r="D50" i="22"/>
  <c r="D101" i="13"/>
  <c r="D142" i="20"/>
  <c r="D56" i="21"/>
  <c r="D27" i="22"/>
  <c r="D24" i="13"/>
  <c r="D32" i="20"/>
  <c r="D54" i="21"/>
  <c r="D25" i="22"/>
  <c r="D35" i="20"/>
  <c r="D100" i="13"/>
  <c r="D136" i="21"/>
  <c r="D117" i="22"/>
  <c r="D46" i="20"/>
  <c r="D129" i="21"/>
  <c r="D110" i="22"/>
  <c r="D71" i="20"/>
  <c r="D20" i="13"/>
  <c r="D144" i="21"/>
  <c r="D125" i="22"/>
  <c r="D81" i="20"/>
  <c r="D75" i="13"/>
  <c r="D104" i="21"/>
  <c r="D131" i="22"/>
  <c r="D92" i="20"/>
  <c r="D21" i="13"/>
  <c r="D107" i="21"/>
  <c r="D134" i="22"/>
  <c r="D95" i="20"/>
  <c r="D45" i="13"/>
  <c r="D138" i="21"/>
  <c r="D119" i="22"/>
  <c r="D39" i="20"/>
  <c r="D16" i="13"/>
  <c r="D74" i="21"/>
  <c r="D75" i="22"/>
  <c r="D33" i="20"/>
  <c r="D136" i="13"/>
  <c r="D78" i="21"/>
  <c r="D79" i="22"/>
  <c r="D123" i="20"/>
  <c r="D116" i="13"/>
  <c r="D99" i="21"/>
  <c r="D68" i="22"/>
  <c r="D82" i="20"/>
  <c r="D102" i="13"/>
  <c r="D92" i="21"/>
  <c r="D61" i="22"/>
  <c r="D44" i="20"/>
  <c r="D114" i="13"/>
  <c r="D46" i="21"/>
  <c r="D17" i="22"/>
  <c r="D140" i="20"/>
  <c r="D17" i="13"/>
  <c r="T186" i="20"/>
  <c r="U186" i="20" s="1"/>
  <c r="J186" i="20" s="1"/>
  <c r="U34" i="20"/>
  <c r="J34" i="20" s="1"/>
  <c r="J137" i="40" s="1"/>
  <c r="Q137" i="40" s="1"/>
  <c r="U100" i="20"/>
  <c r="J100" i="20" s="1"/>
  <c r="T253" i="20"/>
  <c r="U253" i="20" s="1"/>
  <c r="J253" i="20" s="1"/>
  <c r="U29" i="20"/>
  <c r="J29" i="20" s="1"/>
  <c r="J56" i="40" s="1"/>
  <c r="Q56" i="40" s="1"/>
  <c r="U67" i="20"/>
  <c r="J67" i="20" s="1"/>
  <c r="J90" i="40" s="1"/>
  <c r="Q90" i="40" s="1"/>
  <c r="U115" i="20"/>
  <c r="J115" i="20" s="1"/>
  <c r="U91" i="20"/>
  <c r="J91" i="20" s="1"/>
  <c r="J89" i="40" s="1"/>
  <c r="Q89" i="40" s="1"/>
  <c r="U127" i="20"/>
  <c r="J127" i="20" s="1"/>
  <c r="U106" i="20"/>
  <c r="J106" i="20" s="1"/>
  <c r="U78" i="20"/>
  <c r="J78" i="20" s="1"/>
  <c r="J47" i="40" s="1"/>
  <c r="Q47" i="40" s="1"/>
  <c r="U147" i="20"/>
  <c r="J147" i="20" s="1"/>
  <c r="U82" i="20"/>
  <c r="J82" i="20" s="1"/>
  <c r="J45" i="40" s="1"/>
  <c r="Q45" i="40" s="1"/>
  <c r="U143" i="20"/>
  <c r="J143" i="20" s="1"/>
  <c r="T285" i="20"/>
  <c r="U285" i="20" s="1"/>
  <c r="J285" i="20" s="1"/>
  <c r="T16" i="20"/>
  <c r="U16" i="20" s="1"/>
  <c r="J16" i="20" s="1"/>
  <c r="J80" i="40" s="1"/>
  <c r="Q80" i="40" s="1"/>
  <c r="U281" i="20"/>
  <c r="J281" i="20" s="1"/>
  <c r="U170" i="20"/>
  <c r="J170" i="20" s="1"/>
  <c r="U216" i="20"/>
  <c r="J216" i="20" s="1"/>
  <c r="T194" i="20"/>
  <c r="U194" i="20" s="1"/>
  <c r="J194" i="20" s="1"/>
  <c r="T88" i="20"/>
  <c r="U88" i="20" s="1"/>
  <c r="J88" i="20" s="1"/>
  <c r="J70" i="40" s="1"/>
  <c r="Q70" i="40" s="1"/>
  <c r="U50" i="20"/>
  <c r="J50" i="20" s="1"/>
  <c r="J115" i="40" s="1"/>
  <c r="Q115" i="40" s="1"/>
  <c r="T114" i="20"/>
  <c r="U114" i="20" s="1"/>
  <c r="J114" i="20" s="1"/>
  <c r="U289" i="20"/>
  <c r="J289" i="20" s="1"/>
  <c r="U232" i="20"/>
  <c r="J232" i="20" s="1"/>
  <c r="U293" i="20"/>
  <c r="J293" i="20" s="1"/>
  <c r="U66" i="20"/>
  <c r="J66" i="20" s="1"/>
  <c r="J103" i="40" s="1"/>
  <c r="Q103" i="40" s="1"/>
  <c r="T80" i="20"/>
  <c r="U80" i="20" s="1"/>
  <c r="J80" i="20" s="1"/>
  <c r="J84" i="40" s="1"/>
  <c r="Q84" i="40" s="1"/>
  <c r="T136" i="20"/>
  <c r="U136" i="20" s="1"/>
  <c r="J136" i="20" s="1"/>
  <c r="T101" i="20"/>
  <c r="U101" i="20" s="1"/>
  <c r="J101" i="20" s="1"/>
  <c r="U155" i="20"/>
  <c r="J155" i="20" s="1"/>
  <c r="T220" i="20"/>
  <c r="U220" i="20" s="1"/>
  <c r="J220" i="20" s="1"/>
  <c r="T236" i="20"/>
  <c r="U236" i="20" s="1"/>
  <c r="J236" i="20" s="1"/>
  <c r="T252" i="20"/>
  <c r="U252" i="20" s="1"/>
  <c r="J252" i="20" s="1"/>
  <c r="U75" i="20"/>
  <c r="J75" i="20" s="1"/>
  <c r="J87" i="40" s="1"/>
  <c r="Q87" i="40" s="1"/>
  <c r="U138" i="20"/>
  <c r="J138" i="20" s="1"/>
  <c r="T248" i="20"/>
  <c r="U248" i="20" s="1"/>
  <c r="J248" i="20" s="1"/>
  <c r="U74" i="20"/>
  <c r="J74" i="20" s="1"/>
  <c r="J147" i="40" s="1"/>
  <c r="Q147" i="40" s="1"/>
  <c r="U42" i="20"/>
  <c r="J42" i="20" s="1"/>
  <c r="J38" i="40" s="1"/>
  <c r="Q38" i="40" s="1"/>
  <c r="U163" i="20"/>
  <c r="J163" i="20" s="1"/>
  <c r="U175" i="20"/>
  <c r="J175" i="20" s="1"/>
  <c r="U159" i="20"/>
  <c r="J159" i="20" s="1"/>
  <c r="U122" i="20"/>
  <c r="J122" i="20" s="1"/>
  <c r="T162" i="20"/>
  <c r="U162" i="20" s="1"/>
  <c r="J162" i="20" s="1"/>
  <c r="T277" i="20"/>
  <c r="U277" i="20" s="1"/>
  <c r="J277" i="20" s="1"/>
  <c r="U58" i="20"/>
  <c r="J58" i="20" s="1"/>
  <c r="J151" i="40" s="1"/>
  <c r="Q151" i="40" s="1"/>
  <c r="U98" i="20"/>
  <c r="J98" i="20" s="1"/>
  <c r="U10" i="20"/>
  <c r="J10" i="20" s="1"/>
  <c r="J95" i="40" s="1"/>
  <c r="Q95" i="40" s="1"/>
  <c r="T24" i="20"/>
  <c r="U24" i="20" s="1"/>
  <c r="J24" i="20" s="1"/>
  <c r="J99" i="40" s="1"/>
  <c r="Q99" i="40" s="1"/>
  <c r="T18" i="20"/>
  <c r="U18" i="20" s="1"/>
  <c r="J18" i="20" s="1"/>
  <c r="J74" i="40" s="1"/>
  <c r="Q74" i="40" s="1"/>
  <c r="U93" i="20"/>
  <c r="J93" i="20" s="1"/>
  <c r="J143" i="40" s="1"/>
  <c r="Q143" i="40" s="1"/>
  <c r="U257" i="20"/>
  <c r="J257" i="20" s="1"/>
  <c r="T48" i="20"/>
  <c r="U48" i="20" s="1"/>
  <c r="J48" i="20" s="1"/>
  <c r="J79" i="40" s="1"/>
  <c r="Q79" i="40" s="1"/>
  <c r="U90" i="20"/>
  <c r="J90" i="20" s="1"/>
  <c r="J69" i="40" s="1"/>
  <c r="Q69" i="40" s="1"/>
  <c r="T37" i="20"/>
  <c r="U37" i="20" s="1"/>
  <c r="J37" i="20" s="1"/>
  <c r="J35" i="40" s="1"/>
  <c r="Q35" i="40" s="1"/>
  <c r="U154" i="20"/>
  <c r="J154" i="20" s="1"/>
  <c r="U26" i="20"/>
  <c r="J26" i="20" s="1"/>
  <c r="J82" i="40" s="1"/>
  <c r="Q82" i="40" s="1"/>
  <c r="T131" i="20"/>
  <c r="U131" i="20" s="1"/>
  <c r="J131" i="20" s="1"/>
  <c r="U184" i="20"/>
  <c r="J184" i="20" s="1"/>
  <c r="J267" i="20"/>
  <c r="J140" i="20"/>
  <c r="J56" i="20"/>
  <c r="J146" i="40" s="1"/>
  <c r="Q146" i="40" s="1"/>
  <c r="J32" i="20"/>
  <c r="J101" i="40" s="1"/>
  <c r="Q101" i="40" s="1"/>
  <c r="J149" i="20"/>
  <c r="J40" i="20"/>
  <c r="J96" i="40" s="1"/>
  <c r="Q96" i="40" s="1"/>
  <c r="J97" i="20"/>
  <c r="J128" i="20"/>
  <c r="J167" i="20"/>
  <c r="J266" i="20"/>
  <c r="J17" i="20"/>
  <c r="J34" i="40" s="1"/>
  <c r="Q34" i="40" s="1"/>
  <c r="J110" i="20"/>
  <c r="J104" i="20"/>
  <c r="J46" i="20"/>
  <c r="J136" i="40" s="1"/>
  <c r="Q136" i="40" s="1"/>
  <c r="J176" i="20"/>
  <c r="J205" i="20"/>
  <c r="J189" i="20"/>
  <c r="J265" i="20"/>
  <c r="J64" i="20"/>
  <c r="J144" i="40" s="1"/>
  <c r="Q144" i="40" s="1"/>
  <c r="J59" i="20"/>
  <c r="J72" i="40" s="1"/>
  <c r="Q72" i="40" s="1"/>
  <c r="J144" i="20"/>
  <c r="J51" i="20"/>
  <c r="J43" i="40" s="1"/>
  <c r="Q43" i="40" s="1"/>
  <c r="J169" i="20"/>
  <c r="J135" i="20"/>
  <c r="J157" i="20"/>
  <c r="J165" i="20"/>
  <c r="J19" i="20"/>
  <c r="J54" i="40" s="1"/>
  <c r="Q54" i="40" s="1"/>
  <c r="J113" i="20"/>
  <c r="J233" i="20"/>
  <c r="J249" i="20"/>
  <c r="J102" i="20"/>
  <c r="J171" i="20"/>
  <c r="J120" i="20"/>
  <c r="J72" i="20"/>
  <c r="J128" i="40" s="1"/>
  <c r="Q128" i="40" s="1"/>
  <c r="R129" i="40" s="1"/>
  <c r="J241" i="20"/>
  <c r="J137" i="20"/>
  <c r="J173" i="20"/>
  <c r="J156" i="20"/>
  <c r="J213" i="20"/>
  <c r="J197" i="20"/>
  <c r="J225" i="20"/>
  <c r="J274" i="20"/>
  <c r="J96" i="20"/>
  <c r="J133" i="20"/>
  <c r="J76" i="20"/>
  <c r="J106" i="40" s="1"/>
  <c r="Q106" i="40" s="1"/>
  <c r="J65" i="20"/>
  <c r="J150" i="40" s="1"/>
  <c r="Q150" i="40" s="1"/>
  <c r="J153" i="20"/>
  <c r="J206" i="20"/>
  <c r="J181" i="20"/>
  <c r="J27" i="20"/>
  <c r="J114" i="40" s="1"/>
  <c r="Q114" i="40" s="1"/>
  <c r="J112" i="20"/>
  <c r="J172" i="20"/>
  <c r="J268" i="20"/>
  <c r="J151" i="20"/>
  <c r="J141" i="20"/>
  <c r="J124" i="20"/>
  <c r="J160" i="20"/>
  <c r="J139" i="20"/>
  <c r="J190" i="20"/>
  <c r="J290" i="20"/>
  <c r="J8" i="20"/>
  <c r="J37" i="40" s="1"/>
  <c r="Q37" i="40" s="1"/>
  <c r="R126" i="40" l="1"/>
  <c r="R107" i="40"/>
  <c r="R87" i="40"/>
  <c r="R124" i="40"/>
  <c r="R128" i="40"/>
  <c r="R123" i="40"/>
  <c r="R127" i="40"/>
  <c r="R125" i="40"/>
  <c r="R90" i="40"/>
  <c r="R84" i="40"/>
  <c r="R86" i="40"/>
  <c r="R83" i="40"/>
  <c r="R85" i="40"/>
  <c r="R88" i="40"/>
  <c r="R89" i="40"/>
  <c r="R105" i="40"/>
  <c r="R104" i="40"/>
  <c r="R108" i="40"/>
  <c r="R103" i="40"/>
  <c r="R106" i="40"/>
  <c r="R149" i="40"/>
  <c r="R72" i="40"/>
  <c r="R66" i="40"/>
  <c r="R63" i="40"/>
  <c r="R64" i="40"/>
  <c r="R148" i="40"/>
  <c r="R151" i="40"/>
  <c r="R145" i="40"/>
  <c r="R65" i="40"/>
  <c r="R146" i="40"/>
  <c r="R69" i="40"/>
  <c r="R68" i="40"/>
  <c r="R150" i="40"/>
  <c r="R71" i="40"/>
  <c r="R143" i="40"/>
  <c r="R67" i="40"/>
  <c r="R144" i="40"/>
  <c r="R70" i="40"/>
  <c r="R147" i="40"/>
  <c r="R152" i="40"/>
  <c r="S145" i="40"/>
  <c r="S124" i="40"/>
  <c r="S90" i="40"/>
  <c r="S72" i="40"/>
  <c r="S64" i="40"/>
  <c r="S47" i="40"/>
  <c r="S129" i="40"/>
  <c r="S50" i="40"/>
  <c r="S152" i="40"/>
  <c r="S150" i="40"/>
  <c r="S107" i="40"/>
  <c r="S87" i="40"/>
  <c r="S69" i="40"/>
  <c r="S46" i="40"/>
  <c r="S151" i="40"/>
  <c r="S143" i="40"/>
  <c r="S108" i="40"/>
  <c r="R50" i="40"/>
  <c r="S148" i="40"/>
  <c r="S127" i="40"/>
  <c r="S105" i="40"/>
  <c r="S85" i="40"/>
  <c r="S67" i="40"/>
  <c r="S49" i="40"/>
  <c r="S149" i="40"/>
  <c r="S128" i="40"/>
  <c r="S106" i="40"/>
  <c r="S86" i="40"/>
  <c r="S68" i="40"/>
  <c r="R49" i="40"/>
  <c r="S146" i="40"/>
  <c r="S125" i="40"/>
  <c r="S83" i="40"/>
  <c r="S65" i="40"/>
  <c r="S103" i="40"/>
  <c r="S48" i="40"/>
  <c r="R46" i="40"/>
  <c r="S147" i="40"/>
  <c r="S126" i="40"/>
  <c r="S104" i="40"/>
  <c r="S84" i="40"/>
  <c r="S66" i="40"/>
  <c r="R48" i="40"/>
  <c r="S70" i="40"/>
  <c r="S144" i="40"/>
  <c r="S123" i="40"/>
  <c r="S89" i="40"/>
  <c r="S71" i="40"/>
  <c r="S63" i="40"/>
  <c r="R47" i="40"/>
  <c r="S88" i="40"/>
  <c r="R137" i="40"/>
  <c r="R138" i="40"/>
  <c r="R135" i="40"/>
  <c r="R133" i="40"/>
  <c r="R136" i="40"/>
  <c r="R134" i="40"/>
  <c r="R58" i="40"/>
  <c r="R54" i="40"/>
  <c r="R56" i="40"/>
  <c r="R57" i="40"/>
  <c r="R59" i="40"/>
  <c r="R55" i="40"/>
  <c r="R61" i="40"/>
  <c r="R77" i="40"/>
  <c r="R82" i="40"/>
  <c r="R76" i="40"/>
  <c r="R74" i="40"/>
  <c r="R81" i="40"/>
  <c r="R73" i="40"/>
  <c r="R78" i="40"/>
  <c r="R80" i="40"/>
  <c r="R75" i="40"/>
  <c r="R79" i="40"/>
  <c r="R96" i="40"/>
  <c r="R102" i="40"/>
  <c r="R95" i="40"/>
  <c r="R101" i="40"/>
  <c r="R93" i="40"/>
  <c r="R99" i="40"/>
  <c r="R94" i="40"/>
  <c r="R97" i="40"/>
  <c r="U6" i="20"/>
  <c r="J6" i="20" s="1"/>
  <c r="J113" i="40" s="1"/>
  <c r="Q113" i="40" s="1"/>
  <c r="R114" i="40" l="1"/>
  <c r="R117" i="40"/>
  <c r="R118" i="40"/>
  <c r="R113" i="40"/>
  <c r="R116" i="40"/>
  <c r="R115" i="40"/>
  <c r="J33" i="40"/>
  <c r="Q33" i="40" s="1"/>
  <c r="S81" i="40" s="1"/>
  <c r="G4" i="28"/>
  <c r="H4" i="28"/>
  <c r="G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H66" i="28"/>
  <c r="H65" i="28"/>
  <c r="H64" i="28"/>
  <c r="H63" i="28"/>
  <c r="H62" i="28"/>
  <c r="H61" i="28"/>
  <c r="H60" i="28"/>
  <c r="H59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7" i="28"/>
  <c r="H36" i="28"/>
  <c r="H35" i="28"/>
  <c r="H34" i="28"/>
  <c r="H33" i="28"/>
  <c r="H32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H8" i="28"/>
  <c r="G8" i="28"/>
  <c r="H7" i="28"/>
  <c r="G7" i="28"/>
  <c r="H6" i="28"/>
  <c r="H5" i="28"/>
  <c r="G5" i="28"/>
  <c r="G17" i="28"/>
  <c r="G16" i="28"/>
  <c r="G9" i="28"/>
  <c r="G18" i="28"/>
  <c r="G10" i="28"/>
  <c r="G19" i="28"/>
  <c r="G11" i="28"/>
  <c r="G20" i="28"/>
  <c r="G12" i="28"/>
  <c r="G21" i="28"/>
  <c r="G13" i="28"/>
  <c r="G22" i="28"/>
  <c r="G15" i="28"/>
  <c r="G14" i="28"/>
  <c r="G23" i="28"/>
  <c r="G24" i="28"/>
  <c r="G25" i="28"/>
  <c r="G26" i="28"/>
  <c r="G27" i="28"/>
  <c r="G28" i="28"/>
  <c r="G29" i="28"/>
  <c r="G30" i="28"/>
  <c r="G31" i="28"/>
  <c r="G32" i="28"/>
  <c r="G33" i="28"/>
  <c r="G34" i="28"/>
  <c r="G35" i="28"/>
  <c r="G36" i="28"/>
  <c r="G37" i="28"/>
  <c r="G38" i="28"/>
  <c r="G39" i="28"/>
  <c r="G40" i="28"/>
  <c r="G41" i="28"/>
  <c r="G42" i="28"/>
  <c r="G43" i="28"/>
  <c r="G44" i="28"/>
  <c r="G45" i="28"/>
  <c r="G46" i="28"/>
  <c r="G47" i="28"/>
  <c r="G48" i="28"/>
  <c r="G49" i="28"/>
  <c r="G50" i="28"/>
  <c r="G51" i="28"/>
  <c r="G52" i="28"/>
  <c r="G53" i="28"/>
  <c r="G54" i="28"/>
  <c r="G55" i="28"/>
  <c r="G56" i="28"/>
  <c r="G57" i="28"/>
  <c r="G58" i="28"/>
  <c r="G59" i="28"/>
  <c r="G60" i="28"/>
  <c r="G61" i="28"/>
  <c r="G62" i="28"/>
  <c r="G63" i="28"/>
  <c r="G64" i="28"/>
  <c r="G65" i="28"/>
  <c r="G66" i="28"/>
  <c r="G67" i="28"/>
  <c r="G68" i="28"/>
  <c r="G69" i="28"/>
  <c r="G70" i="28"/>
  <c r="G71" i="28"/>
  <c r="G72" i="28"/>
  <c r="G73" i="28"/>
  <c r="G74" i="28"/>
  <c r="G75" i="28"/>
  <c r="G76" i="28"/>
  <c r="G77" i="28"/>
  <c r="G78" i="28"/>
  <c r="G79" i="28"/>
  <c r="G80" i="28"/>
  <c r="G81" i="28"/>
  <c r="G82" i="28"/>
  <c r="G83" i="28"/>
  <c r="G84" i="28"/>
  <c r="G85" i="28"/>
  <c r="G86" i="28"/>
  <c r="G87" i="28"/>
  <c r="G88" i="28"/>
  <c r="G89" i="28"/>
  <c r="G90" i="28"/>
  <c r="G91" i="28"/>
  <c r="G92" i="28"/>
  <c r="G93" i="28"/>
  <c r="G95" i="28"/>
  <c r="G94" i="28"/>
  <c r="E4" i="27"/>
  <c r="S102" i="40" l="1"/>
  <c r="S56" i="40"/>
  <c r="S82" i="40"/>
  <c r="R40" i="40"/>
  <c r="S40" i="40"/>
  <c r="S77" i="40"/>
  <c r="S101" i="40"/>
  <c r="S58" i="40"/>
  <c r="S78" i="40"/>
  <c r="S138" i="40"/>
  <c r="S76" i="40"/>
  <c r="S118" i="40"/>
  <c r="R37" i="40"/>
  <c r="S37" i="40"/>
  <c r="S61" i="40"/>
  <c r="S99" i="40"/>
  <c r="S97" i="40"/>
  <c r="S137" i="40"/>
  <c r="S73" i="40"/>
  <c r="R34" i="40"/>
  <c r="S34" i="40"/>
  <c r="S136" i="40"/>
  <c r="S117" i="40"/>
  <c r="R36" i="40"/>
  <c r="S36" i="40"/>
  <c r="S74" i="40"/>
  <c r="S55" i="40"/>
  <c r="S116" i="40"/>
  <c r="S96" i="40"/>
  <c r="S95" i="40"/>
  <c r="S115" i="40"/>
  <c r="S79" i="40"/>
  <c r="S135" i="40"/>
  <c r="R39" i="40"/>
  <c r="S39" i="40"/>
  <c r="S57" i="40"/>
  <c r="S59" i="40"/>
  <c r="S134" i="40"/>
  <c r="R38" i="40"/>
  <c r="S38" i="40"/>
  <c r="S80" i="40"/>
  <c r="S94" i="40"/>
  <c r="S133" i="40"/>
  <c r="S114" i="40"/>
  <c r="S75" i="40"/>
  <c r="S54" i="40"/>
  <c r="S93" i="40"/>
  <c r="S113" i="40"/>
  <c r="A6" i="27"/>
  <c r="F126" i="27"/>
  <c r="C153" i="40" l="1"/>
  <c r="C369" i="40"/>
  <c r="F14" i="27"/>
  <c r="F16" i="27"/>
  <c r="F24" i="27"/>
  <c r="F19" i="27"/>
  <c r="F21" i="27"/>
  <c r="F7" i="27"/>
  <c r="F15" i="27"/>
  <c r="F17" i="27"/>
  <c r="F25" i="27"/>
  <c r="F9" i="27"/>
  <c r="F11" i="27"/>
  <c r="F8" i="27"/>
  <c r="F18" i="27"/>
  <c r="F13" i="27"/>
  <c r="F23" i="27"/>
  <c r="F10" i="27"/>
  <c r="F20" i="27"/>
  <c r="F22" i="27"/>
  <c r="F12" i="27"/>
  <c r="F6" i="27"/>
  <c r="F86" i="27"/>
  <c r="F46" i="27"/>
  <c r="F106" i="27"/>
  <c r="F66" i="27"/>
  <c r="F26" i="27"/>
  <c r="C73" i="40" l="1"/>
  <c r="C289" i="40"/>
  <c r="C40" i="40"/>
  <c r="C256" i="40"/>
  <c r="C250" i="40"/>
  <c r="C34" i="40"/>
  <c r="C329" i="40"/>
  <c r="C113" i="40"/>
  <c r="C261" i="40"/>
  <c r="C45" i="40"/>
  <c r="C264" i="40"/>
  <c r="C48" i="40"/>
  <c r="D12" i="13"/>
  <c r="C255" i="40"/>
  <c r="C39" i="40"/>
  <c r="C38" i="40"/>
  <c r="C254" i="40"/>
  <c r="C51" i="40"/>
  <c r="C267" i="40"/>
  <c r="C49" i="40"/>
  <c r="C265" i="40"/>
  <c r="D9" i="13"/>
  <c r="C252" i="40"/>
  <c r="C36" i="40"/>
  <c r="C43" i="40"/>
  <c r="C259" i="40"/>
  <c r="D14" i="13"/>
  <c r="C269" i="40"/>
  <c r="C53" i="40"/>
  <c r="C263" i="40"/>
  <c r="C47" i="40"/>
  <c r="C268" i="40"/>
  <c r="C52" i="40"/>
  <c r="C257" i="40"/>
  <c r="C41" i="40"/>
  <c r="C35" i="40"/>
  <c r="C251" i="40"/>
  <c r="C309" i="40"/>
  <c r="C93" i="40"/>
  <c r="C253" i="40"/>
  <c r="C37" i="40"/>
  <c r="C260" i="40"/>
  <c r="C44" i="40"/>
  <c r="C46" i="40"/>
  <c r="C262" i="40"/>
  <c r="C133" i="40"/>
  <c r="C349" i="40"/>
  <c r="C50" i="40"/>
  <c r="C266" i="40"/>
  <c r="C258" i="40"/>
  <c r="C42" i="40"/>
  <c r="D10" i="13"/>
  <c r="D11" i="13"/>
  <c r="D15" i="13"/>
  <c r="D7" i="13"/>
  <c r="C249" i="40"/>
  <c r="C33" i="40"/>
  <c r="D6" i="21"/>
  <c r="D35" i="21"/>
  <c r="D6" i="22"/>
  <c r="D36" i="20"/>
  <c r="D26" i="13"/>
  <c r="D24" i="21"/>
  <c r="D90" i="22"/>
  <c r="D113" i="20"/>
  <c r="D32" i="13"/>
  <c r="D34" i="21"/>
  <c r="D17" i="20"/>
  <c r="D100" i="22"/>
  <c r="D88" i="13"/>
  <c r="D26" i="21"/>
  <c r="D92" i="22"/>
  <c r="D36" i="13"/>
  <c r="D132" i="20"/>
  <c r="D28" i="21"/>
  <c r="D29" i="20"/>
  <c r="D94" i="22"/>
  <c r="D42" i="13"/>
  <c r="D31" i="21"/>
  <c r="D97" i="22"/>
  <c r="D127" i="20"/>
  <c r="D68" i="13"/>
  <c r="D29" i="21"/>
  <c r="D95" i="22"/>
  <c r="D121" i="20"/>
  <c r="D53" i="13"/>
  <c r="D86" i="21"/>
  <c r="D55" i="22"/>
  <c r="D111" i="13"/>
  <c r="D52" i="20"/>
  <c r="D33" i="21"/>
  <c r="D99" i="22"/>
  <c r="D111" i="20"/>
  <c r="D59" i="13"/>
  <c r="D21" i="21"/>
  <c r="D87" i="22"/>
  <c r="D13" i="13"/>
  <c r="D6" i="20"/>
  <c r="D27" i="21"/>
  <c r="D93" i="22"/>
  <c r="D91" i="13"/>
  <c r="D28" i="20"/>
  <c r="D22" i="21"/>
  <c r="D88" i="22"/>
  <c r="D22" i="20"/>
  <c r="D6" i="13"/>
  <c r="D120" i="21"/>
  <c r="D101" i="22"/>
  <c r="D49" i="20"/>
  <c r="D79" i="13"/>
  <c r="D23" i="21"/>
  <c r="D89" i="22"/>
  <c r="D89" i="20"/>
  <c r="D25" i="13"/>
  <c r="D52" i="21"/>
  <c r="D23" i="22"/>
  <c r="D16" i="20"/>
  <c r="D81" i="13"/>
  <c r="D30" i="21"/>
  <c r="D96" i="22"/>
  <c r="D86" i="20"/>
  <c r="D77" i="13"/>
  <c r="D102" i="21"/>
  <c r="D129" i="22"/>
  <c r="D23" i="20"/>
  <c r="D8" i="13"/>
  <c r="D25" i="21"/>
  <c r="D91" i="22"/>
  <c r="D133" i="20"/>
  <c r="D95" i="13"/>
  <c r="D32" i="21"/>
  <c r="D13" i="20"/>
  <c r="D98" i="22"/>
  <c r="D74" i="13"/>
  <c r="R53" i="40" l="1"/>
  <c r="S269" i="40"/>
  <c r="C431" i="29" l="1"/>
  <c r="C430" i="29"/>
  <c r="C434" i="29"/>
  <c r="C433" i="29"/>
  <c r="C432" i="29"/>
  <c r="B433" i="29"/>
  <c r="D432" i="29"/>
  <c r="B432" i="29"/>
  <c r="B431" i="29"/>
  <c r="D434" i="29"/>
  <c r="D430" i="29"/>
  <c r="B434" i="29"/>
  <c r="B430" i="29"/>
  <c r="D433" i="29"/>
  <c r="D431" i="29"/>
  <c r="C191" i="29"/>
  <c r="C194" i="29"/>
  <c r="C193" i="29"/>
  <c r="C190" i="29"/>
  <c r="C192" i="29"/>
  <c r="B194" i="29"/>
  <c r="B190" i="29"/>
  <c r="D192" i="29"/>
  <c r="D193" i="29"/>
  <c r="B193" i="29"/>
  <c r="D191" i="29"/>
  <c r="B191" i="29"/>
  <c r="D194" i="29"/>
  <c r="D190" i="29"/>
  <c r="B192" i="29"/>
  <c r="C189" i="29"/>
  <c r="C188" i="29"/>
  <c r="D188" i="29"/>
  <c r="B188" i="29"/>
  <c r="D189" i="29"/>
  <c r="B189" i="29"/>
  <c r="C429" i="29"/>
  <c r="C428" i="29"/>
  <c r="B428" i="29"/>
  <c r="B429" i="29"/>
  <c r="D428" i="29"/>
  <c r="D429" i="29"/>
  <c r="C427" i="29"/>
  <c r="D427" i="29"/>
  <c r="B427" i="29"/>
  <c r="C187" i="29"/>
  <c r="D187" i="29"/>
  <c r="B187" i="29"/>
  <c r="B393" i="29"/>
  <c r="D392" i="29"/>
  <c r="B392" i="29"/>
  <c r="D393" i="29"/>
  <c r="D394" i="29"/>
  <c r="B394" i="29"/>
  <c r="B153" i="29"/>
  <c r="D154" i="29"/>
  <c r="D152" i="29"/>
  <c r="B152" i="29"/>
  <c r="D153" i="29"/>
  <c r="B154" i="29"/>
  <c r="K405" i="42" l="1"/>
  <c r="P405" i="42"/>
  <c r="T405" i="42"/>
  <c r="R405" i="42"/>
  <c r="D405" i="42"/>
  <c r="E405" i="42"/>
  <c r="G405" i="42"/>
  <c r="B405" i="42"/>
  <c r="K404" i="42"/>
  <c r="P404" i="42"/>
  <c r="R404" i="42"/>
  <c r="T404" i="42"/>
  <c r="E404" i="42"/>
  <c r="G404" i="42"/>
  <c r="D404" i="42"/>
  <c r="B404" i="42"/>
  <c r="N418" i="42" l="1"/>
  <c r="K418" i="42"/>
  <c r="H418" i="42"/>
  <c r="D418" i="42"/>
  <c r="N417" i="42"/>
  <c r="K417" i="42"/>
  <c r="H417" i="42"/>
  <c r="D417" i="42"/>
  <c r="D11" i="33" a="1"/>
  <c r="D11" i="33" s="1"/>
  <c r="H11" i="33" s="1" a="1"/>
  <c r="H11" i="33" s="1"/>
  <c r="D12" i="33" a="1"/>
  <c r="D12" i="33" s="1"/>
  <c r="K8" i="43" l="1"/>
  <c r="E12" i="43"/>
  <c r="H7" i="33" a="1"/>
  <c r="H7" i="33" s="1"/>
  <c r="B11" i="33" a="1"/>
  <c r="B11" i="33" s="1"/>
  <c r="E6" i="43" l="1"/>
  <c r="K10" i="43"/>
  <c r="B274" i="29"/>
  <c r="C272" i="29"/>
  <c r="B273" i="29"/>
  <c r="B272" i="29"/>
  <c r="C273" i="29"/>
  <c r="C274" i="29"/>
  <c r="B271" i="29"/>
  <c r="D274" i="29"/>
  <c r="D272" i="29"/>
  <c r="D271" i="29"/>
  <c r="D273" i="29"/>
  <c r="C271" i="29"/>
  <c r="D33" i="29"/>
  <c r="C32" i="29"/>
  <c r="D31" i="29"/>
  <c r="D32" i="29"/>
  <c r="B31" i="29"/>
  <c r="C31" i="29"/>
  <c r="C34" i="29"/>
  <c r="B34" i="29"/>
  <c r="B33" i="29"/>
  <c r="C33" i="29"/>
  <c r="D34" i="29"/>
  <c r="B32" i="29"/>
  <c r="D4" i="33" l="1" a="1"/>
  <c r="D4" i="33" s="1"/>
  <c r="F20" i="33" a="1"/>
  <c r="F20" i="33" s="1"/>
  <c r="F12" i="33" a="1"/>
  <c r="F12" i="33" s="1"/>
  <c r="F8" i="33" a="1"/>
  <c r="F8" i="33" s="1"/>
  <c r="F10" i="33" a="1"/>
  <c r="F10" i="33" s="1"/>
  <c r="F16" i="33" a="1"/>
  <c r="F16" i="33" s="1"/>
  <c r="F14" i="33" a="1"/>
  <c r="F14" i="33" s="1"/>
  <c r="F6" i="33" a="1"/>
  <c r="F6" i="33" s="1"/>
  <c r="F18" i="33" a="1"/>
  <c r="F18" i="33" s="1"/>
  <c r="F4" i="33" a="1"/>
  <c r="F4" i="33" s="1"/>
  <c r="D3" i="33" a="1"/>
  <c r="D3" i="33" s="1"/>
  <c r="H10" i="33" s="1" a="1"/>
  <c r="H10" i="33" s="1"/>
  <c r="E6" i="13"/>
  <c r="F17" i="33" a="1"/>
  <c r="F17" i="33" s="1"/>
  <c r="F19" i="33" a="1"/>
  <c r="F19" i="33" s="1"/>
  <c r="F11" i="33" a="1"/>
  <c r="F11" i="33" s="1"/>
  <c r="F5" i="33" a="1"/>
  <c r="F5" i="33" s="1"/>
  <c r="F3" i="33" a="1"/>
  <c r="F3" i="33" s="1"/>
  <c r="F13" i="33" a="1"/>
  <c r="F13" i="33" s="1"/>
  <c r="F9" i="33" a="1"/>
  <c r="F9" i="33" s="1"/>
  <c r="F7" i="33" a="1"/>
  <c r="F7" i="33" s="1"/>
  <c r="F15" i="33" a="1"/>
  <c r="F15" i="33" s="1"/>
  <c r="D249" i="40"/>
  <c r="D33" i="40"/>
  <c r="K6" i="13" l="1"/>
  <c r="L6" i="13" a="1"/>
  <c r="L6" i="13" s="1"/>
  <c r="S35" i="40"/>
  <c r="S53" i="40"/>
  <c r="B26" i="42" s="1" a="1"/>
  <c r="B26" i="42" s="1"/>
  <c r="S45" i="40"/>
  <c r="S44" i="40"/>
  <c r="S43" i="40"/>
  <c r="R44" i="40"/>
  <c r="R35" i="40"/>
  <c r="R33" i="40"/>
  <c r="R45" i="40"/>
  <c r="R43" i="40"/>
  <c r="B346" i="42" s="1" a="1"/>
  <c r="B346" i="42" s="1"/>
  <c r="S33" i="40"/>
  <c r="S261" i="40"/>
  <c r="S260" i="40"/>
  <c r="S259" i="40"/>
  <c r="H17" i="43"/>
  <c r="H16" i="43"/>
  <c r="K7" i="43"/>
  <c r="E11" i="43"/>
  <c r="A85" i="29" a="1"/>
  <c r="A285" i="29" a="1"/>
  <c r="D216" i="40" a="1"/>
  <c r="D216" i="40" s="1"/>
  <c r="M6" i="13" a="1"/>
  <c r="M6" i="13" s="1"/>
  <c r="A405" i="29" a="1"/>
  <c r="A5" i="29" a="1"/>
  <c r="A245" i="29" a="1"/>
  <c r="A325" i="29" a="1"/>
  <c r="D214" i="40" a="1"/>
  <c r="D214" i="40" s="1"/>
  <c r="A165" i="29" a="1"/>
  <c r="B238" i="42" a="1"/>
  <c r="B238" i="42" s="1"/>
  <c r="B151" i="44" a="1"/>
  <c r="B151" i="44" s="1"/>
  <c r="B218" i="42" a="1"/>
  <c r="B218" i="42" s="1"/>
  <c r="J214" i="40" a="1"/>
  <c r="J214" i="40" s="1"/>
  <c r="B171" i="42" a="1"/>
  <c r="B171" i="42" s="1"/>
  <c r="J222" i="40" a="1"/>
  <c r="J222" i="40" s="1"/>
  <c r="J221" i="40" a="1"/>
  <c r="J221" i="40" s="1"/>
  <c r="B301" i="42" a="1"/>
  <c r="B301" i="42" s="1"/>
  <c r="B171" i="44" a="1"/>
  <c r="B171" i="44" s="1"/>
  <c r="B131" i="42" a="1"/>
  <c r="B131" i="42" s="1"/>
  <c r="B258" i="42" a="1"/>
  <c r="B258" i="42" s="1"/>
  <c r="B131" i="44" a="1"/>
  <c r="B131" i="44" s="1"/>
  <c r="B106" i="42" a="1"/>
  <c r="B106" i="42" s="1"/>
  <c r="D222" i="40" a="1"/>
  <c r="D222" i="40" s="1"/>
  <c r="B66" i="42" a="1"/>
  <c r="B66" i="42" s="1"/>
  <c r="D217" i="40" a="1"/>
  <c r="D217" i="40" s="1"/>
  <c r="D220" i="40" a="1"/>
  <c r="D220" i="40" s="1"/>
  <c r="D219" i="40" a="1"/>
  <c r="D219" i="40" s="1"/>
  <c r="D218" i="40" a="1"/>
  <c r="D218" i="40" s="1"/>
  <c r="B326" i="42" a="1"/>
  <c r="B326" i="42" s="1"/>
  <c r="B46" i="42" a="1"/>
  <c r="B46" i="42" s="1"/>
  <c r="D221" i="40" a="1"/>
  <c r="D221" i="40" s="1"/>
  <c r="J219" i="40" a="1"/>
  <c r="J219" i="40" s="1"/>
  <c r="J217" i="40" a="1"/>
  <c r="J217" i="40" s="1"/>
  <c r="B366" i="42" a="1"/>
  <c r="B366" i="42" s="1"/>
  <c r="B86" i="42" a="1"/>
  <c r="B86" i="42" s="1"/>
  <c r="B151" i="42" a="1"/>
  <c r="B151" i="42" s="1"/>
  <c r="J216" i="40" a="1"/>
  <c r="J216" i="40" s="1"/>
  <c r="J215" i="40" a="1"/>
  <c r="J215" i="40" s="1"/>
  <c r="J220" i="40" a="1"/>
  <c r="J220" i="40" s="1"/>
  <c r="D215" i="40" a="1"/>
  <c r="D215" i="40" s="1"/>
  <c r="D546" i="40" a="1"/>
  <c r="D546" i="40" s="1"/>
  <c r="V541" i="40" a="1"/>
  <c r="V541" i="40" s="1"/>
  <c r="J543" i="40" a="1"/>
  <c r="J543" i="40" s="1"/>
  <c r="P543" i="40" a="1"/>
  <c r="P543" i="40" s="1"/>
  <c r="Q543" i="40" s="1"/>
  <c r="R543" i="40" s="1"/>
  <c r="V544" i="40" a="1"/>
  <c r="V544" i="40" s="1"/>
  <c r="W544" i="40" s="1"/>
  <c r="X544" i="40" s="1"/>
  <c r="D542" i="40" a="1"/>
  <c r="D542" i="40" s="1"/>
  <c r="D544" i="40" a="1"/>
  <c r="D544" i="40" s="1"/>
  <c r="D545" i="40" a="1"/>
  <c r="D545" i="40" s="1"/>
  <c r="V538" i="40" a="1"/>
  <c r="V538" i="40" s="1"/>
  <c r="P544" i="40" a="1"/>
  <c r="P544" i="40" s="1"/>
  <c r="Q544" i="40" s="1"/>
  <c r="R544" i="40" s="1"/>
  <c r="V543" i="40" a="1"/>
  <c r="V543" i="40" s="1"/>
  <c r="J546" i="40" a="1"/>
  <c r="J546" i="40" s="1"/>
  <c r="P540" i="40" a="1"/>
  <c r="P540" i="40" s="1"/>
  <c r="Q540" i="40" s="1"/>
  <c r="R540" i="40" s="1"/>
  <c r="D543" i="40" a="1"/>
  <c r="D543" i="40" s="1"/>
  <c r="P539" i="40" a="1"/>
  <c r="P539" i="40" s="1"/>
  <c r="Q539" i="40" s="1"/>
  <c r="R539" i="40" s="1"/>
  <c r="J545" i="40" a="1"/>
  <c r="J545" i="40" s="1"/>
  <c r="K545" i="40" s="1"/>
  <c r="L545" i="40" s="1"/>
  <c r="P541" i="40" a="1"/>
  <c r="P541" i="40" s="1"/>
  <c r="Q541" i="40" s="1"/>
  <c r="R541" i="40" s="1"/>
  <c r="J544" i="40" a="1"/>
  <c r="J544" i="40" s="1"/>
  <c r="K544" i="40" s="1"/>
  <c r="L544" i="40" s="1"/>
  <c r="B326" i="44" a="1"/>
  <c r="B326" i="44" s="1"/>
  <c r="V546" i="40" a="1"/>
  <c r="V546" i="40" s="1"/>
  <c r="J541" i="40" a="1"/>
  <c r="J541" i="40" s="1"/>
  <c r="B366" i="44" a="1"/>
  <c r="B366" i="44" s="1"/>
  <c r="P542" i="40" a="1"/>
  <c r="P542" i="40" s="1"/>
  <c r="Q542" i="40" s="1"/>
  <c r="R542" i="40" s="1"/>
  <c r="V540" i="40" a="1"/>
  <c r="V540" i="40" s="1"/>
  <c r="J542" i="40" a="1"/>
  <c r="J542" i="40" s="1"/>
  <c r="P545" i="40" a="1"/>
  <c r="P545" i="40" s="1"/>
  <c r="Q545" i="40" s="1"/>
  <c r="R545" i="40" s="1"/>
  <c r="V539" i="40" a="1"/>
  <c r="V539" i="40" s="1"/>
  <c r="V545" i="40" a="1"/>
  <c r="V545" i="40" s="1"/>
  <c r="W545" i="40" s="1"/>
  <c r="X545" i="40" s="1"/>
  <c r="P546" i="40" a="1"/>
  <c r="P546" i="40" s="1"/>
  <c r="J540" i="40" a="1"/>
  <c r="J540" i="40" s="1"/>
  <c r="B346" i="44" a="1"/>
  <c r="B346" i="44" s="1"/>
  <c r="D541" i="40" a="1"/>
  <c r="D541" i="40" s="1"/>
  <c r="D540" i="40" a="1"/>
  <c r="D540" i="40" s="1"/>
  <c r="P538" i="40" a="1"/>
  <c r="P538" i="40" s="1"/>
  <c r="J539" i="40" a="1"/>
  <c r="J539" i="40" s="1"/>
  <c r="D539" i="40" a="1"/>
  <c r="D539" i="40" s="1"/>
  <c r="A45" i="29" a="1"/>
  <c r="A445" i="29" a="1"/>
  <c r="A205" i="29" a="1"/>
  <c r="J218" i="40" a="1"/>
  <c r="J218" i="40" s="1"/>
  <c r="A365" i="29" a="1"/>
  <c r="A125" i="29" a="1"/>
  <c r="D23" i="33"/>
  <c r="H6" i="33" a="1"/>
  <c r="H6" i="33" s="1"/>
  <c r="B3" i="33" a="1"/>
  <c r="B3" i="33" s="1"/>
  <c r="G249" i="40" l="1"/>
  <c r="Q249" i="40" s="1"/>
  <c r="U297" i="40" s="1"/>
  <c r="G339" i="40"/>
  <c r="H339" i="40"/>
  <c r="H123" i="40"/>
  <c r="B281" i="42" s="1" a="1"/>
  <c r="B281" i="42" s="1"/>
  <c r="B67" i="29"/>
  <c r="C67" i="29"/>
  <c r="D67" i="29"/>
  <c r="D307" i="29"/>
  <c r="C307" i="29"/>
  <c r="B307" i="29"/>
  <c r="D306" i="29"/>
  <c r="B306" i="29"/>
  <c r="C306" i="29"/>
  <c r="D66" i="29"/>
  <c r="C66" i="29"/>
  <c r="B66" i="29"/>
  <c r="B65" i="29"/>
  <c r="D65" i="29"/>
  <c r="C65" i="29"/>
  <c r="C305" i="29"/>
  <c r="D305" i="29"/>
  <c r="B305" i="29"/>
  <c r="B64" i="29"/>
  <c r="D64" i="29"/>
  <c r="C64" i="29"/>
  <c r="C304" i="29"/>
  <c r="D304" i="29"/>
  <c r="B304" i="29"/>
  <c r="D63" i="29"/>
  <c r="B63" i="29"/>
  <c r="C63" i="29"/>
  <c r="D303" i="29"/>
  <c r="B303" i="29"/>
  <c r="C303" i="29"/>
  <c r="D302" i="29"/>
  <c r="B302" i="29"/>
  <c r="C302" i="29"/>
  <c r="B62" i="29"/>
  <c r="C62" i="29"/>
  <c r="D62" i="29"/>
  <c r="B61" i="29"/>
  <c r="D61" i="29"/>
  <c r="C61" i="29"/>
  <c r="C301" i="29"/>
  <c r="D301" i="29"/>
  <c r="B301" i="29"/>
  <c r="C426" i="29"/>
  <c r="D426" i="29"/>
  <c r="B426" i="29"/>
  <c r="D186" i="29"/>
  <c r="B186" i="29"/>
  <c r="C186" i="29"/>
  <c r="B185" i="29"/>
  <c r="D185" i="29"/>
  <c r="C185" i="29"/>
  <c r="D425" i="29"/>
  <c r="B425" i="29"/>
  <c r="C425" i="29"/>
  <c r="D184" i="29"/>
  <c r="B184" i="29"/>
  <c r="C184" i="29"/>
  <c r="D424" i="29"/>
  <c r="C424" i="29"/>
  <c r="B424" i="29"/>
  <c r="C183" i="29"/>
  <c r="D183" i="29"/>
  <c r="B183" i="29"/>
  <c r="C423" i="29"/>
  <c r="B423" i="29"/>
  <c r="D423" i="29"/>
  <c r="C422" i="29"/>
  <c r="D422" i="29"/>
  <c r="B422" i="29"/>
  <c r="C182" i="29"/>
  <c r="B182" i="29"/>
  <c r="D182" i="29"/>
  <c r="C421" i="29"/>
  <c r="D421" i="29"/>
  <c r="B421" i="29"/>
  <c r="C181" i="29"/>
  <c r="D181" i="29"/>
  <c r="B181" i="29"/>
  <c r="D60" i="29"/>
  <c r="B60" i="29"/>
  <c r="C60" i="29"/>
  <c r="C300" i="29"/>
  <c r="D300" i="29"/>
  <c r="B300" i="29"/>
  <c r="C59" i="29"/>
  <c r="D59" i="29"/>
  <c r="B59" i="29"/>
  <c r="D299" i="29"/>
  <c r="B299" i="29"/>
  <c r="C299" i="29"/>
  <c r="B58" i="29"/>
  <c r="D58" i="29"/>
  <c r="C58" i="29"/>
  <c r="D298" i="29"/>
  <c r="C298" i="29"/>
  <c r="B298" i="29"/>
  <c r="B297" i="29"/>
  <c r="D297" i="29"/>
  <c r="C297" i="29"/>
  <c r="C57" i="29"/>
  <c r="B57" i="29"/>
  <c r="D57" i="29"/>
  <c r="D56" i="29"/>
  <c r="C56" i="29"/>
  <c r="B56" i="29"/>
  <c r="D296" i="29"/>
  <c r="C296" i="29"/>
  <c r="B296" i="29"/>
  <c r="B55" i="29"/>
  <c r="C55" i="29"/>
  <c r="D55" i="29"/>
  <c r="C286" i="29"/>
  <c r="C295" i="29"/>
  <c r="B295" i="29"/>
  <c r="D295" i="29"/>
  <c r="C420" i="29"/>
  <c r="B420" i="29"/>
  <c r="D420" i="29"/>
  <c r="C180" i="29"/>
  <c r="B180" i="29"/>
  <c r="D180" i="29"/>
  <c r="D419" i="29"/>
  <c r="C419" i="29"/>
  <c r="B419" i="29"/>
  <c r="C179" i="29"/>
  <c r="D179" i="29"/>
  <c r="B179" i="29"/>
  <c r="C178" i="29"/>
  <c r="B178" i="29"/>
  <c r="D178" i="29"/>
  <c r="C418" i="29"/>
  <c r="D418" i="29"/>
  <c r="B418" i="29"/>
  <c r="B417" i="29"/>
  <c r="C417" i="29"/>
  <c r="D417" i="29"/>
  <c r="C177" i="29"/>
  <c r="B177" i="29"/>
  <c r="D177" i="29"/>
  <c r="D416" i="29"/>
  <c r="C416" i="29"/>
  <c r="B416" i="29"/>
  <c r="B176" i="29"/>
  <c r="D176" i="29"/>
  <c r="C176" i="29"/>
  <c r="B175" i="29"/>
  <c r="C175" i="29"/>
  <c r="D175" i="29"/>
  <c r="C415" i="29"/>
  <c r="B415" i="29"/>
  <c r="D415" i="29"/>
  <c r="B270" i="29"/>
  <c r="D270" i="29"/>
  <c r="C270" i="29"/>
  <c r="C30" i="29"/>
  <c r="D30" i="29"/>
  <c r="B30" i="29"/>
  <c r="B29" i="29"/>
  <c r="D29" i="29"/>
  <c r="C29" i="29"/>
  <c r="D269" i="29"/>
  <c r="B269" i="29"/>
  <c r="C269" i="29"/>
  <c r="C268" i="29"/>
  <c r="B268" i="29"/>
  <c r="D268" i="29"/>
  <c r="B28" i="29"/>
  <c r="D28" i="29"/>
  <c r="C28" i="29"/>
  <c r="D267" i="29"/>
  <c r="C267" i="29"/>
  <c r="B267" i="29"/>
  <c r="B27" i="29"/>
  <c r="D27" i="29"/>
  <c r="C27" i="29"/>
  <c r="C266" i="29"/>
  <c r="D266" i="29"/>
  <c r="B266" i="29"/>
  <c r="B26" i="29"/>
  <c r="D26" i="29"/>
  <c r="C26" i="29"/>
  <c r="C151" i="29"/>
  <c r="B151" i="29"/>
  <c r="D151" i="29"/>
  <c r="C391" i="29"/>
  <c r="D391" i="29"/>
  <c r="B391" i="29"/>
  <c r="C150" i="29"/>
  <c r="D150" i="29"/>
  <c r="B150" i="29"/>
  <c r="C390" i="29"/>
  <c r="B390" i="29"/>
  <c r="D390" i="29"/>
  <c r="C149" i="29"/>
  <c r="D149" i="29"/>
  <c r="B149" i="29"/>
  <c r="C389" i="29"/>
  <c r="D389" i="29"/>
  <c r="B389" i="29"/>
  <c r="C148" i="29"/>
  <c r="D148" i="29"/>
  <c r="B148" i="29"/>
  <c r="C388" i="29"/>
  <c r="D388" i="29"/>
  <c r="B388" i="29"/>
  <c r="C147" i="29"/>
  <c r="D147" i="29"/>
  <c r="B147" i="29"/>
  <c r="C387" i="29"/>
  <c r="D387" i="29"/>
  <c r="B387" i="29"/>
  <c r="L20" i="40"/>
  <c r="O237" i="40"/>
  <c r="C237" i="40"/>
  <c r="C242" i="40"/>
  <c r="O242" i="40"/>
  <c r="P242" i="40" s="1"/>
  <c r="C235" i="40"/>
  <c r="O235" i="40"/>
  <c r="O239" i="40"/>
  <c r="C239" i="40"/>
  <c r="O240" i="40"/>
  <c r="C240" i="40"/>
  <c r="O241" i="40"/>
  <c r="P241" i="40" s="1"/>
  <c r="C241" i="40"/>
  <c r="O236" i="40"/>
  <c r="C236" i="40"/>
  <c r="O238" i="40"/>
  <c r="C238" i="40"/>
  <c r="L18" i="40"/>
  <c r="C111" i="29"/>
  <c r="C108" i="29"/>
  <c r="C110" i="29"/>
  <c r="C109" i="29"/>
  <c r="C114" i="29"/>
  <c r="C106" i="29"/>
  <c r="C107" i="29"/>
  <c r="C112" i="29"/>
  <c r="C113" i="29"/>
  <c r="B114" i="29"/>
  <c r="B112" i="29"/>
  <c r="D107" i="29"/>
  <c r="B111" i="29"/>
  <c r="D110" i="29"/>
  <c r="B107" i="29"/>
  <c r="C105" i="29"/>
  <c r="D108" i="29"/>
  <c r="D111" i="29"/>
  <c r="B108" i="29"/>
  <c r="B110" i="29"/>
  <c r="B113" i="29"/>
  <c r="D112" i="29"/>
  <c r="D109" i="29"/>
  <c r="B109" i="29"/>
  <c r="D113" i="29"/>
  <c r="D114" i="29"/>
  <c r="D105" i="29"/>
  <c r="B106" i="29"/>
  <c r="B105" i="29"/>
  <c r="D106" i="29"/>
  <c r="C470" i="29"/>
  <c r="C466" i="29"/>
  <c r="C471" i="29"/>
  <c r="C469" i="29"/>
  <c r="C473" i="29"/>
  <c r="C465" i="29"/>
  <c r="C468" i="29"/>
  <c r="C467" i="29"/>
  <c r="C474" i="29"/>
  <c r="C472" i="29"/>
  <c r="D474" i="29"/>
  <c r="D473" i="29"/>
  <c r="D469" i="29"/>
  <c r="D465" i="29"/>
  <c r="B473" i="29"/>
  <c r="B469" i="29"/>
  <c r="B465" i="29"/>
  <c r="D472" i="29"/>
  <c r="D468" i="29"/>
  <c r="B472" i="29"/>
  <c r="B468" i="29"/>
  <c r="D471" i="29"/>
  <c r="D467" i="29"/>
  <c r="B471" i="29"/>
  <c r="B467" i="29"/>
  <c r="D470" i="29"/>
  <c r="D466" i="29"/>
  <c r="B474" i="29"/>
  <c r="B470" i="29"/>
  <c r="B466" i="29"/>
  <c r="C352" i="29"/>
  <c r="C351" i="29"/>
  <c r="C348" i="29"/>
  <c r="C350" i="29"/>
  <c r="C347" i="29"/>
  <c r="C349" i="29"/>
  <c r="C354" i="29"/>
  <c r="C346" i="29"/>
  <c r="C353" i="29"/>
  <c r="C345" i="29"/>
  <c r="D351" i="29"/>
  <c r="D353" i="29"/>
  <c r="B353" i="29"/>
  <c r="B352" i="29"/>
  <c r="D348" i="29"/>
  <c r="B354" i="29"/>
  <c r="D347" i="29"/>
  <c r="D350" i="29"/>
  <c r="B348" i="29"/>
  <c r="D354" i="29"/>
  <c r="B351" i="29"/>
  <c r="B347" i="29"/>
  <c r="D352" i="29"/>
  <c r="D349" i="29"/>
  <c r="B349" i="29"/>
  <c r="B350" i="29"/>
  <c r="D345" i="29"/>
  <c r="B345" i="29"/>
  <c r="B346" i="29"/>
  <c r="D346" i="29"/>
  <c r="C229" i="29"/>
  <c r="C228" i="29"/>
  <c r="C233" i="29"/>
  <c r="C225" i="29"/>
  <c r="C232" i="29"/>
  <c r="C230" i="29"/>
  <c r="C227" i="29"/>
  <c r="C234" i="29"/>
  <c r="C226" i="29"/>
  <c r="C231" i="29"/>
  <c r="D231" i="29"/>
  <c r="D227" i="29"/>
  <c r="B231" i="29"/>
  <c r="B227" i="29"/>
  <c r="D234" i="29"/>
  <c r="D230" i="29"/>
  <c r="D226" i="29"/>
  <c r="B234" i="29"/>
  <c r="B230" i="29"/>
  <c r="B226" i="29"/>
  <c r="D233" i="29"/>
  <c r="D229" i="29"/>
  <c r="D225" i="29"/>
  <c r="B233" i="29"/>
  <c r="B229" i="29"/>
  <c r="B225" i="29"/>
  <c r="D232" i="29"/>
  <c r="D228" i="29"/>
  <c r="B232" i="29"/>
  <c r="B228" i="29"/>
  <c r="C337" i="29"/>
  <c r="C339" i="29"/>
  <c r="C336" i="29"/>
  <c r="C344" i="29"/>
  <c r="C335" i="29"/>
  <c r="C343" i="29"/>
  <c r="C342" i="29"/>
  <c r="C340" i="29"/>
  <c r="C338" i="29"/>
  <c r="D342" i="29"/>
  <c r="D340" i="29"/>
  <c r="B338" i="29"/>
  <c r="B335" i="29"/>
  <c r="B339" i="29"/>
  <c r="B340" i="29"/>
  <c r="B341" i="29"/>
  <c r="D339" i="29"/>
  <c r="B337" i="29"/>
  <c r="D337" i="29"/>
  <c r="D336" i="29"/>
  <c r="D338" i="29"/>
  <c r="D344" i="29"/>
  <c r="B344" i="29"/>
  <c r="B342" i="29"/>
  <c r="D343" i="29"/>
  <c r="D335" i="29"/>
  <c r="B343" i="29"/>
  <c r="B336" i="29"/>
  <c r="D341" i="29"/>
  <c r="C341" i="29"/>
  <c r="C101" i="29"/>
  <c r="C103" i="29"/>
  <c r="C95" i="29"/>
  <c r="C100" i="29"/>
  <c r="C99" i="29"/>
  <c r="C98" i="29"/>
  <c r="C97" i="29"/>
  <c r="C102" i="29"/>
  <c r="C104" i="29"/>
  <c r="C96" i="29"/>
  <c r="B99" i="29"/>
  <c r="D101" i="29"/>
  <c r="B100" i="29"/>
  <c r="B103" i="29"/>
  <c r="B97" i="29"/>
  <c r="B96" i="29"/>
  <c r="D103" i="29"/>
  <c r="B95" i="29"/>
  <c r="D96" i="29"/>
  <c r="B104" i="29"/>
  <c r="B101" i="29"/>
  <c r="B102" i="29"/>
  <c r="D104" i="29"/>
  <c r="D95" i="29"/>
  <c r="D98" i="29"/>
  <c r="B98" i="29"/>
  <c r="D100" i="29"/>
  <c r="D99" i="29"/>
  <c r="D102" i="29"/>
  <c r="D97" i="29"/>
  <c r="C215" i="29"/>
  <c r="B220" i="29"/>
  <c r="B216" i="29"/>
  <c r="B223" i="29"/>
  <c r="B222" i="29"/>
  <c r="C216" i="29"/>
  <c r="C222" i="29"/>
  <c r="D222" i="29"/>
  <c r="D223" i="29"/>
  <c r="B217" i="29"/>
  <c r="D219" i="29"/>
  <c r="D221" i="29"/>
  <c r="D216" i="29"/>
  <c r="B219" i="29"/>
  <c r="D217" i="29"/>
  <c r="B218" i="29"/>
  <c r="D224" i="29"/>
  <c r="C221" i="29"/>
  <c r="B221" i="29"/>
  <c r="C220" i="29"/>
  <c r="C219" i="29"/>
  <c r="C224" i="29"/>
  <c r="C218" i="29"/>
  <c r="C217" i="29"/>
  <c r="C223" i="29"/>
  <c r="B224" i="29"/>
  <c r="D215" i="29"/>
  <c r="D218" i="29"/>
  <c r="B215" i="29"/>
  <c r="D220" i="29"/>
  <c r="C459" i="29"/>
  <c r="C461" i="29"/>
  <c r="D461" i="29"/>
  <c r="B459" i="29"/>
  <c r="B455" i="29"/>
  <c r="B456" i="29"/>
  <c r="B464" i="29"/>
  <c r="D458" i="29"/>
  <c r="C455" i="29"/>
  <c r="C458" i="29"/>
  <c r="D464" i="29"/>
  <c r="D455" i="29"/>
  <c r="D460" i="29"/>
  <c r="D462" i="29"/>
  <c r="B460" i="29"/>
  <c r="B462" i="29"/>
  <c r="D463" i="29"/>
  <c r="D456" i="29"/>
  <c r="B458" i="29"/>
  <c r="D457" i="29"/>
  <c r="C457" i="29"/>
  <c r="C464" i="29"/>
  <c r="C456" i="29"/>
  <c r="C463" i="29"/>
  <c r="C460" i="29"/>
  <c r="C462" i="29"/>
  <c r="B461" i="29"/>
  <c r="B463" i="29"/>
  <c r="B457" i="29"/>
  <c r="D459" i="29"/>
  <c r="D538" i="40" a="1"/>
  <c r="D538" i="40" s="1"/>
  <c r="A85" i="29"/>
  <c r="D85" i="29" s="1"/>
  <c r="C91" i="29"/>
  <c r="C90" i="29"/>
  <c r="C94" i="29"/>
  <c r="C93" i="29"/>
  <c r="C92" i="29"/>
  <c r="D93" i="29"/>
  <c r="D94" i="29"/>
  <c r="D91" i="29"/>
  <c r="B90" i="29"/>
  <c r="D90" i="29"/>
  <c r="B92" i="29"/>
  <c r="B94" i="29"/>
  <c r="B93" i="29"/>
  <c r="B91" i="29"/>
  <c r="D92" i="29"/>
  <c r="D87" i="29"/>
  <c r="D86" i="29"/>
  <c r="C88" i="29"/>
  <c r="B88" i="29"/>
  <c r="B86" i="29"/>
  <c r="B87" i="29"/>
  <c r="D89" i="29"/>
  <c r="C87" i="29"/>
  <c r="C89" i="29"/>
  <c r="D88" i="29"/>
  <c r="B89" i="29"/>
  <c r="C86" i="29"/>
  <c r="A325" i="29"/>
  <c r="B325" i="29" s="1"/>
  <c r="C330" i="29"/>
  <c r="C332" i="29"/>
  <c r="C334" i="29"/>
  <c r="C333" i="29"/>
  <c r="C331" i="29"/>
  <c r="B334" i="29"/>
  <c r="D330" i="29"/>
  <c r="D332" i="29"/>
  <c r="B331" i="29"/>
  <c r="B333" i="29"/>
  <c r="D334" i="29"/>
  <c r="B332" i="29"/>
  <c r="B330" i="29"/>
  <c r="D331" i="29"/>
  <c r="D333" i="29"/>
  <c r="D329" i="29"/>
  <c r="B329" i="29"/>
  <c r="B328" i="29"/>
  <c r="D326" i="29"/>
  <c r="D328" i="29"/>
  <c r="B326" i="29"/>
  <c r="C327" i="29"/>
  <c r="D327" i="29"/>
  <c r="C328" i="29"/>
  <c r="C326" i="29"/>
  <c r="C329" i="29"/>
  <c r="B327" i="29"/>
  <c r="A205" i="29"/>
  <c r="B205" i="29" s="1"/>
  <c r="C213" i="29"/>
  <c r="C209" i="29"/>
  <c r="B213" i="29"/>
  <c r="C208" i="29"/>
  <c r="D209" i="29"/>
  <c r="D211" i="29"/>
  <c r="D210" i="29"/>
  <c r="D213" i="29"/>
  <c r="B209" i="29"/>
  <c r="C212" i="29"/>
  <c r="B212" i="29"/>
  <c r="D207" i="29"/>
  <c r="D212" i="29"/>
  <c r="D208" i="29"/>
  <c r="D214" i="29"/>
  <c r="B207" i="29"/>
  <c r="C207" i="29"/>
  <c r="C211" i="29"/>
  <c r="C214" i="29"/>
  <c r="C210" i="29"/>
  <c r="B208" i="29"/>
  <c r="B214" i="29"/>
  <c r="B210" i="29"/>
  <c r="B211" i="29"/>
  <c r="C206" i="29"/>
  <c r="B206" i="29"/>
  <c r="D206" i="29"/>
  <c r="A445" i="29"/>
  <c r="D445" i="29" s="1"/>
  <c r="C449" i="29"/>
  <c r="C454" i="29"/>
  <c r="D451" i="29"/>
  <c r="B452" i="29"/>
  <c r="B447" i="29"/>
  <c r="B448" i="29"/>
  <c r="D454" i="29"/>
  <c r="D448" i="29"/>
  <c r="D452" i="29"/>
  <c r="B449" i="29"/>
  <c r="C452" i="29"/>
  <c r="C453" i="29"/>
  <c r="D450" i="29"/>
  <c r="B450" i="29"/>
  <c r="B453" i="29"/>
  <c r="D453" i="29"/>
  <c r="C448" i="29"/>
  <c r="B451" i="29"/>
  <c r="D449" i="29"/>
  <c r="C451" i="29"/>
  <c r="C450" i="29"/>
  <c r="C447" i="29"/>
  <c r="D447" i="29"/>
  <c r="B454" i="29"/>
  <c r="C446" i="29"/>
  <c r="B446" i="29"/>
  <c r="D446" i="29"/>
  <c r="H15" i="43"/>
  <c r="K9" i="43"/>
  <c r="E5" i="43"/>
  <c r="H18" i="43"/>
  <c r="A285" i="29"/>
  <c r="D285" i="29" s="1"/>
  <c r="D291" i="29"/>
  <c r="C293" i="29"/>
  <c r="B293" i="29"/>
  <c r="B291" i="29"/>
  <c r="D287" i="29"/>
  <c r="C290" i="29"/>
  <c r="C291" i="29"/>
  <c r="C289" i="29"/>
  <c r="C294" i="29"/>
  <c r="D288" i="29"/>
  <c r="D292" i="29"/>
  <c r="D294" i="29"/>
  <c r="B292" i="29"/>
  <c r="B288" i="29"/>
  <c r="C287" i="29"/>
  <c r="C288" i="29"/>
  <c r="B287" i="29"/>
  <c r="B289" i="29"/>
  <c r="D289" i="29"/>
  <c r="B290" i="29"/>
  <c r="C292" i="29"/>
  <c r="B294" i="29"/>
  <c r="D293" i="29"/>
  <c r="D290" i="29"/>
  <c r="B286" i="29"/>
  <c r="D286" i="29"/>
  <c r="B54" i="29"/>
  <c r="B50" i="29"/>
  <c r="C53" i="29"/>
  <c r="B47" i="29"/>
  <c r="D54" i="29"/>
  <c r="C48" i="29"/>
  <c r="D50" i="29"/>
  <c r="C54" i="29"/>
  <c r="C47" i="29"/>
  <c r="B49" i="29"/>
  <c r="D47" i="29"/>
  <c r="D53" i="29"/>
  <c r="C49" i="29"/>
  <c r="B53" i="29"/>
  <c r="C51" i="29"/>
  <c r="C50" i="29"/>
  <c r="B48" i="29"/>
  <c r="D52" i="29"/>
  <c r="D51" i="29"/>
  <c r="D49" i="29"/>
  <c r="C52" i="29"/>
  <c r="B52" i="29"/>
  <c r="B51" i="29"/>
  <c r="D48" i="29"/>
  <c r="C174" i="29"/>
  <c r="D174" i="29"/>
  <c r="B174" i="29"/>
  <c r="D414" i="29"/>
  <c r="B414" i="29"/>
  <c r="C414" i="29"/>
  <c r="A405" i="29"/>
  <c r="D405" i="29" s="1"/>
  <c r="C408" i="29"/>
  <c r="C411" i="29"/>
  <c r="B413" i="29"/>
  <c r="D407" i="29"/>
  <c r="D406" i="29"/>
  <c r="C410" i="29"/>
  <c r="C407" i="29"/>
  <c r="B406" i="29"/>
  <c r="D413" i="29"/>
  <c r="B411" i="29"/>
  <c r="D410" i="29"/>
  <c r="D411" i="29"/>
  <c r="C413" i="29"/>
  <c r="B409" i="29"/>
  <c r="C412" i="29"/>
  <c r="D409" i="29"/>
  <c r="D412" i="29"/>
  <c r="C406" i="29"/>
  <c r="B412" i="29"/>
  <c r="B408" i="29"/>
  <c r="D408" i="29"/>
  <c r="B410" i="29"/>
  <c r="B407" i="29"/>
  <c r="C409" i="29"/>
  <c r="A165" i="29"/>
  <c r="D165" i="29" s="1"/>
  <c r="C173" i="29"/>
  <c r="C167" i="29"/>
  <c r="B173" i="29"/>
  <c r="D168" i="29"/>
  <c r="C168" i="29"/>
  <c r="C170" i="29"/>
  <c r="D171" i="29"/>
  <c r="B168" i="29"/>
  <c r="B167" i="29"/>
  <c r="C169" i="29"/>
  <c r="D169" i="29"/>
  <c r="D172" i="29"/>
  <c r="B170" i="29"/>
  <c r="B166" i="29"/>
  <c r="B172" i="29"/>
  <c r="C166" i="29"/>
  <c r="B169" i="29"/>
  <c r="D170" i="29"/>
  <c r="C171" i="29"/>
  <c r="D173" i="29"/>
  <c r="D166" i="29"/>
  <c r="D167" i="29"/>
  <c r="B171" i="29"/>
  <c r="C172" i="29"/>
  <c r="C386" i="29"/>
  <c r="D386" i="29"/>
  <c r="B386" i="29"/>
  <c r="C146" i="29"/>
  <c r="B146" i="29"/>
  <c r="D146" i="29"/>
  <c r="C17" i="29"/>
  <c r="B19" i="29"/>
  <c r="B23" i="29"/>
  <c r="D22" i="29"/>
  <c r="D21" i="29"/>
  <c r="C25" i="29"/>
  <c r="D20" i="29"/>
  <c r="C21" i="29"/>
  <c r="C23" i="29"/>
  <c r="C20" i="29"/>
  <c r="B20" i="29"/>
  <c r="D17" i="29"/>
  <c r="D19" i="29"/>
  <c r="C18" i="29"/>
  <c r="B25" i="29"/>
  <c r="D18" i="29"/>
  <c r="B17" i="29"/>
  <c r="B24" i="29"/>
  <c r="C24" i="29"/>
  <c r="C19" i="29"/>
  <c r="D23" i="29"/>
  <c r="C22" i="29"/>
  <c r="B18" i="29"/>
  <c r="D25" i="29"/>
  <c r="B21" i="29"/>
  <c r="D24" i="29"/>
  <c r="B22" i="29"/>
  <c r="D259" i="29"/>
  <c r="C261" i="29"/>
  <c r="D260" i="29"/>
  <c r="D258" i="29"/>
  <c r="B265" i="29"/>
  <c r="B257" i="29"/>
  <c r="D261" i="29"/>
  <c r="C257" i="29"/>
  <c r="B261" i="29"/>
  <c r="D263" i="29"/>
  <c r="D264" i="29"/>
  <c r="B260" i="29"/>
  <c r="B258" i="29"/>
  <c r="B259" i="29"/>
  <c r="C264" i="29"/>
  <c r="C265" i="29"/>
  <c r="B264" i="29"/>
  <c r="D262" i="29"/>
  <c r="B263" i="29"/>
  <c r="B262" i="29"/>
  <c r="C263" i="29"/>
  <c r="C262" i="29"/>
  <c r="C258" i="29"/>
  <c r="D257" i="29"/>
  <c r="D265" i="29"/>
  <c r="C259" i="29"/>
  <c r="C260" i="29"/>
  <c r="C144" i="29"/>
  <c r="C143" i="29"/>
  <c r="C142" i="29"/>
  <c r="C145" i="29"/>
  <c r="D139" i="29"/>
  <c r="D143" i="29"/>
  <c r="B143" i="29"/>
  <c r="B137" i="29"/>
  <c r="B145" i="29"/>
  <c r="D141" i="29"/>
  <c r="D137" i="29"/>
  <c r="B139" i="29"/>
  <c r="C140" i="29"/>
  <c r="B138" i="29"/>
  <c r="B141" i="29"/>
  <c r="B144" i="29"/>
  <c r="B140" i="29"/>
  <c r="D142" i="29"/>
  <c r="D140" i="29"/>
  <c r="C139" i="29"/>
  <c r="C138" i="29"/>
  <c r="D138" i="29"/>
  <c r="C137" i="29"/>
  <c r="B142" i="29"/>
  <c r="D145" i="29"/>
  <c r="D144" i="29"/>
  <c r="C141" i="29"/>
  <c r="C385" i="29"/>
  <c r="C384" i="29"/>
  <c r="C383" i="29"/>
  <c r="C382" i="29"/>
  <c r="C377" i="29"/>
  <c r="D379" i="29"/>
  <c r="D384" i="29"/>
  <c r="B382" i="29"/>
  <c r="B379" i="29"/>
  <c r="D383" i="29"/>
  <c r="B384" i="29"/>
  <c r="B378" i="29"/>
  <c r="B381" i="29"/>
  <c r="B377" i="29"/>
  <c r="D382" i="29"/>
  <c r="D385" i="29"/>
  <c r="B380" i="29"/>
  <c r="C380" i="29"/>
  <c r="D378" i="29"/>
  <c r="D380" i="29"/>
  <c r="D377" i="29"/>
  <c r="B383" i="29"/>
  <c r="C379" i="29"/>
  <c r="D381" i="29"/>
  <c r="B385" i="29"/>
  <c r="C378" i="29"/>
  <c r="C381" i="29"/>
  <c r="E216" i="40"/>
  <c r="F216" i="40" s="1"/>
  <c r="B376" i="29"/>
  <c r="D376" i="29"/>
  <c r="C376" i="29"/>
  <c r="C136" i="29"/>
  <c r="B136" i="29"/>
  <c r="D136" i="29"/>
  <c r="C133" i="29"/>
  <c r="D133" i="29"/>
  <c r="B129" i="29"/>
  <c r="B135" i="29"/>
  <c r="D135" i="29"/>
  <c r="D128" i="29"/>
  <c r="D134" i="29"/>
  <c r="B132" i="29"/>
  <c r="D130" i="29"/>
  <c r="C130" i="29"/>
  <c r="D131" i="29"/>
  <c r="B130" i="29"/>
  <c r="B133" i="29"/>
  <c r="C135" i="29"/>
  <c r="B128" i="29"/>
  <c r="C129" i="29"/>
  <c r="C128" i="29"/>
  <c r="C131" i="29"/>
  <c r="C134" i="29"/>
  <c r="D129" i="29"/>
  <c r="D132" i="29"/>
  <c r="B134" i="29"/>
  <c r="C132" i="29"/>
  <c r="B131" i="29"/>
  <c r="D127" i="29"/>
  <c r="C127" i="29"/>
  <c r="B127" i="29"/>
  <c r="C375" i="29"/>
  <c r="B375" i="29"/>
  <c r="B373" i="29"/>
  <c r="D375" i="29"/>
  <c r="C374" i="29"/>
  <c r="C369" i="29"/>
  <c r="D371" i="29"/>
  <c r="C372" i="29"/>
  <c r="D368" i="29"/>
  <c r="C373" i="29"/>
  <c r="C371" i="29"/>
  <c r="D372" i="29"/>
  <c r="B372" i="29"/>
  <c r="B368" i="29"/>
  <c r="B370" i="29"/>
  <c r="D370" i="29"/>
  <c r="D369" i="29"/>
  <c r="C368" i="29"/>
  <c r="C370" i="29"/>
  <c r="D374" i="29"/>
  <c r="B369" i="29"/>
  <c r="B374" i="29"/>
  <c r="B371" i="29"/>
  <c r="D373" i="29"/>
  <c r="B367" i="29"/>
  <c r="D367" i="29"/>
  <c r="C367" i="29"/>
  <c r="A125" i="29"/>
  <c r="B125" i="29" s="1"/>
  <c r="C126" i="29"/>
  <c r="B126" i="29"/>
  <c r="D126" i="29"/>
  <c r="A365" i="29"/>
  <c r="B365" i="29" s="1"/>
  <c r="B366" i="29"/>
  <c r="C366" i="29"/>
  <c r="D366" i="29"/>
  <c r="C16" i="29"/>
  <c r="B16" i="29"/>
  <c r="D16" i="29"/>
  <c r="D256" i="29"/>
  <c r="C256" i="29"/>
  <c r="B256" i="29"/>
  <c r="D15" i="29"/>
  <c r="C15" i="29"/>
  <c r="B15" i="29"/>
  <c r="B255" i="29"/>
  <c r="D255" i="29"/>
  <c r="C255" i="29"/>
  <c r="D6" i="29"/>
  <c r="B6" i="29"/>
  <c r="C6" i="29"/>
  <c r="C249" i="29"/>
  <c r="B250" i="29"/>
  <c r="C247" i="29"/>
  <c r="D253" i="29"/>
  <c r="D249" i="29"/>
  <c r="C248" i="29"/>
  <c r="B249" i="29"/>
  <c r="C253" i="29"/>
  <c r="B247" i="29"/>
  <c r="B251" i="29"/>
  <c r="C251" i="29"/>
  <c r="B7" i="29"/>
  <c r="D8" i="29"/>
  <c r="C7" i="29"/>
  <c r="C13" i="29"/>
  <c r="B12" i="29"/>
  <c r="D11" i="29"/>
  <c r="C10" i="29"/>
  <c r="B11" i="29"/>
  <c r="D10" i="29"/>
  <c r="B10" i="29"/>
  <c r="C14" i="29"/>
  <c r="B13" i="29"/>
  <c r="C9" i="29"/>
  <c r="B252" i="29"/>
  <c r="A245" i="29"/>
  <c r="D245" i="29" s="1"/>
  <c r="D14" i="29"/>
  <c r="B14" i="29"/>
  <c r="A5" i="29"/>
  <c r="D5" i="29" s="1"/>
  <c r="C254" i="29"/>
  <c r="D254" i="29"/>
  <c r="B9" i="29"/>
  <c r="D13" i="29"/>
  <c r="D9" i="29"/>
  <c r="D7" i="29"/>
  <c r="D251" i="29"/>
  <c r="D252" i="29"/>
  <c r="C11" i="29"/>
  <c r="C8" i="29"/>
  <c r="B8" i="29"/>
  <c r="B248" i="29"/>
  <c r="B254" i="29"/>
  <c r="C250" i="29"/>
  <c r="B253" i="29"/>
  <c r="C252" i="29"/>
  <c r="D250" i="29"/>
  <c r="B246" i="29"/>
  <c r="C246" i="29"/>
  <c r="D248" i="29"/>
  <c r="D247" i="29"/>
  <c r="D246" i="29"/>
  <c r="C12" i="29"/>
  <c r="D12" i="29"/>
  <c r="O561" i="40"/>
  <c r="E540" i="40"/>
  <c r="F540" i="40" s="1"/>
  <c r="C561" i="40"/>
  <c r="L19" i="40"/>
  <c r="E215" i="40"/>
  <c r="G24" i="40"/>
  <c r="K220" i="40"/>
  <c r="C566" i="40"/>
  <c r="E545" i="40"/>
  <c r="F545" i="40" s="1"/>
  <c r="D566" i="40" s="1"/>
  <c r="E566" i="40" s="1"/>
  <c r="O566" i="40"/>
  <c r="P566" i="40" s="1"/>
  <c r="E219" i="40"/>
  <c r="L23" i="40"/>
  <c r="O565" i="40"/>
  <c r="P565" i="40" s="1"/>
  <c r="C565" i="40"/>
  <c r="E544" i="40"/>
  <c r="F544" i="40" s="1"/>
  <c r="D565" i="40" s="1"/>
  <c r="E565" i="40" s="1"/>
  <c r="K215" i="40"/>
  <c r="G19" i="40"/>
  <c r="G21" i="40"/>
  <c r="K217" i="40"/>
  <c r="G22" i="40"/>
  <c r="K218" i="40"/>
  <c r="E542" i="40"/>
  <c r="F542" i="40" s="1"/>
  <c r="G20" i="40"/>
  <c r="K216" i="40"/>
  <c r="G23" i="40"/>
  <c r="K219" i="40"/>
  <c r="E220" i="40"/>
  <c r="L24" i="40"/>
  <c r="G25" i="40"/>
  <c r="K221" i="40"/>
  <c r="G18" i="40"/>
  <c r="K214" i="40"/>
  <c r="A45" i="29"/>
  <c r="B46" i="29"/>
  <c r="D46" i="29"/>
  <c r="C46" i="29"/>
  <c r="L25" i="40"/>
  <c r="E221" i="40"/>
  <c r="E217" i="40"/>
  <c r="L21" i="40"/>
  <c r="C560" i="40"/>
  <c r="O560" i="40"/>
  <c r="E539" i="40"/>
  <c r="F539" i="40" s="1"/>
  <c r="C564" i="40"/>
  <c r="O564" i="40"/>
  <c r="E543" i="40"/>
  <c r="F543" i="40" s="1"/>
  <c r="E214" i="40"/>
  <c r="E541" i="40"/>
  <c r="F541" i="40" s="1"/>
  <c r="O562" i="40"/>
  <c r="C562" i="40"/>
  <c r="H17" i="33"/>
  <c r="Q538" i="40"/>
  <c r="R538" i="40" s="1"/>
  <c r="E218" i="40"/>
  <c r="L22" i="40"/>
  <c r="U318" i="40" l="1"/>
  <c r="U272" i="40"/>
  <c r="U256" i="40"/>
  <c r="S256" i="40"/>
  <c r="U317" i="40"/>
  <c r="U298" i="40"/>
  <c r="S251" i="40"/>
  <c r="U251" i="40"/>
  <c r="U294" i="40"/>
  <c r="U293" i="40"/>
  <c r="U250" i="40"/>
  <c r="U274" i="40"/>
  <c r="U354" i="40"/>
  <c r="U292" i="40"/>
  <c r="U334" i="40"/>
  <c r="U253" i="40"/>
  <c r="S253" i="40"/>
  <c r="S250" i="40"/>
  <c r="U315" i="40"/>
  <c r="U353" i="40"/>
  <c r="U277" i="40"/>
  <c r="U289" i="40"/>
  <c r="U313" i="40"/>
  <c r="U352" i="40"/>
  <c r="U333" i="40"/>
  <c r="S252" i="40"/>
  <c r="U252" i="40"/>
  <c r="U290" i="40"/>
  <c r="U271" i="40"/>
  <c r="U332" i="40"/>
  <c r="U312" i="40"/>
  <c r="U311" i="40"/>
  <c r="U331" i="40"/>
  <c r="U295" i="40"/>
  <c r="U351" i="40"/>
  <c r="S255" i="40"/>
  <c r="U255" i="40"/>
  <c r="U273" i="40"/>
  <c r="U275" i="40"/>
  <c r="S254" i="40"/>
  <c r="U254" i="40"/>
  <c r="U310" i="40"/>
  <c r="U350" i="40"/>
  <c r="U330" i="40"/>
  <c r="U296" i="40"/>
  <c r="U270" i="40"/>
  <c r="U349" i="40"/>
  <c r="U329" i="40"/>
  <c r="U291" i="40"/>
  <c r="S249" i="40"/>
  <c r="U309" i="40"/>
  <c r="U249" i="40"/>
  <c r="T249" i="40"/>
  <c r="R249" i="40"/>
  <c r="Q339" i="40"/>
  <c r="U269" i="40"/>
  <c r="J538" i="40" a="1"/>
  <c r="J538" i="40" s="1"/>
  <c r="P240" i="40"/>
  <c r="P239" i="40"/>
  <c r="P238" i="40"/>
  <c r="P237" i="40"/>
  <c r="P235" i="40"/>
  <c r="C445" i="29"/>
  <c r="B285" i="29"/>
  <c r="C285" i="29"/>
  <c r="C325" i="29"/>
  <c r="B445" i="29"/>
  <c r="D325" i="29"/>
  <c r="B198" i="42" a="1"/>
  <c r="B198" i="42" s="1"/>
  <c r="B6" i="42" a="1"/>
  <c r="B6" i="42" s="1"/>
  <c r="K20" i="40"/>
  <c r="D205" i="29"/>
  <c r="C85" i="29"/>
  <c r="C205" i="29"/>
  <c r="B85" i="29"/>
  <c r="E538" i="40"/>
  <c r="F538" i="40" s="1"/>
  <c r="C165" i="29"/>
  <c r="B165" i="29"/>
  <c r="B405" i="29"/>
  <c r="C405" i="29"/>
  <c r="J20" i="40"/>
  <c r="D125" i="29"/>
  <c r="C125" i="29"/>
  <c r="C365" i="29"/>
  <c r="D365" i="29"/>
  <c r="B245" i="29"/>
  <c r="C245" i="29"/>
  <c r="C5" i="29"/>
  <c r="B5" i="29"/>
  <c r="A548" i="40" a="1"/>
  <c r="P398" i="44" s="1"/>
  <c r="M548" i="40" a="1"/>
  <c r="J23" i="40"/>
  <c r="F219" i="40"/>
  <c r="B45" i="29"/>
  <c r="D45" i="29"/>
  <c r="C45" i="29"/>
  <c r="L217" i="40"/>
  <c r="F21" i="40" s="1"/>
  <c r="E21" i="40"/>
  <c r="J24" i="40"/>
  <c r="F220" i="40"/>
  <c r="L218" i="40"/>
  <c r="F22" i="40" s="1"/>
  <c r="E22" i="40"/>
  <c r="P236" i="40"/>
  <c r="E23" i="40"/>
  <c r="L219" i="40"/>
  <c r="F23" i="40" s="1"/>
  <c r="L220" i="40"/>
  <c r="F24" i="40" s="1"/>
  <c r="E24" i="40"/>
  <c r="F221" i="40"/>
  <c r="J25" i="40"/>
  <c r="L215" i="40"/>
  <c r="F19" i="40" s="1"/>
  <c r="E19" i="40"/>
  <c r="F214" i="40"/>
  <c r="J18" i="40"/>
  <c r="J21" i="40"/>
  <c r="F217" i="40"/>
  <c r="F218" i="40"/>
  <c r="J22" i="40"/>
  <c r="E18" i="40"/>
  <c r="L214" i="40"/>
  <c r="L216" i="40"/>
  <c r="F20" i="40" s="1"/>
  <c r="E20" i="40"/>
  <c r="F215" i="40"/>
  <c r="J19" i="40"/>
  <c r="L221" i="40"/>
  <c r="F25" i="40" s="1"/>
  <c r="E25" i="40"/>
  <c r="B26" i="44" l="1" a="1"/>
  <c r="B26" i="44" s="1"/>
  <c r="B66" i="44" a="1"/>
  <c r="B66" i="44" s="1"/>
  <c r="B106" i="44" a="1"/>
  <c r="B106" i="44" s="1"/>
  <c r="B46" i="44" a="1"/>
  <c r="B46" i="44" s="1"/>
  <c r="B6" i="44" a="1"/>
  <c r="B6" i="44" s="1"/>
  <c r="B86" i="44" a="1"/>
  <c r="B86" i="44" s="1"/>
  <c r="K539" i="40"/>
  <c r="L539" i="40" s="1"/>
  <c r="K543" i="40"/>
  <c r="L543" i="40" s="1"/>
  <c r="K542" i="40"/>
  <c r="L542" i="40" s="1"/>
  <c r="K540" i="40"/>
  <c r="L540" i="40" s="1"/>
  <c r="K538" i="40"/>
  <c r="L538" i="40" s="1"/>
  <c r="K541" i="40"/>
  <c r="L541" i="40" s="1"/>
  <c r="O559" i="40"/>
  <c r="S340" i="40"/>
  <c r="S342" i="40"/>
  <c r="S345" i="40"/>
  <c r="T339" i="40"/>
  <c r="S343" i="40"/>
  <c r="S344" i="40"/>
  <c r="R339" i="40"/>
  <c r="S341" i="40"/>
  <c r="S339" i="40"/>
  <c r="U368" i="40"/>
  <c r="U361" i="40"/>
  <c r="U340" i="40"/>
  <c r="U306" i="40"/>
  <c r="U288" i="40"/>
  <c r="U280" i="40"/>
  <c r="U284" i="40"/>
  <c r="U279" i="40"/>
  <c r="U366" i="40"/>
  <c r="U345" i="40"/>
  <c r="U323" i="40"/>
  <c r="U303" i="40"/>
  <c r="U285" i="40"/>
  <c r="U266" i="40"/>
  <c r="U262" i="40"/>
  <c r="U344" i="40"/>
  <c r="U282" i="40"/>
  <c r="U263" i="40"/>
  <c r="U367" i="40"/>
  <c r="U359" i="40"/>
  <c r="U324" i="40"/>
  <c r="U304" i="40"/>
  <c r="U286" i="40"/>
  <c r="U365" i="40"/>
  <c r="U322" i="40"/>
  <c r="U360" i="40"/>
  <c r="U364" i="40"/>
  <c r="U343" i="40"/>
  <c r="U321" i="40"/>
  <c r="U301" i="40"/>
  <c r="U283" i="40"/>
  <c r="U302" i="40"/>
  <c r="U287" i="40"/>
  <c r="U265" i="40"/>
  <c r="U362" i="40"/>
  <c r="U341" i="40"/>
  <c r="U319" i="40"/>
  <c r="U299" i="40"/>
  <c r="U281" i="40"/>
  <c r="U342" i="40"/>
  <c r="U320" i="40"/>
  <c r="U264" i="40"/>
  <c r="U363" i="40"/>
  <c r="U300" i="40"/>
  <c r="U339" i="40"/>
  <c r="U305" i="40"/>
  <c r="U260" i="40"/>
  <c r="V542" i="40" a="1"/>
  <c r="V542" i="40" s="1"/>
  <c r="U259" i="40"/>
  <c r="U261" i="40"/>
  <c r="C559" i="40"/>
  <c r="K19" i="40"/>
  <c r="D236" i="40"/>
  <c r="K25" i="40"/>
  <c r="D242" i="40"/>
  <c r="E242" i="40" s="1"/>
  <c r="K22" i="40"/>
  <c r="D239" i="40"/>
  <c r="K24" i="40"/>
  <c r="D241" i="40"/>
  <c r="E241" i="40" s="1"/>
  <c r="K21" i="40"/>
  <c r="D238" i="40"/>
  <c r="K18" i="40"/>
  <c r="D235" i="40"/>
  <c r="K23" i="40"/>
  <c r="D240" i="40"/>
  <c r="D237" i="40"/>
  <c r="A224" i="40" a="1"/>
  <c r="A548" i="40"/>
  <c r="K398" i="44" s="1"/>
  <c r="X33" i="40" a="1"/>
  <c r="X33" i="40" s="1"/>
  <c r="B432" i="42" a="1"/>
  <c r="B432" i="42" s="1"/>
  <c r="T398" i="44"/>
  <c r="R398" i="44"/>
  <c r="B439" i="42" a="1"/>
  <c r="B439" i="42" s="1"/>
  <c r="S235" i="40" a="1"/>
  <c r="M548" i="40"/>
  <c r="B398" i="44" s="1"/>
  <c r="G398" i="44"/>
  <c r="E398" i="44"/>
  <c r="D398" i="44"/>
  <c r="F18" i="40"/>
  <c r="F224" i="40" a="1"/>
  <c r="B258" i="44" l="1" a="1"/>
  <c r="B258" i="44" s="1"/>
  <c r="K403" i="42"/>
  <c r="P403" i="42"/>
  <c r="R403" i="42"/>
  <c r="T403" i="42"/>
  <c r="K402" i="42"/>
  <c r="R402" i="42"/>
  <c r="P402" i="42"/>
  <c r="T402" i="42"/>
  <c r="K401" i="42"/>
  <c r="P401" i="42"/>
  <c r="R401" i="42"/>
  <c r="T401" i="42"/>
  <c r="H548" i="40" a="1"/>
  <c r="A224" i="40"/>
  <c r="P400" i="42"/>
  <c r="T400" i="42"/>
  <c r="K400" i="42"/>
  <c r="R400" i="42"/>
  <c r="B198" i="44" a="1"/>
  <c r="B198" i="44" s="1"/>
  <c r="B218" i="44" a="1"/>
  <c r="B218" i="44" s="1"/>
  <c r="B238" i="44" a="1"/>
  <c r="B238" i="44" s="1"/>
  <c r="B301" i="44" a="1"/>
  <c r="B301" i="44" s="1"/>
  <c r="W539" i="40"/>
  <c r="X539" i="40" s="1"/>
  <c r="D560" i="40" s="1"/>
  <c r="C563" i="40"/>
  <c r="W541" i="40"/>
  <c r="X541" i="40" s="1"/>
  <c r="D562" i="40" s="1"/>
  <c r="W540" i="40"/>
  <c r="X540" i="40" s="1"/>
  <c r="D561" i="40" s="1"/>
  <c r="W543" i="40"/>
  <c r="X543" i="40" s="1"/>
  <c r="D564" i="40" s="1"/>
  <c r="O563" i="40"/>
  <c r="P560" i="40" s="1"/>
  <c r="W542" i="40"/>
  <c r="X542" i="40" s="1"/>
  <c r="D563" i="40" s="1"/>
  <c r="W538" i="40"/>
  <c r="X538" i="40" s="1"/>
  <c r="D559" i="40" s="1"/>
  <c r="B281" i="44" a="1"/>
  <c r="B281" i="44" s="1"/>
  <c r="D427" i="42"/>
  <c r="K427" i="42"/>
  <c r="H427" i="42"/>
  <c r="E403" i="42"/>
  <c r="G403" i="42"/>
  <c r="B403" i="42"/>
  <c r="D403" i="42"/>
  <c r="E240" i="40"/>
  <c r="K426" i="42"/>
  <c r="D426" i="42"/>
  <c r="H426" i="42"/>
  <c r="E402" i="42"/>
  <c r="D402" i="42"/>
  <c r="G402" i="42"/>
  <c r="B402" i="42"/>
  <c r="E239" i="40"/>
  <c r="K425" i="42"/>
  <c r="H425" i="42"/>
  <c r="D425" i="42"/>
  <c r="D401" i="42"/>
  <c r="E401" i="42"/>
  <c r="G401" i="42"/>
  <c r="B401" i="42"/>
  <c r="E238" i="40"/>
  <c r="D400" i="42"/>
  <c r="E400" i="42"/>
  <c r="B400" i="42"/>
  <c r="G400" i="42"/>
  <c r="D423" i="42"/>
  <c r="H424" i="42"/>
  <c r="K424" i="42"/>
  <c r="D424" i="42"/>
  <c r="E237" i="40"/>
  <c r="B399" i="42"/>
  <c r="G399" i="42"/>
  <c r="E399" i="42"/>
  <c r="D399" i="42"/>
  <c r="H422" i="42"/>
  <c r="K422" i="42"/>
  <c r="S235" i="40"/>
  <c r="D422" i="42" s="1"/>
  <c r="K423" i="42"/>
  <c r="H423" i="42"/>
  <c r="F224" i="40"/>
  <c r="B398" i="42" s="1"/>
  <c r="G398" i="42"/>
  <c r="D398" i="42"/>
  <c r="E398" i="42"/>
  <c r="K399" i="42"/>
  <c r="K398" i="42"/>
  <c r="T398" i="42"/>
  <c r="R399" i="42"/>
  <c r="R398" i="42"/>
  <c r="T399" i="42"/>
  <c r="P399" i="42"/>
  <c r="P398" i="42"/>
  <c r="E235" i="40"/>
  <c r="E236" i="40"/>
  <c r="P413" i="44" l="1"/>
  <c r="T413" i="44"/>
  <c r="R413" i="44"/>
  <c r="K413" i="44"/>
  <c r="R412" i="44"/>
  <c r="K412" i="44"/>
  <c r="T412" i="44"/>
  <c r="P412" i="44"/>
  <c r="R411" i="44"/>
  <c r="K411" i="44"/>
  <c r="T411" i="44"/>
  <c r="P411" i="44"/>
  <c r="T409" i="44"/>
  <c r="K409" i="44"/>
  <c r="R409" i="44"/>
  <c r="P409" i="44"/>
  <c r="P408" i="44"/>
  <c r="T408" i="44"/>
  <c r="R408" i="44"/>
  <c r="R410" i="44"/>
  <c r="T410" i="44"/>
  <c r="P410" i="44"/>
  <c r="K410" i="44"/>
  <c r="H548" i="40"/>
  <c r="K408" i="44" s="1"/>
  <c r="B463" i="44" a="1"/>
  <c r="B463" i="44" s="1"/>
  <c r="B442" i="44" a="1"/>
  <c r="B442" i="44" s="1"/>
  <c r="E562" i="40"/>
  <c r="S548" i="40" a="1"/>
  <c r="E560" i="40"/>
  <c r="B449" i="44" a="1"/>
  <c r="B449" i="44" s="1"/>
  <c r="B456" i="44" a="1"/>
  <c r="B456" i="44" s="1"/>
  <c r="E561" i="40"/>
  <c r="E559" i="40"/>
  <c r="E563" i="40"/>
  <c r="P563" i="40"/>
  <c r="P564" i="40"/>
  <c r="P559" i="40"/>
  <c r="P561" i="40"/>
  <c r="P562" i="40"/>
  <c r="E564" i="40"/>
  <c r="H235" i="40" a="1"/>
  <c r="S559" i="40" l="1" a="1"/>
  <c r="H433" i="44" s="1"/>
  <c r="E413" i="44"/>
  <c r="B410" i="44"/>
  <c r="G409" i="44"/>
  <c r="E411" i="44"/>
  <c r="D410" i="44"/>
  <c r="G411" i="44"/>
  <c r="G412" i="44"/>
  <c r="B411" i="44"/>
  <c r="D408" i="44"/>
  <c r="G408" i="44"/>
  <c r="D413" i="44"/>
  <c r="E412" i="44"/>
  <c r="B409" i="44"/>
  <c r="G413" i="44"/>
  <c r="G410" i="44"/>
  <c r="D409" i="44"/>
  <c r="D412" i="44"/>
  <c r="D411" i="44"/>
  <c r="S548" i="40"/>
  <c r="B408" i="44" s="1"/>
  <c r="E410" i="44"/>
  <c r="E408" i="44"/>
  <c r="B413" i="44"/>
  <c r="B412" i="44"/>
  <c r="E409" i="44"/>
  <c r="H559" i="40" a="1"/>
  <c r="D416" i="42"/>
  <c r="K416" i="42"/>
  <c r="H416" i="42"/>
  <c r="N416" i="42"/>
  <c r="N415" i="42"/>
  <c r="K415" i="42"/>
  <c r="H415" i="42"/>
  <c r="D415" i="42"/>
  <c r="K414" i="42"/>
  <c r="N414" i="42"/>
  <c r="H414" i="42"/>
  <c r="D414" i="42"/>
  <c r="H235" i="40"/>
  <c r="D411" i="42" s="1"/>
  <c r="K413" i="42"/>
  <c r="H413" i="42"/>
  <c r="N413" i="42"/>
  <c r="D413" i="42"/>
  <c r="N411" i="42"/>
  <c r="D412" i="42"/>
  <c r="K412" i="42"/>
  <c r="H411" i="42"/>
  <c r="K411" i="42"/>
  <c r="H412" i="42"/>
  <c r="N412" i="42"/>
  <c r="H437" i="44" l="1"/>
  <c r="D433" i="44"/>
  <c r="K437" i="44"/>
  <c r="D434" i="44"/>
  <c r="H434" i="44"/>
  <c r="D435" i="44"/>
  <c r="K433" i="44"/>
  <c r="D437" i="44"/>
  <c r="H432" i="44"/>
  <c r="K434" i="44"/>
  <c r="K432" i="44"/>
  <c r="H435" i="44"/>
  <c r="K435" i="44"/>
  <c r="D436" i="44"/>
  <c r="H436" i="44"/>
  <c r="S559" i="40"/>
  <c r="D432" i="44" s="1"/>
  <c r="K436" i="44"/>
  <c r="K426" i="44"/>
  <c r="H425" i="44"/>
  <c r="D424" i="44"/>
  <c r="D423" i="44"/>
  <c r="K421" i="44"/>
  <c r="H426" i="44"/>
  <c r="K425" i="44"/>
  <c r="K424" i="44"/>
  <c r="K423" i="44"/>
  <c r="N421" i="44"/>
  <c r="D426" i="44"/>
  <c r="D425" i="44"/>
  <c r="H422" i="44"/>
  <c r="N426" i="44"/>
  <c r="H421" i="44"/>
  <c r="H559" i="40"/>
  <c r="D421" i="44" s="1"/>
  <c r="K422" i="44"/>
  <c r="N424" i="44"/>
  <c r="N423" i="44"/>
  <c r="N422" i="44"/>
  <c r="N425" i="44"/>
  <c r="H424" i="44"/>
  <c r="H423" i="44"/>
  <c r="D422" i="4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<sst xmlns="http://schemas.openxmlformats.org/spreadsheetml/2006/main" count="3136" uniqueCount="298">
  <si>
    <t>Wessex Young Athletes Track and Field League 2026</t>
  </si>
  <si>
    <t>QuadKids</t>
  </si>
  <si>
    <t>1 - Enter the Match ID from Column A</t>
  </si>
  <si>
    <t xml:space="preserve">5 - On the '75m', '600m', 'LongJump' and 'Vortex' sheets enter the athlete's Number and Performance. Only use the yellow boxes. </t>
  </si>
  <si>
    <t xml:space="preserve">2 - On the 'Declarations' sheet enter the athlete's Name in the yellow boxes. </t>
  </si>
  <si>
    <t>6 - If the athlete didn’t finish the 75m or 600m enter 'DNF'. If they measured no distance in the Long Jump or Vortex enter 'No Mark'. Both give 1 point.</t>
  </si>
  <si>
    <t>3 - Allocate numbers once all the athletes/teams have declared.</t>
  </si>
  <si>
    <t>7 - Enter any relay results on the 'Relay' sheet. These times don't contribute to the team score but are submitted to the Power of 10.</t>
  </si>
  <si>
    <t>4 - Print the 'FieldCards' sheet (Athletes are only displayed if have been allocated a number)</t>
  </si>
  <si>
    <t xml:space="preserve">8 -  The 'QKResults' sheet will show the individual's and team's total scores and ranking. </t>
  </si>
  <si>
    <t>MATCH</t>
  </si>
  <si>
    <t>Numbers</t>
  </si>
  <si>
    <t>ONLY ALTER TEXT IN THE YELLOW BOXES.
You can 'copy' and 'paste' values but do not use 'cut'</t>
  </si>
  <si>
    <t>DATE</t>
  </si>
  <si>
    <t>GIRLS</t>
  </si>
  <si>
    <t>BOYS</t>
  </si>
  <si>
    <t>Team 1</t>
  </si>
  <si>
    <t>Team 2</t>
  </si>
  <si>
    <t>Team 3</t>
  </si>
  <si>
    <t>Team 4</t>
  </si>
  <si>
    <t>Team 5</t>
  </si>
  <si>
    <t>Team 6</t>
  </si>
  <si>
    <t>Team 7</t>
  </si>
  <si>
    <t>Team 8</t>
  </si>
  <si>
    <t>Team Guest</t>
  </si>
  <si>
    <t>MATCH ID</t>
  </si>
  <si>
    <t>ROUND</t>
  </si>
  <si>
    <t>Date</t>
  </si>
  <si>
    <t>Venue</t>
  </si>
  <si>
    <t>Host</t>
  </si>
  <si>
    <t>Team2</t>
  </si>
  <si>
    <t>Team3</t>
  </si>
  <si>
    <t>Team4</t>
  </si>
  <si>
    <t>Team5</t>
  </si>
  <si>
    <t>Team6</t>
  </si>
  <si>
    <t>Team7</t>
  </si>
  <si>
    <t>Team8</t>
  </si>
  <si>
    <t>TeamGuest</t>
  </si>
  <si>
    <t>Oxford City AC @ Horspath</t>
  </si>
  <si>
    <t>Oxford City AC</t>
  </si>
  <si>
    <t>Waverley Athletics Club</t>
  </si>
  <si>
    <t>Wimborne AC</t>
  </si>
  <si>
    <t>Camberley &amp; District AC</t>
  </si>
  <si>
    <t>Southampton Athletic Club</t>
  </si>
  <si>
    <t>Fleet &amp; Crookham AC</t>
  </si>
  <si>
    <t>Reading AC</t>
  </si>
  <si>
    <t>Basingstoke &amp; Mid Hants AC</t>
  </si>
  <si>
    <t>Newbury AC</t>
  </si>
  <si>
    <t>Slough Junior AC</t>
  </si>
  <si>
    <t>Andover AC</t>
  </si>
  <si>
    <t>City of Salisbury AC &amp; RC</t>
  </si>
  <si>
    <t>Swindon Harriers</t>
  </si>
  <si>
    <t>Dorchester AC</t>
  </si>
  <si>
    <t>Abingdon AC</t>
  </si>
  <si>
    <t>Winchester &amp; District AC</t>
  </si>
  <si>
    <t>Radley Athletic Club</t>
  </si>
  <si>
    <t>Team Kennet Triathlon &amp; AC</t>
  </si>
  <si>
    <t>Woking AC</t>
  </si>
  <si>
    <t>Marlborough Athletics</t>
  </si>
  <si>
    <t>Havant/SETAFA</t>
  </si>
  <si>
    <t>Isle of Wight AC @ Sandown IoW</t>
  </si>
  <si>
    <t>Isle of Wight AC</t>
  </si>
  <si>
    <t>Bournemouth AC</t>
  </si>
  <si>
    <t>Poole AC</t>
  </si>
  <si>
    <t>New Forest Junior AC</t>
  </si>
  <si>
    <t>Poole Runners</t>
  </si>
  <si>
    <t>Camberley &amp; District AC @ Woking</t>
  </si>
  <si>
    <t>Marlborough Athletics @ Swindon</t>
  </si>
  <si>
    <t>Poole Runners @ Poole</t>
  </si>
  <si>
    <t>Radley Athletic Club @ Abingdon</t>
  </si>
  <si>
    <t>VENUE</t>
  </si>
  <si>
    <t>QUADKIDS 75m</t>
  </si>
  <si>
    <t>Event</t>
  </si>
  <si>
    <t>First Name</t>
  </si>
  <si>
    <t>Surname</t>
  </si>
  <si>
    <t>Club</t>
  </si>
  <si>
    <t>AgeGroup</t>
  </si>
  <si>
    <t>Athlete
No</t>
  </si>
  <si>
    <t>Time
(ss.d)</t>
  </si>
  <si>
    <t>Wind
(s.d)</t>
  </si>
  <si>
    <t>Name</t>
  </si>
  <si>
    <t>Points</t>
  </si>
  <si>
    <t>PB Awards</t>
  </si>
  <si>
    <t>Funetics</t>
  </si>
  <si>
    <t>eg 11.0 or DNF</t>
  </si>
  <si>
    <t>75m</t>
  </si>
  <si>
    <t>QUADKIDS 600m</t>
  </si>
  <si>
    <t>Time                 (m:ss.d)</t>
  </si>
  <si>
    <t>Calculations - Do not edit</t>
  </si>
  <si>
    <t>eg 1:58.2 or DNF</t>
  </si>
  <si>
    <t>*86400</t>
  </si>
  <si>
    <t>/60</t>
  </si>
  <si>
    <t>Minutes</t>
  </si>
  <si>
    <t>Seconds</t>
  </si>
  <si>
    <t>Min.Sec</t>
  </si>
  <si>
    <t>600m</t>
  </si>
  <si>
    <t>QUADKIDS Long Jump</t>
  </si>
  <si>
    <t>Distance
(m.cm)</t>
  </si>
  <si>
    <t>eg 4.56 or No Mark</t>
  </si>
  <si>
    <t>LJ</t>
  </si>
  <si>
    <t>QUADKIDS Vortex</t>
  </si>
  <si>
    <t>5+A4:A291</t>
  </si>
  <si>
    <t>eg 14.56 or No Mark</t>
  </si>
  <si>
    <t>N/A</t>
  </si>
  <si>
    <t>Vortex</t>
  </si>
  <si>
    <t>Team</t>
  </si>
  <si>
    <t>Number</t>
  </si>
  <si>
    <t>Athlete</t>
  </si>
  <si>
    <t>CLUB</t>
  </si>
  <si>
    <t>Age</t>
  </si>
  <si>
    <t>Long Jump</t>
  </si>
  <si>
    <t>Team Rankings</t>
  </si>
  <si>
    <t>Overall Rankings</t>
  </si>
  <si>
    <t>Time</t>
  </si>
  <si>
    <t>Distance</t>
  </si>
  <si>
    <t>Individual</t>
  </si>
  <si>
    <t>U12</t>
  </si>
  <si>
    <t>Match Results</t>
  </si>
  <si>
    <t>U12 Boys</t>
  </si>
  <si>
    <t>Position</t>
  </si>
  <si>
    <t>Match Points</t>
  </si>
  <si>
    <t>U12 Girls</t>
  </si>
  <si>
    <t>QUADKIDS Overall Team Place</t>
  </si>
  <si>
    <t>NO</t>
  </si>
  <si>
    <t>NAME</t>
  </si>
  <si>
    <t>Age Group</t>
  </si>
  <si>
    <t>SEX</t>
  </si>
  <si>
    <t>Once all the teams are declared please allocate them numbers. Make sure no number is repeated.</t>
  </si>
  <si>
    <t xml:space="preserve"> </t>
  </si>
  <si>
    <t>QuadKids Vortex</t>
  </si>
  <si>
    <t>QuadKids Long Jump</t>
  </si>
  <si>
    <t>Vortex Throw</t>
  </si>
  <si>
    <t>QuadKids Track Events</t>
  </si>
  <si>
    <t>Boys</t>
  </si>
  <si>
    <t>Girls</t>
  </si>
  <si>
    <t>QUADKIDS VORTEX THROW - U12 Boys Group 1</t>
  </si>
  <si>
    <t>Best</t>
  </si>
  <si>
    <t>xxxxx</t>
  </si>
  <si>
    <t>Judges' Signatures</t>
  </si>
  <si>
    <t>Referee's Signature</t>
  </si>
  <si>
    <t>Each athlete will have three consecutive throws with only the longest throw being measured. The technique should be similar to that for throwing a javelin.</t>
  </si>
  <si>
    <t>QUADKIDS VORTEX THROW - U12 Boys Group 2</t>
  </si>
  <si>
    <t>QUADKIDS VORTEX THROW - U12 Boys Group 3</t>
  </si>
  <si>
    <t>QUADKIDS VORTEX THROW - U12 Girls Group 1</t>
  </si>
  <si>
    <t>QUADKIDS VORTEX THROW - U12 Girls Group 2</t>
  </si>
  <si>
    <t>QUADKIDS VORTEX THROW - U12 Girls Group 3</t>
  </si>
  <si>
    <t>QUADKIDS LONG JUMP - U12 Boys Group 1</t>
  </si>
  <si>
    <t>….</t>
  </si>
  <si>
    <t>Each athlete is allowed a practice jump and then two scoring jumps. If time allows they will be allowed another jump if they have two no jumps.</t>
  </si>
  <si>
    <t>QUADKIDS LONG JUMP - U12 Boys Group 2</t>
  </si>
  <si>
    <t>QUADKIDS LONG JUMP - U12 Boys Group 3</t>
  </si>
  <si>
    <t>QUADKIDS LONG JUMP - U12 Girls Group 1</t>
  </si>
  <si>
    <t>QUADKIDS LONG JUMP - U12 Girls Group 2</t>
  </si>
  <si>
    <t>QUADKIDS LONG JUMP - U12 Girls Group 3</t>
  </si>
  <si>
    <t>UNDER 12 BOYS</t>
  </si>
  <si>
    <t>League Record</t>
  </si>
  <si>
    <t>PB Awards checked April 2026 - via email</t>
  </si>
  <si>
    <t>4 X 100m</t>
  </si>
  <si>
    <t>UNDER 12 GIRLS</t>
  </si>
  <si>
    <t>BOYS U12</t>
  </si>
  <si>
    <t>GIRLS U12</t>
  </si>
  <si>
    <t>B/G</t>
  </si>
  <si>
    <t>U10/U12</t>
  </si>
  <si>
    <t>U12 Team</t>
  </si>
  <si>
    <t>U12 Overall</t>
  </si>
  <si>
    <t>Results in order</t>
  </si>
  <si>
    <t>Rank</t>
  </si>
  <si>
    <t>U10 Team</t>
  </si>
  <si>
    <t>U10 Overall</t>
  </si>
  <si>
    <t>U10</t>
  </si>
  <si>
    <t>Long_Jump</t>
  </si>
  <si>
    <t>Howler</t>
  </si>
  <si>
    <t>Relay</t>
  </si>
  <si>
    <t>funetics - M</t>
  </si>
  <si>
    <t>funetics - F</t>
  </si>
  <si>
    <t>Number of Athletes</t>
  </si>
  <si>
    <t>Block Allocation</t>
  </si>
  <si>
    <t>Girls 1</t>
  </si>
  <si>
    <t>Block</t>
  </si>
  <si>
    <t>Clubs</t>
  </si>
  <si>
    <t>Boys 1</t>
  </si>
  <si>
    <t>Boys 2</t>
  </si>
  <si>
    <t>Boys 3</t>
  </si>
  <si>
    <t>Girls 2</t>
  </si>
  <si>
    <t>Girls 3</t>
  </si>
  <si>
    <t>Total</t>
  </si>
  <si>
    <t>Age (U10/U12)</t>
  </si>
  <si>
    <t>U10 Boys</t>
  </si>
  <si>
    <t>U10 Girls</t>
  </si>
  <si>
    <t>PB1</t>
  </si>
  <si>
    <t>PB2</t>
  </si>
  <si>
    <t>PB3</t>
  </si>
  <si>
    <t>PB4</t>
  </si>
  <si>
    <t>PB5</t>
  </si>
  <si>
    <t>PB6</t>
  </si>
  <si>
    <t>PB7</t>
  </si>
  <si>
    <t>PB8</t>
  </si>
  <si>
    <t>PB9</t>
  </si>
  <si>
    <t>Records correct April 2026 - https://www.wessexleaguetandf.co.uk/league-records/ **** U11 records  ****</t>
  </si>
  <si>
    <t>Wessex scores by total points</t>
  </si>
  <si>
    <t>LYRA JINKS</t>
  </si>
  <si>
    <t>NORA POFF</t>
  </si>
  <si>
    <t>ISLA HOBBINS</t>
  </si>
  <si>
    <t>BEATRICE MONCAD</t>
  </si>
  <si>
    <t>BETH BOLE</t>
  </si>
  <si>
    <t>KLEMANTINE PATA</t>
  </si>
  <si>
    <t>JENSON PROUT</t>
  </si>
  <si>
    <t>NOAH GRAHAM</t>
  </si>
  <si>
    <t>ROME ALEXANDER SOLOMAN</t>
  </si>
  <si>
    <t>ISAAC STEWART</t>
  </si>
  <si>
    <t>ELLIOTT LEAVEY</t>
  </si>
  <si>
    <t>MYLES GODDARD</t>
  </si>
  <si>
    <t>TOBY POWELL</t>
  </si>
  <si>
    <t>ALEX WILKINSON</t>
  </si>
  <si>
    <t>ETHAN WEIGHT</t>
  </si>
  <si>
    <t>MATTHEW SCALES</t>
  </si>
  <si>
    <t>OSCAR FROST</t>
  </si>
  <si>
    <t>HARRY COLLINS</t>
  </si>
  <si>
    <t>DANIEL BURDON</t>
  </si>
  <si>
    <t>TOBI AKINLUYI</t>
  </si>
  <si>
    <t>RAFI PAYNE</t>
  </si>
  <si>
    <t>FELIX POWERS</t>
  </si>
  <si>
    <t>CADEN LUCAS</t>
  </si>
  <si>
    <t>EVNI DUNUSINGHE</t>
  </si>
  <si>
    <t>POPPY READ</t>
  </si>
  <si>
    <t>CHARLOTTE SHEPPARD</t>
  </si>
  <si>
    <t>AVA WANLESS</t>
  </si>
  <si>
    <t>EMILIA-MAE O'DWYER</t>
  </si>
  <si>
    <t>RUBY WILLIAMS</t>
  </si>
  <si>
    <t>LEA MIZEN</t>
  </si>
  <si>
    <t>CHLOE HARRISON</t>
  </si>
  <si>
    <t>ELISE ABDELLI</t>
  </si>
  <si>
    <t>FRANKIE ICETON</t>
  </si>
  <si>
    <t>ALIYAH KENNAUGH</t>
  </si>
  <si>
    <t>ELIN PERERA</t>
  </si>
  <si>
    <t>LILY COPP</t>
  </si>
  <si>
    <t>EDEN WECKI</t>
  </si>
  <si>
    <t>SOPHIE GBAJOBI</t>
  </si>
  <si>
    <t>ALANA FOOTE</t>
  </si>
  <si>
    <t>KATIE TAYLOR</t>
  </si>
  <si>
    <t>OLI THOMPSON</t>
  </si>
  <si>
    <t>ISAAC HUTCHISON</t>
  </si>
  <si>
    <t>WILLIAM PEARCE</t>
  </si>
  <si>
    <t>LOUIS MASON</t>
  </si>
  <si>
    <t>KAI TEGG</t>
  </si>
  <si>
    <t>ADAM PRICE</t>
  </si>
  <si>
    <t>MATTHEW LEWIS</t>
  </si>
  <si>
    <t>FREDDIE SMITH</t>
  </si>
  <si>
    <t>OWEN BRAYBOOKE</t>
  </si>
  <si>
    <t>MATTHIAS DE PAULA DENS</t>
  </si>
  <si>
    <t>KAMILA OLATEJU</t>
  </si>
  <si>
    <t>ROSE NEIL</t>
  </si>
  <si>
    <t>DORA DOMA</t>
  </si>
  <si>
    <t>POLLY WARBOYS</t>
  </si>
  <si>
    <t>VIOLET FULLING</t>
  </si>
  <si>
    <t>BROOKE PARRY-DAVIDSON</t>
  </si>
  <si>
    <t>JESSICA FRANK</t>
  </si>
  <si>
    <t>MATILDA COATESMITH</t>
  </si>
  <si>
    <t>IZZY YOUNG</t>
  </si>
  <si>
    <t>WILLA GRAY</t>
  </si>
  <si>
    <t>OSCAR CARTWRIGHT</t>
  </si>
  <si>
    <t>MARLOWE PEACH</t>
  </si>
  <si>
    <t>OAKLEY SHEAN-STEVENS</t>
  </si>
  <si>
    <t>FERGUS STANNING</t>
  </si>
  <si>
    <t>BERTIE LEIGH</t>
  </si>
  <si>
    <t>LEO AMEY</t>
  </si>
  <si>
    <t>SAM SUCKLING</t>
  </si>
  <si>
    <t>FINLAY KENYON</t>
  </si>
  <si>
    <t>MARCY POWER</t>
  </si>
  <si>
    <t>OTTILE WHITE</t>
  </si>
  <si>
    <t>BETH JOHNSTON</t>
  </si>
  <si>
    <t>MATILDA FLINT</t>
  </si>
  <si>
    <t>HONEY FLINT</t>
  </si>
  <si>
    <t>DAISY STEWART</t>
  </si>
  <si>
    <t>BONNIE MOORE</t>
  </si>
  <si>
    <t>FEARNE STRONG</t>
  </si>
  <si>
    <t>NORA BRADFORD</t>
  </si>
  <si>
    <t>JOSEPHINE HARPER</t>
  </si>
  <si>
    <t>JESSE MCDONNELL</t>
  </si>
  <si>
    <t>LEVI KIRWAN</t>
  </si>
  <si>
    <t>CHARLIE BLACKWELL</t>
  </si>
  <si>
    <t>MURRAY VOADEN</t>
  </si>
  <si>
    <t>DYLAN MARLEY</t>
  </si>
  <si>
    <t>THOMAS MOORE</t>
  </si>
  <si>
    <t>FREYA BURGE</t>
  </si>
  <si>
    <t>MATILDA KEER</t>
  </si>
  <si>
    <t>ELEANOR OLALEMI</t>
  </si>
  <si>
    <t>FREYA MCKENZIE</t>
  </si>
  <si>
    <t>SOPHIE HALL</t>
  </si>
  <si>
    <t>EMILY HANAK</t>
  </si>
  <si>
    <t>NOAH BARKER</t>
  </si>
  <si>
    <t>BLAKE BARNES</t>
  </si>
  <si>
    <t>BEN QUICK</t>
  </si>
  <si>
    <t>DANIEL BURKE</t>
  </si>
  <si>
    <t>LEONARDO OLALEMI</t>
  </si>
  <si>
    <t>TADHG WATSON</t>
  </si>
  <si>
    <t>STAN CLIPSHAM</t>
  </si>
  <si>
    <t>JAY GOVIND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</si>
</sst>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164" formatCode="0.0"/>
    <numFmt numFmtId="165" formatCode="0.0;;"/>
    <numFmt numFmtId="166" formatCode="0.00;;"/>
    <numFmt numFmtId="167" formatCode="0.0000"/>
    <numFmt numFmtId="168" formatCode="[$-809]d\ mmmm\ yyyy;@"/>
    <numFmt numFmtId="169" formatCode="mm:ss.00"/>
  </numFmts>
  <fonts count="73">
    <font>
      <sz val="10"/>
      <name val="Arial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2"/>
      <color indexed="9"/>
      <name val="Arial"/>
      <family val="2"/>
    </font>
    <font>
      <b/>
      <sz val="14"/>
      <name val="Arial"/>
      <family val="2"/>
    </font>
    <font>
      <sz val="20"/>
      <name val="Arial"/>
      <family val="2"/>
    </font>
    <font>
      <b/>
      <sz val="36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1"/>
      <color theme="1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u/>
      <sz val="10"/>
      <color theme="10"/>
      <name val="Arial"/>
      <family val="2"/>
    </font>
    <font>
      <b/>
      <sz val="11"/>
      <color rgb="FF000000"/>
      <name val="Roboto"/>
    </font>
    <font>
      <sz val="11"/>
      <color rgb="FF000000"/>
      <name val="Roboto"/>
    </font>
    <font>
      <b/>
      <sz val="12"/>
      <color theme="1"/>
      <name val="Roboto"/>
    </font>
    <font>
      <sz val="12"/>
      <color theme="1"/>
      <name val="Roboto"/>
    </font>
    <font>
      <sz val="28"/>
      <color rgb="FFFF0000"/>
      <name val="Arial"/>
      <family val="2"/>
    </font>
    <font>
      <b/>
      <sz val="12"/>
      <color rgb="FFFFFFFF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ACD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4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3" borderId="0" applyNumberFormat="0" applyBorder="0" applyAlignment="0" applyProtection="0"/>
    <xf numFmtId="0" fontId="25" fillId="20" borderId="1" applyNumberFormat="0" applyAlignment="0" applyProtection="0"/>
    <xf numFmtId="0" fontId="26" fillId="21" borderId="2" applyNumberFormat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7" borderId="1" applyNumberFormat="0" applyAlignment="0" applyProtection="0"/>
    <xf numFmtId="0" fontId="33" fillId="0" borderId="6" applyNumberFormat="0" applyFill="0" applyAlignment="0" applyProtection="0"/>
    <xf numFmtId="0" fontId="34" fillId="22" borderId="0" applyNumberFormat="0" applyBorder="0" applyAlignment="0" applyProtection="0"/>
    <xf numFmtId="0" fontId="3" fillId="0" borderId="0"/>
    <xf numFmtId="0" fontId="20" fillId="0" borderId="0"/>
    <xf numFmtId="0" fontId="21" fillId="0" borderId="0"/>
    <xf numFmtId="0" fontId="18" fillId="0" borderId="0"/>
    <xf numFmtId="0" fontId="3" fillId="0" borderId="0"/>
    <xf numFmtId="0" fontId="3" fillId="0" borderId="0"/>
    <xf numFmtId="0" fontId="21" fillId="23" borderId="7" applyNumberFormat="0" applyFont="0" applyAlignment="0" applyProtection="0"/>
    <xf numFmtId="0" fontId="35" fillId="20" borderId="8" applyNumberFormat="0" applyAlignment="0" applyProtection="0"/>
    <xf numFmtId="0" fontId="19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1" fillId="0" borderId="0"/>
    <xf numFmtId="0" fontId="42" fillId="0" borderId="0"/>
    <xf numFmtId="0" fontId="50" fillId="0" borderId="0"/>
    <xf numFmtId="0" fontId="51" fillId="0" borderId="0"/>
    <xf numFmtId="0" fontId="48" fillId="34" borderId="0"/>
    <xf numFmtId="0" fontId="45" fillId="32" borderId="0"/>
    <xf numFmtId="0" fontId="53" fillId="35" borderId="0"/>
    <xf numFmtId="0" fontId="54" fillId="35" borderId="28"/>
    <xf numFmtId="0" fontId="43" fillId="0" borderId="0"/>
    <xf numFmtId="0" fontId="44" fillId="29" borderId="0"/>
    <xf numFmtId="0" fontId="44" fillId="30" borderId="0"/>
    <xf numFmtId="0" fontId="43" fillId="31" borderId="0"/>
    <xf numFmtId="0" fontId="46" fillId="33" borderId="0"/>
    <xf numFmtId="0" fontId="47" fillId="0" borderId="0"/>
    <xf numFmtId="0" fontId="49" fillId="0" borderId="0"/>
    <xf numFmtId="0" fontId="52" fillId="0" borderId="0"/>
    <xf numFmtId="0" fontId="55" fillId="0" borderId="0"/>
    <xf numFmtId="0" fontId="42" fillId="0" borderId="0"/>
    <xf numFmtId="0" fontId="42" fillId="0" borderId="0"/>
    <xf numFmtId="0" fontId="45" fillId="0" borderId="0"/>
    <xf numFmtId="0" fontId="3" fillId="0" borderId="0"/>
    <xf numFmtId="0" fontId="3" fillId="23" borderId="7" applyNumberFormat="0" applyFont="0" applyAlignment="0" applyProtection="0"/>
    <xf numFmtId="0" fontId="1" fillId="0" borderId="0"/>
    <xf numFmtId="0" fontId="3" fillId="0" borderId="0"/>
    <xf numFmtId="0" fontId="1" fillId="0" borderId="0"/>
    <xf numFmtId="0" fontId="66" fillId="0" borderId="0" applyNumberFormat="0" applyFill="0" applyBorder="0" applyAlignment="0" applyProtection="0"/>
  </cellStyleXfs>
  <cellXfs count="531">
    <xf numFmtId="0" fontId="0" fillId="0" borderId="0" xfId="0"/>
    <xf numFmtId="0" fontId="3" fillId="0" borderId="0" xfId="0" applyFont="1"/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vertical="center"/>
    </xf>
    <xf numFmtId="0" fontId="3" fillId="0" borderId="10" xfId="0" applyFont="1" applyBorder="1" applyAlignment="1">
      <alignment horizontal="left" inden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/>
    <xf numFmtId="0" fontId="9" fillId="0" borderId="0" xfId="0" applyFont="1"/>
    <xf numFmtId="0" fontId="3" fillId="0" borderId="10" xfId="0" applyFont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8" borderId="10" xfId="0" applyFont="1" applyFill="1" applyBorder="1" applyAlignment="1" applyProtection="1">
      <alignment horizontal="center"/>
      <protection locked="0"/>
    </xf>
    <xf numFmtId="2" fontId="3" fillId="28" borderId="10" xfId="0" applyNumberFormat="1" applyFont="1" applyFill="1" applyBorder="1" applyAlignment="1" applyProtection="1">
      <alignment horizontal="center"/>
      <protection locked="0"/>
    </xf>
    <xf numFmtId="0" fontId="39" fillId="0" borderId="0" xfId="0" applyFont="1"/>
    <xf numFmtId="0" fontId="40" fillId="0" borderId="0" xfId="0" applyFont="1"/>
    <xf numFmtId="0" fontId="40" fillId="0" borderId="0" xfId="4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24" borderId="23" xfId="0" applyFont="1" applyFill="1" applyBorder="1" applyAlignment="1">
      <alignment horizontal="right" vertical="center" wrapText="1"/>
    </xf>
    <xf numFmtId="0" fontId="15" fillId="24" borderId="0" xfId="0" quotePrefix="1" applyFont="1" applyFill="1" applyAlignment="1">
      <alignment horizontal="left" vertical="center"/>
    </xf>
    <xf numFmtId="0" fontId="15" fillId="24" borderId="24" xfId="0" quotePrefix="1" applyFont="1" applyFill="1" applyBorder="1" applyAlignment="1">
      <alignment horizontal="left" vertical="center"/>
    </xf>
    <xf numFmtId="0" fontId="7" fillId="24" borderId="0" xfId="0" quotePrefix="1" applyFont="1" applyFill="1" applyAlignment="1">
      <alignment horizontal="center" vertical="center" wrapText="1"/>
    </xf>
    <xf numFmtId="2" fontId="7" fillId="24" borderId="0" xfId="0" quotePrefix="1" applyNumberFormat="1" applyFont="1" applyFill="1" applyAlignment="1">
      <alignment horizontal="center" vertical="center" wrapText="1"/>
    </xf>
    <xf numFmtId="0" fontId="7" fillId="24" borderId="0" xfId="0" applyFont="1" applyFill="1" applyAlignment="1">
      <alignment horizontal="center" vertical="center"/>
    </xf>
    <xf numFmtId="0" fontId="15" fillId="24" borderId="23" xfId="0" quotePrefix="1" applyFont="1" applyFill="1" applyBorder="1" applyAlignment="1">
      <alignment horizontal="center" vertical="center" wrapText="1"/>
    </xf>
    <xf numFmtId="0" fontId="57" fillId="37" borderId="0" xfId="0" quotePrefix="1" applyFont="1" applyFill="1" applyAlignment="1">
      <alignment horizontal="center" vertical="center" wrapText="1"/>
    </xf>
    <xf numFmtId="167" fontId="57" fillId="37" borderId="0" xfId="0" quotePrefix="1" applyNumberFormat="1" applyFont="1" applyFill="1" applyAlignment="1" applyProtection="1">
      <alignment horizontal="center" vertical="center" wrapText="1"/>
      <protection locked="0"/>
    </xf>
    <xf numFmtId="0" fontId="57" fillId="37" borderId="0" xfId="0" applyFont="1" applyFill="1" applyAlignment="1">
      <alignment horizontal="center" vertical="center"/>
    </xf>
    <xf numFmtId="2" fontId="58" fillId="24" borderId="0" xfId="0" quotePrefix="1" applyNumberFormat="1" applyFont="1" applyFill="1" applyAlignment="1">
      <alignment horizontal="center" vertical="center" wrapText="1"/>
    </xf>
    <xf numFmtId="167" fontId="58" fillId="24" borderId="0" xfId="0" quotePrefix="1" applyNumberFormat="1" applyFont="1" applyFill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 wrapText="1"/>
    </xf>
    <xf numFmtId="166" fontId="0" fillId="0" borderId="0" xfId="0" applyNumberFormat="1" applyAlignment="1">
      <alignment vertical="center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left" indent="1"/>
    </xf>
    <xf numFmtId="2" fontId="8" fillId="0" borderId="0" xfId="0" applyNumberFormat="1" applyFont="1" applyAlignment="1">
      <alignment horizontal="center"/>
    </xf>
    <xf numFmtId="47" fontId="8" fillId="0" borderId="0" xfId="0" applyNumberFormat="1" applyFont="1" applyAlignment="1">
      <alignment horizontal="center"/>
    </xf>
    <xf numFmtId="0" fontId="3" fillId="36" borderId="0" xfId="0" quotePrefix="1" applyFont="1" applyFill="1" applyAlignment="1">
      <alignment horizontal="right" vertical="center"/>
    </xf>
    <xf numFmtId="0" fontId="3" fillId="36" borderId="0" xfId="0" applyFont="1" applyFill="1" applyAlignment="1">
      <alignment horizontal="right" vertical="center"/>
    </xf>
    <xf numFmtId="0" fontId="0" fillId="36" borderId="0" xfId="0" applyFill="1" applyAlignment="1">
      <alignment vertical="center"/>
    </xf>
    <xf numFmtId="165" fontId="0" fillId="36" borderId="0" xfId="0" applyNumberFormat="1" applyFill="1" applyAlignment="1">
      <alignment horizontal="center" vertical="center"/>
    </xf>
    <xf numFmtId="166" fontId="0" fillId="36" borderId="0" xfId="0" applyNumberFormat="1" applyFill="1" applyAlignment="1">
      <alignment horizontal="center" vertical="center"/>
    </xf>
    <xf numFmtId="0" fontId="0" fillId="36" borderId="0" xfId="0" applyFill="1" applyAlignment="1">
      <alignment horizontal="center"/>
    </xf>
    <xf numFmtId="0" fontId="0" fillId="36" borderId="0" xfId="0" applyFill="1"/>
    <xf numFmtId="47" fontId="0" fillId="36" borderId="0" xfId="0" applyNumberFormat="1" applyFill="1" applyAlignment="1">
      <alignment horizontal="center"/>
    </xf>
    <xf numFmtId="0" fontId="38" fillId="0" borderId="0" xfId="0" applyFont="1" applyAlignment="1">
      <alignment horizontal="center" vertical="center"/>
    </xf>
    <xf numFmtId="168" fontId="3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15" fillId="0" borderId="0" xfId="0" quotePrefix="1" applyFont="1" applyAlignment="1">
      <alignment horizontal="left" vertical="center"/>
    </xf>
    <xf numFmtId="0" fontId="3" fillId="28" borderId="10" xfId="0" applyFont="1" applyFill="1" applyBorder="1" applyAlignment="1" applyProtection="1">
      <alignment horizontal="left" vertical="center" indent="1"/>
      <protection locked="0"/>
    </xf>
    <xf numFmtId="0" fontId="3" fillId="28" borderId="10" xfId="0" applyFont="1" applyFill="1" applyBorder="1" applyAlignment="1" applyProtection="1">
      <alignment horizontal="center" vertical="center"/>
      <protection locked="0"/>
    </xf>
    <xf numFmtId="0" fontId="8" fillId="0" borderId="10" xfId="41" applyFont="1" applyBorder="1" applyAlignment="1">
      <alignment horizontal="center" vertical="center"/>
    </xf>
    <xf numFmtId="0" fontId="6" fillId="0" borderId="11" xfId="41" applyFont="1" applyBorder="1" applyAlignment="1">
      <alignment horizontal="right" vertical="center" indent="1"/>
    </xf>
    <xf numFmtId="168" fontId="6" fillId="0" borderId="11" xfId="41" applyNumberFormat="1" applyFont="1" applyBorder="1" applyAlignment="1">
      <alignment horizontal="left" vertical="center" indent="1"/>
    </xf>
    <xf numFmtId="20" fontId="6" fillId="0" borderId="10" xfId="41" applyNumberFormat="1" applyFont="1" applyBorder="1" applyAlignment="1">
      <alignment horizontal="left" vertical="center" indent="1"/>
    </xf>
    <xf numFmtId="0" fontId="0" fillId="0" borderId="10" xfId="0" applyBorder="1"/>
    <xf numFmtId="0" fontId="2" fillId="0" borderId="10" xfId="0" applyFont="1" applyBorder="1"/>
    <xf numFmtId="0" fontId="6" fillId="0" borderId="0" xfId="41" quotePrefix="1" applyFont="1" applyAlignment="1">
      <alignment horizontal="center" vertical="center"/>
    </xf>
    <xf numFmtId="0" fontId="8" fillId="0" borderId="0" xfId="41" applyFont="1" applyAlignment="1">
      <alignment horizontal="center" vertical="center"/>
    </xf>
    <xf numFmtId="0" fontId="15" fillId="0" borderId="10" xfId="42" applyFont="1" applyBorder="1" applyAlignment="1">
      <alignment horizontal="center" vertical="center"/>
    </xf>
    <xf numFmtId="0" fontId="13" fillId="0" borderId="10" xfId="42" applyFont="1" applyBorder="1" applyAlignment="1">
      <alignment horizontal="left" vertical="center" indent="1"/>
    </xf>
    <xf numFmtId="0" fontId="15" fillId="0" borderId="0" xfId="42" applyFont="1" applyAlignment="1">
      <alignment horizontal="center" vertical="center"/>
    </xf>
    <xf numFmtId="0" fontId="13" fillId="0" borderId="0" xfId="42" applyFont="1" applyAlignment="1">
      <alignment horizontal="left" vertical="center" indent="1"/>
    </xf>
    <xf numFmtId="0" fontId="13" fillId="0" borderId="0" xfId="41" applyFont="1" applyAlignment="1">
      <alignment horizontal="center" vertical="center"/>
    </xf>
    <xf numFmtId="0" fontId="3" fillId="28" borderId="10" xfId="0" applyFont="1" applyFill="1" applyBorder="1" applyAlignment="1" applyProtection="1">
      <alignment horizontal="right"/>
      <protection locked="0"/>
    </xf>
    <xf numFmtId="0" fontId="59" fillId="0" borderId="0" xfId="0" applyFont="1"/>
    <xf numFmtId="2" fontId="8" fillId="0" borderId="10" xfId="0" applyNumberFormat="1" applyFont="1" applyBorder="1" applyAlignment="1">
      <alignment horizontal="center" vertical="center"/>
    </xf>
    <xf numFmtId="0" fontId="2" fillId="28" borderId="10" xfId="0" applyFont="1" applyFill="1" applyBorder="1" applyAlignment="1" applyProtection="1">
      <alignment horizontal="center"/>
      <protection locked="0"/>
    </xf>
    <xf numFmtId="0" fontId="2" fillId="28" borderId="27" xfId="0" applyFont="1" applyFill="1" applyBorder="1" applyAlignment="1" applyProtection="1">
      <alignment horizontal="center"/>
      <protection locked="0"/>
    </xf>
    <xf numFmtId="0" fontId="3" fillId="28" borderId="27" xfId="0" applyFont="1" applyFill="1" applyBorder="1" applyAlignment="1" applyProtection="1">
      <alignment horizontal="left" vertical="center" indent="1"/>
      <protection locked="0"/>
    </xf>
    <xf numFmtId="0" fontId="8" fillId="36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2" fontId="3" fillId="0" borderId="10" xfId="0" applyNumberFormat="1" applyFont="1" applyBorder="1"/>
    <xf numFmtId="0" fontId="3" fillId="37" borderId="0" xfId="0" applyFont="1" applyFill="1" applyAlignment="1">
      <alignment vertical="center"/>
    </xf>
    <xf numFmtId="0" fontId="59" fillId="37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8" fillId="0" borderId="0" xfId="0" applyFont="1" applyAlignment="1">
      <alignment vertical="center"/>
    </xf>
    <xf numFmtId="168" fontId="38" fillId="0" borderId="0" xfId="0" applyNumberFormat="1" applyFont="1" applyAlignment="1">
      <alignment vertical="center"/>
    </xf>
    <xf numFmtId="1" fontId="8" fillId="0" borderId="10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20" fontId="6" fillId="0" borderId="11" xfId="41" applyNumberFormat="1" applyFont="1" applyBorder="1" applyAlignment="1">
      <alignment horizontal="left" vertical="center" indent="1"/>
    </xf>
    <xf numFmtId="0" fontId="13" fillId="0" borderId="14" xfId="41" applyFont="1" applyBorder="1" applyAlignment="1">
      <alignment horizontal="center" vertical="center"/>
    </xf>
    <xf numFmtId="0" fontId="15" fillId="38" borderId="33" xfId="0" applyFont="1" applyFill="1" applyBorder="1" applyAlignment="1">
      <alignment horizontal="center" vertical="center"/>
    </xf>
    <xf numFmtId="0" fontId="15" fillId="38" borderId="34" xfId="0" applyFont="1" applyFill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/>
    </xf>
    <xf numFmtId="164" fontId="13" fillId="0" borderId="27" xfId="0" applyNumberFormat="1" applyFont="1" applyBorder="1" applyAlignment="1">
      <alignment horizontal="center" vertical="center"/>
    </xf>
    <xf numFmtId="164" fontId="13" fillId="0" borderId="25" xfId="0" applyNumberFormat="1" applyFont="1" applyBorder="1" applyAlignment="1">
      <alignment horizontal="center" vertical="center"/>
    </xf>
    <xf numFmtId="47" fontId="13" fillId="0" borderId="18" xfId="0" applyNumberFormat="1" applyFont="1" applyBorder="1" applyAlignment="1">
      <alignment horizontal="center" vertical="center"/>
    </xf>
    <xf numFmtId="47" fontId="13" fillId="0" borderId="10" xfId="0" applyNumberFormat="1" applyFont="1" applyBorder="1" applyAlignment="1">
      <alignment horizontal="center" vertical="center"/>
    </xf>
    <xf numFmtId="47" fontId="13" fillId="0" borderId="11" xfId="0" applyNumberFormat="1" applyFont="1" applyBorder="1" applyAlignment="1">
      <alignment horizontal="center" vertical="center"/>
    </xf>
    <xf numFmtId="47" fontId="13" fillId="0" borderId="40" xfId="0" applyNumberFormat="1" applyFont="1" applyBorder="1" applyAlignment="1">
      <alignment horizontal="center" vertical="center"/>
    </xf>
    <xf numFmtId="2" fontId="13" fillId="0" borderId="44" xfId="0" applyNumberFormat="1" applyFont="1" applyBorder="1" applyAlignment="1">
      <alignment horizontal="center" vertical="center"/>
    </xf>
    <xf numFmtId="2" fontId="13" fillId="0" borderId="32" xfId="0" applyNumberFormat="1" applyFont="1" applyBorder="1" applyAlignment="1">
      <alignment horizontal="center" vertical="center"/>
    </xf>
    <xf numFmtId="2" fontId="13" fillId="0" borderId="45" xfId="0" applyNumberFormat="1" applyFont="1" applyBorder="1" applyAlignment="1">
      <alignment horizontal="center" vertical="center"/>
    </xf>
    <xf numFmtId="0" fontId="13" fillId="36" borderId="18" xfId="0" applyFont="1" applyFill="1" applyBorder="1" applyAlignment="1">
      <alignment horizontal="center" vertical="center"/>
    </xf>
    <xf numFmtId="0" fontId="13" fillId="36" borderId="10" xfId="0" applyFont="1" applyFill="1" applyBorder="1" applyAlignment="1">
      <alignment horizontal="center" vertical="center"/>
    </xf>
    <xf numFmtId="0" fontId="13" fillId="36" borderId="11" xfId="0" applyFont="1" applyFill="1" applyBorder="1" applyAlignment="1">
      <alignment horizontal="center" vertical="center"/>
    </xf>
    <xf numFmtId="0" fontId="15" fillId="39" borderId="33" xfId="0" applyFont="1" applyFill="1" applyBorder="1" applyAlignment="1">
      <alignment horizontal="center" vertical="center"/>
    </xf>
    <xf numFmtId="0" fontId="15" fillId="39" borderId="34" xfId="0" applyFont="1" applyFill="1" applyBorder="1" applyAlignment="1">
      <alignment horizontal="center" vertical="center"/>
    </xf>
    <xf numFmtId="0" fontId="59" fillId="37" borderId="0" xfId="0" applyFont="1" applyFill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47" fontId="56" fillId="28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2" fontId="3" fillId="36" borderId="0" xfId="0" applyNumberFormat="1" applyFont="1" applyFill="1" applyAlignment="1">
      <alignment vertical="center"/>
    </xf>
    <xf numFmtId="2" fontId="56" fillId="36" borderId="0" xfId="0" applyNumberFormat="1" applyFont="1" applyFill="1" applyAlignment="1">
      <alignment vertical="center"/>
    </xf>
    <xf numFmtId="1" fontId="56" fillId="36" borderId="0" xfId="0" applyNumberFormat="1" applyFont="1" applyFill="1" applyAlignment="1">
      <alignment vertical="center"/>
    </xf>
    <xf numFmtId="167" fontId="3" fillId="36" borderId="0" xfId="0" applyNumberFormat="1" applyFont="1" applyFill="1" applyAlignment="1">
      <alignment vertical="center"/>
    </xf>
    <xf numFmtId="2" fontId="3" fillId="28" borderId="10" xfId="0" applyNumberFormat="1" applyFont="1" applyFill="1" applyBorder="1" applyAlignment="1" applyProtection="1">
      <alignment horizontal="center" vertical="center"/>
      <protection locked="0"/>
    </xf>
    <xf numFmtId="164" fontId="3" fillId="28" borderId="10" xfId="0" applyNumberFormat="1" applyFont="1" applyFill="1" applyBorder="1" applyAlignment="1" applyProtection="1">
      <alignment horizontal="center" vertical="center"/>
      <protection locked="0"/>
    </xf>
    <xf numFmtId="0" fontId="3" fillId="36" borderId="0" xfId="0" applyFont="1" applyFill="1" applyAlignment="1">
      <alignment horizontal="center" vertical="center"/>
    </xf>
    <xf numFmtId="0" fontId="3" fillId="36" borderId="0" xfId="0" applyFont="1" applyFill="1"/>
    <xf numFmtId="164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7" fontId="6" fillId="0" borderId="12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2" fontId="8" fillId="0" borderId="16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67" fontId="8" fillId="0" borderId="16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47" fontId="6" fillId="0" borderId="17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47" fontId="6" fillId="0" borderId="50" xfId="0" applyNumberFormat="1" applyFont="1" applyBorder="1" applyAlignment="1">
      <alignment horizontal="center" vertical="center"/>
    </xf>
    <xf numFmtId="2" fontId="6" fillId="0" borderId="5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3" fillId="36" borderId="0" xfId="0" applyFont="1" applyFill="1" applyAlignment="1">
      <alignment horizontal="left" vertical="center"/>
    </xf>
    <xf numFmtId="0" fontId="0" fillId="36" borderId="0" xfId="0" applyFill="1" applyAlignment="1">
      <alignment horizontal="left" vertical="center"/>
    </xf>
    <xf numFmtId="0" fontId="0" fillId="36" borderId="0" xfId="0" applyFill="1" applyAlignment="1">
      <alignment horizontal="left"/>
    </xf>
    <xf numFmtId="0" fontId="3" fillId="36" borderId="0" xfId="0" applyFont="1" applyFill="1" applyAlignment="1">
      <alignment horizontal="center"/>
    </xf>
    <xf numFmtId="0" fontId="0" fillId="41" borderId="0" xfId="0" applyFill="1" applyAlignment="1">
      <alignment horizontal="left" vertical="center"/>
    </xf>
    <xf numFmtId="0" fontId="0" fillId="42" borderId="0" xfId="0" applyFill="1" applyAlignment="1">
      <alignment horizontal="left" vertical="center"/>
    </xf>
    <xf numFmtId="2" fontId="16" fillId="0" borderId="18" xfId="0" applyNumberFormat="1" applyFont="1" applyBorder="1" applyAlignment="1">
      <alignment vertical="center"/>
    </xf>
    <xf numFmtId="2" fontId="16" fillId="0" borderId="11" xfId="0" applyNumberFormat="1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0" fillId="42" borderId="0" xfId="0" applyFill="1" applyAlignment="1">
      <alignment horizontal="left"/>
    </xf>
    <xf numFmtId="0" fontId="3" fillId="28" borderId="10" xfId="37" applyFill="1" applyBorder="1" applyAlignment="1" applyProtection="1">
      <alignment horizontal="left" vertical="center" indent="1"/>
      <protection locked="0"/>
    </xf>
    <xf numFmtId="0" fontId="2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63" fillId="0" borderId="0" xfId="70" applyFont="1" applyAlignment="1">
      <alignment vertical="center"/>
    </xf>
    <xf numFmtId="0" fontId="5" fillId="0" borderId="0" xfId="70" applyFont="1" applyAlignment="1">
      <alignment vertical="center"/>
    </xf>
    <xf numFmtId="0" fontId="64" fillId="0" borderId="0" xfId="70" applyFont="1" applyAlignment="1">
      <alignment vertical="center"/>
    </xf>
    <xf numFmtId="0" fontId="65" fillId="0" borderId="0" xfId="70" applyFont="1" applyAlignment="1">
      <alignment vertical="center"/>
    </xf>
    <xf numFmtId="0" fontId="63" fillId="0" borderId="0" xfId="72" applyFont="1" applyAlignment="1">
      <alignment vertical="center"/>
    </xf>
    <xf numFmtId="0" fontId="13" fillId="0" borderId="0" xfId="70" applyFont="1" applyAlignment="1">
      <alignment vertical="center"/>
    </xf>
    <xf numFmtId="0" fontId="15" fillId="0" borderId="0" xfId="70" applyFont="1" applyAlignment="1">
      <alignment vertical="center"/>
    </xf>
    <xf numFmtId="0" fontId="62" fillId="0" borderId="0" xfId="70" applyFont="1" applyAlignment="1">
      <alignment horizontal="centerContinuous" vertical="center"/>
    </xf>
    <xf numFmtId="14" fontId="12" fillId="0" borderId="0" xfId="71" applyNumberFormat="1" applyFont="1" applyAlignment="1" applyProtection="1">
      <alignment horizontal="centerContinuous" vertical="center"/>
      <protection hidden="1"/>
    </xf>
    <xf numFmtId="0" fontId="3" fillId="0" borderId="18" xfId="73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41" borderId="63" xfId="0" applyFont="1" applyFill="1" applyBorder="1" applyAlignment="1">
      <alignment horizontal="center" vertical="center"/>
    </xf>
    <xf numFmtId="0" fontId="3" fillId="41" borderId="27" xfId="0" applyFont="1" applyFill="1" applyBorder="1" applyAlignment="1">
      <alignment horizontal="center" vertical="center" wrapText="1"/>
    </xf>
    <xf numFmtId="14" fontId="3" fillId="41" borderId="27" xfId="0" applyNumberFormat="1" applyFont="1" applyFill="1" applyBorder="1" applyAlignment="1">
      <alignment horizontal="center" vertical="center"/>
    </xf>
    <xf numFmtId="0" fontId="3" fillId="41" borderId="64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41" borderId="58" xfId="0" applyFont="1" applyFill="1" applyBorder="1" applyAlignment="1">
      <alignment horizontal="center" vertical="center"/>
    </xf>
    <xf numFmtId="0" fontId="3" fillId="41" borderId="10" xfId="0" applyFont="1" applyFill="1" applyBorder="1" applyAlignment="1">
      <alignment horizontal="center" vertical="center" wrapText="1"/>
    </xf>
    <xf numFmtId="0" fontId="3" fillId="41" borderId="65" xfId="0" applyFont="1" applyFill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/>
    </xf>
    <xf numFmtId="0" fontId="3" fillId="41" borderId="6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42" borderId="58" xfId="0" applyFont="1" applyFill="1" applyBorder="1" applyAlignment="1">
      <alignment horizontal="center" vertical="center"/>
    </xf>
    <xf numFmtId="0" fontId="3" fillId="42" borderId="10" xfId="0" applyFont="1" applyFill="1" applyBorder="1" applyAlignment="1">
      <alignment horizontal="center" vertical="center" wrapText="1"/>
    </xf>
    <xf numFmtId="14" fontId="3" fillId="42" borderId="10" xfId="0" applyNumberFormat="1" applyFont="1" applyFill="1" applyBorder="1" applyAlignment="1">
      <alignment horizontal="center" vertical="center"/>
    </xf>
    <xf numFmtId="0" fontId="3" fillId="42" borderId="65" xfId="0" applyFont="1" applyFill="1" applyBorder="1" applyAlignment="1">
      <alignment horizontal="center" vertical="center"/>
    </xf>
    <xf numFmtId="0" fontId="3" fillId="42" borderId="65" xfId="0" applyFont="1" applyFill="1" applyBorder="1" applyAlignment="1">
      <alignment horizontal="center" vertical="center" wrapText="1"/>
    </xf>
    <xf numFmtId="0" fontId="3" fillId="43" borderId="58" xfId="0" applyFont="1" applyFill="1" applyBorder="1" applyAlignment="1">
      <alignment horizontal="center" vertical="center"/>
    </xf>
    <xf numFmtId="0" fontId="3" fillId="43" borderId="10" xfId="0" applyFont="1" applyFill="1" applyBorder="1" applyAlignment="1">
      <alignment horizontal="center" vertical="center" wrapText="1"/>
    </xf>
    <xf numFmtId="14" fontId="3" fillId="43" borderId="10" xfId="0" applyNumberFormat="1" applyFont="1" applyFill="1" applyBorder="1" applyAlignment="1">
      <alignment horizontal="center" vertical="center"/>
    </xf>
    <xf numFmtId="0" fontId="3" fillId="43" borderId="65" xfId="0" applyFont="1" applyFill="1" applyBorder="1" applyAlignment="1">
      <alignment horizontal="center" vertical="center"/>
    </xf>
    <xf numFmtId="0" fontId="3" fillId="43" borderId="65" xfId="0" applyFont="1" applyFill="1" applyBorder="1" applyAlignment="1">
      <alignment horizontal="center" vertical="center" wrapText="1"/>
    </xf>
    <xf numFmtId="0" fontId="3" fillId="44" borderId="58" xfId="0" applyFont="1" applyFill="1" applyBorder="1" applyAlignment="1">
      <alignment horizontal="center" vertical="center"/>
    </xf>
    <xf numFmtId="0" fontId="3" fillId="44" borderId="10" xfId="0" applyFont="1" applyFill="1" applyBorder="1" applyAlignment="1">
      <alignment horizontal="center" vertical="center"/>
    </xf>
    <xf numFmtId="14" fontId="3" fillId="44" borderId="10" xfId="0" applyNumberFormat="1" applyFont="1" applyFill="1" applyBorder="1" applyAlignment="1">
      <alignment horizontal="center" vertical="center"/>
    </xf>
    <xf numFmtId="0" fontId="3" fillId="44" borderId="65" xfId="0" applyFont="1" applyFill="1" applyBorder="1" applyAlignment="1">
      <alignment horizontal="center" vertical="center" wrapText="1"/>
    </xf>
    <xf numFmtId="0" fontId="3" fillId="44" borderId="65" xfId="0" applyFont="1" applyFill="1" applyBorder="1" applyAlignment="1">
      <alignment horizontal="center" vertical="center"/>
    </xf>
    <xf numFmtId="0" fontId="3" fillId="44" borderId="66" xfId="0" applyFont="1" applyFill="1" applyBorder="1" applyAlignment="1">
      <alignment horizontal="center" vertical="center"/>
    </xf>
    <xf numFmtId="0" fontId="3" fillId="44" borderId="32" xfId="0" applyFont="1" applyFill="1" applyBorder="1" applyAlignment="1">
      <alignment horizontal="center" vertical="center"/>
    </xf>
    <xf numFmtId="14" fontId="3" fillId="44" borderId="32" xfId="0" applyNumberFormat="1" applyFont="1" applyFill="1" applyBorder="1" applyAlignment="1">
      <alignment horizontal="center" vertical="center"/>
    </xf>
    <xf numFmtId="0" fontId="3" fillId="44" borderId="67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25" borderId="63" xfId="0" applyFont="1" applyFill="1" applyBorder="1" applyAlignment="1">
      <alignment horizontal="center" vertical="center"/>
    </xf>
    <xf numFmtId="0" fontId="3" fillId="26" borderId="64" xfId="0" applyFont="1" applyFill="1" applyBorder="1" applyAlignment="1">
      <alignment horizontal="center" vertical="center"/>
    </xf>
    <xf numFmtId="0" fontId="3" fillId="25" borderId="58" xfId="0" applyFont="1" applyFill="1" applyBorder="1" applyAlignment="1">
      <alignment horizontal="center" vertical="center"/>
    </xf>
    <xf numFmtId="0" fontId="3" fillId="26" borderId="65" xfId="0" applyFont="1" applyFill="1" applyBorder="1" applyAlignment="1">
      <alignment horizontal="center" vertical="center"/>
    </xf>
    <xf numFmtId="0" fontId="3" fillId="25" borderId="66" xfId="0" applyFont="1" applyFill="1" applyBorder="1" applyAlignment="1">
      <alignment horizontal="center" vertical="center"/>
    </xf>
    <xf numFmtId="0" fontId="3" fillId="26" borderId="67" xfId="0" applyFont="1" applyFill="1" applyBorder="1" applyAlignment="1">
      <alignment horizontal="center" vertical="center"/>
    </xf>
    <xf numFmtId="49" fontId="13" fillId="25" borderId="66" xfId="0" applyNumberFormat="1" applyFont="1" applyFill="1" applyBorder="1" applyAlignment="1">
      <alignment horizontal="center" vertical="center"/>
    </xf>
    <xf numFmtId="49" fontId="13" fillId="26" borderId="67" xfId="0" applyNumberFormat="1" applyFont="1" applyFill="1" applyBorder="1" applyAlignment="1">
      <alignment horizontal="center" vertical="center"/>
    </xf>
    <xf numFmtId="0" fontId="13" fillId="0" borderId="60" xfId="0" applyFont="1" applyBorder="1" applyAlignment="1">
      <alignment horizontal="center" vertical="center" wrapText="1"/>
    </xf>
    <xf numFmtId="0" fontId="13" fillId="0" borderId="61" xfId="40" applyFont="1" applyBorder="1" applyAlignment="1">
      <alignment horizontal="center" vertical="center" wrapText="1"/>
    </xf>
    <xf numFmtId="0" fontId="13" fillId="0" borderId="62" xfId="40" applyFont="1" applyBorder="1" applyAlignment="1">
      <alignment horizontal="center" vertical="center" wrapText="1"/>
    </xf>
    <xf numFmtId="0" fontId="13" fillId="0" borderId="33" xfId="40" applyFont="1" applyBorder="1" applyAlignment="1">
      <alignment horizontal="center" vertical="center" wrapText="1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27" xfId="0" applyNumberFormat="1" applyFont="1" applyBorder="1" applyAlignment="1" applyProtection="1">
      <alignment horizontal="center" vertical="center"/>
      <protection locked="0"/>
    </xf>
    <xf numFmtId="0" fontId="3" fillId="28" borderId="57" xfId="0" applyFont="1" applyFill="1" applyBorder="1" applyAlignment="1" applyProtection="1">
      <alignment horizontal="left" vertical="center" indent="1"/>
      <protection locked="0"/>
    </xf>
    <xf numFmtId="49" fontId="3" fillId="0" borderId="57" xfId="0" applyNumberFormat="1" applyFont="1" applyBorder="1" applyAlignment="1" applyProtection="1">
      <alignment horizontal="center" vertical="center"/>
      <protection locked="0"/>
    </xf>
    <xf numFmtId="0" fontId="3" fillId="28" borderId="57" xfId="37" applyFill="1" applyBorder="1" applyAlignment="1" applyProtection="1">
      <alignment horizontal="left" vertical="center" indent="1"/>
      <protection locked="0"/>
    </xf>
    <xf numFmtId="1" fontId="13" fillId="0" borderId="10" xfId="0" applyNumberFormat="1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15" fillId="0" borderId="10" xfId="0" applyFont="1" applyBorder="1"/>
    <xf numFmtId="0" fontId="15" fillId="0" borderId="10" xfId="0" applyFont="1" applyBorder="1" applyAlignment="1">
      <alignment horizontal="center" vertical="center"/>
    </xf>
    <xf numFmtId="0" fontId="15" fillId="0" borderId="23" xfId="0" applyFont="1" applyBorder="1"/>
    <xf numFmtId="0" fontId="15" fillId="0" borderId="0" xfId="0" applyFont="1"/>
    <xf numFmtId="0" fontId="3" fillId="0" borderId="27" xfId="0" applyFont="1" applyBorder="1" applyAlignment="1">
      <alignment horizontal="center"/>
    </xf>
    <xf numFmtId="0" fontId="0" fillId="0" borderId="23" xfId="0" applyBorder="1"/>
    <xf numFmtId="0" fontId="3" fillId="0" borderId="57" xfId="0" applyFont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indent="1"/>
    </xf>
    <xf numFmtId="2" fontId="3" fillId="0" borderId="10" xfId="0" applyNumberFormat="1" applyFont="1" applyBorder="1" applyAlignment="1">
      <alignment horizontal="center" vertical="center"/>
    </xf>
    <xf numFmtId="0" fontId="13" fillId="45" borderId="10" xfId="41" applyFont="1" applyFill="1" applyBorder="1" applyAlignment="1">
      <alignment horizontal="center" vertical="center"/>
    </xf>
    <xf numFmtId="0" fontId="13" fillId="45" borderId="10" xfId="42" quotePrefix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164" fontId="13" fillId="0" borderId="40" xfId="0" applyNumberFormat="1" applyFont="1" applyBorder="1" applyAlignment="1">
      <alignment horizontal="center" vertical="center"/>
    </xf>
    <xf numFmtId="0" fontId="67" fillId="0" borderId="0" xfId="0" applyFont="1"/>
    <xf numFmtId="0" fontId="68" fillId="0" borderId="0" xfId="0" applyFont="1"/>
    <xf numFmtId="47" fontId="68" fillId="0" borderId="0" xfId="0" applyNumberFormat="1" applyFont="1"/>
    <xf numFmtId="0" fontId="69" fillId="0" borderId="0" xfId="0" applyFont="1"/>
    <xf numFmtId="0" fontId="70" fillId="0" borderId="0" xfId="0" applyFont="1"/>
    <xf numFmtId="47" fontId="70" fillId="0" borderId="0" xfId="0" applyNumberFormat="1" applyFont="1"/>
    <xf numFmtId="0" fontId="6" fillId="0" borderId="19" xfId="0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167" fontId="6" fillId="0" borderId="19" xfId="0" applyNumberFormat="1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67" fontId="6" fillId="0" borderId="21" xfId="0" applyNumberFormat="1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47" fontId="56" fillId="0" borderId="10" xfId="0" applyNumberFormat="1" applyFont="1" applyBorder="1" applyAlignment="1">
      <alignment horizontal="center" vertical="center"/>
    </xf>
    <xf numFmtId="0" fontId="2" fillId="28" borderId="32" xfId="0" applyFont="1" applyFill="1" applyBorder="1" applyAlignment="1" applyProtection="1">
      <alignment horizontal="center"/>
      <protection locked="0"/>
    </xf>
    <xf numFmtId="0" fontId="3" fillId="0" borderId="36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39" xfId="0" applyFont="1" applyBorder="1" applyAlignment="1">
      <alignment horizontal="centerContinuous" vertical="center"/>
    </xf>
    <xf numFmtId="0" fontId="3" fillId="0" borderId="45" xfId="0" applyFont="1" applyBorder="1" applyAlignment="1">
      <alignment horizontal="centerContinuous" vertical="center"/>
    </xf>
    <xf numFmtId="0" fontId="3" fillId="0" borderId="43" xfId="0" applyFont="1" applyBorder="1" applyAlignment="1">
      <alignment horizontal="centerContinuous" vertical="center"/>
    </xf>
    <xf numFmtId="0" fontId="13" fillId="0" borderId="29" xfId="70" applyFont="1" applyBorder="1" applyAlignment="1">
      <alignment horizontal="center" vertical="center"/>
    </xf>
    <xf numFmtId="2" fontId="13" fillId="0" borderId="79" xfId="70" applyNumberFormat="1" applyFont="1" applyBorder="1" applyAlignment="1">
      <alignment horizontal="center" vertical="center"/>
    </xf>
    <xf numFmtId="2" fontId="13" fillId="0" borderId="74" xfId="70" applyNumberFormat="1" applyFont="1" applyBorder="1" applyAlignment="1">
      <alignment horizontal="center" vertical="center"/>
    </xf>
    <xf numFmtId="0" fontId="3" fillId="0" borderId="16" xfId="0" applyFont="1" applyBorder="1"/>
    <xf numFmtId="0" fontId="0" fillId="0" borderId="16" xfId="0" applyBorder="1"/>
    <xf numFmtId="0" fontId="63" fillId="0" borderId="10" xfId="72" applyFont="1" applyBorder="1" applyAlignment="1">
      <alignment horizontal="centerContinuous" vertical="center"/>
    </xf>
    <xf numFmtId="0" fontId="63" fillId="0" borderId="27" xfId="72" applyFont="1" applyBorder="1" applyAlignment="1">
      <alignment horizontal="centerContinuous" vertical="center"/>
    </xf>
    <xf numFmtId="0" fontId="15" fillId="0" borderId="60" xfId="70" applyFont="1" applyBorder="1" applyAlignment="1">
      <alignment horizontal="centerContinuous" vertical="center"/>
    </xf>
    <xf numFmtId="0" fontId="13" fillId="0" borderId="61" xfId="70" applyFont="1" applyBorder="1" applyAlignment="1">
      <alignment horizontal="centerContinuous" vertical="center"/>
    </xf>
    <xf numFmtId="0" fontId="13" fillId="0" borderId="62" xfId="70" applyFont="1" applyBorder="1" applyAlignment="1">
      <alignment horizontal="centerContinuous" vertical="center"/>
    </xf>
    <xf numFmtId="0" fontId="13" fillId="0" borderId="60" xfId="70" applyFont="1" applyBorder="1" applyAlignment="1">
      <alignment horizontal="centerContinuous" vertical="center"/>
    </xf>
    <xf numFmtId="0" fontId="13" fillId="0" borderId="34" xfId="70" applyFont="1" applyBorder="1" applyAlignment="1">
      <alignment horizontal="center" vertical="center"/>
    </xf>
    <xf numFmtId="2" fontId="13" fillId="0" borderId="37" xfId="70" applyNumberFormat="1" applyFont="1" applyBorder="1" applyAlignment="1">
      <alignment horizontal="center" vertical="center"/>
    </xf>
    <xf numFmtId="2" fontId="13" fillId="0" borderId="40" xfId="70" applyNumberFormat="1" applyFont="1" applyBorder="1" applyAlignment="1">
      <alignment horizontal="center" vertical="center"/>
    </xf>
    <xf numFmtId="2" fontId="13" fillId="0" borderId="46" xfId="70" applyNumberFormat="1" applyFont="1" applyBorder="1" applyAlignment="1">
      <alignment horizontal="center" vertical="center"/>
    </xf>
    <xf numFmtId="0" fontId="63" fillId="0" borderId="64" xfId="72" applyFont="1" applyBorder="1" applyAlignment="1">
      <alignment horizontal="centerContinuous" vertical="center"/>
    </xf>
    <xf numFmtId="0" fontId="63" fillId="0" borderId="65" xfId="72" applyFont="1" applyBorder="1" applyAlignment="1">
      <alignment horizontal="centerContinuous" vertical="center"/>
    </xf>
    <xf numFmtId="0" fontId="63" fillId="0" borderId="32" xfId="72" applyFont="1" applyBorder="1" applyAlignment="1">
      <alignment horizontal="centerContinuous" vertical="center"/>
    </xf>
    <xf numFmtId="0" fontId="63" fillId="0" borderId="67" xfId="72" applyFont="1" applyBorder="1" applyAlignment="1">
      <alignment horizontal="centerContinuous" vertical="center"/>
    </xf>
    <xf numFmtId="0" fontId="8" fillId="0" borderId="19" xfId="0" applyFont="1" applyBorder="1"/>
    <xf numFmtId="0" fontId="8" fillId="36" borderId="10" xfId="0" applyFont="1" applyFill="1" applyBorder="1" applyAlignment="1">
      <alignment horizontal="center" vertical="center" wrapText="1"/>
    </xf>
    <xf numFmtId="0" fontId="72" fillId="29" borderId="0" xfId="0" applyFont="1" applyFill="1" applyAlignment="1">
      <alignment horizontal="center" vertical="center"/>
    </xf>
    <xf numFmtId="0" fontId="4" fillId="0" borderId="0" xfId="0" quotePrefix="1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2" fontId="16" fillId="0" borderId="18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8" fillId="36" borderId="16" xfId="0" applyFont="1" applyFill="1" applyBorder="1" applyAlignment="1">
      <alignment horizontal="center" vertical="center"/>
    </xf>
    <xf numFmtId="0" fontId="13" fillId="0" borderId="10" xfId="42" applyFont="1" applyBorder="1" applyAlignment="1">
      <alignment horizontal="center" vertical="center"/>
    </xf>
    <xf numFmtId="0" fontId="13" fillId="0" borderId="10" xfId="41" applyFont="1" applyBorder="1" applyAlignment="1">
      <alignment horizontal="center" vertical="center"/>
    </xf>
    <xf numFmtId="0" fontId="0" fillId="36" borderId="0" xfId="0" applyFill="1" applyAlignment="1">
      <alignment horizontal="center" vertical="center"/>
    </xf>
    <xf numFmtId="44" fontId="3" fillId="36" borderId="0" xfId="0" applyNumberFormat="1" applyFont="1" applyFill="1" applyAlignment="1">
      <alignment horizontal="center" vertical="center"/>
    </xf>
    <xf numFmtId="44" fontId="0" fillId="36" borderId="0" xfId="0" applyNumberFormat="1" applyFill="1" applyAlignment="1">
      <alignment horizontal="center" vertical="center"/>
    </xf>
    <xf numFmtId="0" fontId="15" fillId="39" borderId="30" xfId="0" applyFont="1" applyFill="1" applyBorder="1" applyAlignment="1">
      <alignment horizontal="center" vertical="center"/>
    </xf>
    <xf numFmtId="0" fontId="8" fillId="36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60" fillId="0" borderId="0" xfId="0" applyFont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2" fontId="63" fillId="0" borderId="73" xfId="0" applyNumberFormat="1" applyFont="1" applyBorder="1" applyAlignment="1">
      <alignment horizontal="center" vertical="center"/>
    </xf>
    <xf numFmtId="169" fontId="6" fillId="0" borderId="19" xfId="0" applyNumberFormat="1" applyFont="1" applyBorder="1" applyAlignment="1">
      <alignment horizontal="center" vertical="center"/>
    </xf>
    <xf numFmtId="169" fontId="6" fillId="0" borderId="0" xfId="0" applyNumberFormat="1" applyFont="1" applyAlignment="1">
      <alignment horizontal="center" vertical="center"/>
    </xf>
    <xf numFmtId="169" fontId="6" fillId="0" borderId="21" xfId="0" applyNumberFormat="1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8" fillId="0" borderId="11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168" fontId="38" fillId="0" borderId="11" xfId="0" applyNumberFormat="1" applyFont="1" applyBorder="1" applyAlignment="1">
      <alignment horizontal="center" vertical="center"/>
    </xf>
    <xf numFmtId="168" fontId="38" fillId="0" borderId="19" xfId="0" applyNumberFormat="1" applyFont="1" applyBorder="1" applyAlignment="1">
      <alignment horizontal="center" vertical="center"/>
    </xf>
    <xf numFmtId="168" fontId="38" fillId="0" borderId="18" xfId="0" applyNumberFormat="1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1" fontId="38" fillId="0" borderId="10" xfId="0" applyNumberFormat="1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40" borderId="53" xfId="0" applyFont="1" applyFill="1" applyBorder="1" applyAlignment="1">
      <alignment horizontal="center" vertical="center" textRotation="90"/>
    </xf>
    <xf numFmtId="0" fontId="11" fillId="40" borderId="54" xfId="0" applyFont="1" applyFill="1" applyBorder="1" applyAlignment="1">
      <alignment horizontal="center" vertical="center" textRotation="90"/>
    </xf>
    <xf numFmtId="0" fontId="11" fillId="40" borderId="55" xfId="0" applyFont="1" applyFill="1" applyBorder="1" applyAlignment="1">
      <alignment horizontal="center" vertical="center" textRotation="90"/>
    </xf>
    <xf numFmtId="0" fontId="8" fillId="36" borderId="16" xfId="0" applyFont="1" applyFill="1" applyBorder="1" applyAlignment="1">
      <alignment horizontal="center" vertical="center"/>
    </xf>
    <xf numFmtId="0" fontId="8" fillId="36" borderId="26" xfId="0" applyFont="1" applyFill="1" applyBorder="1" applyAlignment="1">
      <alignment horizontal="center" vertical="center"/>
    </xf>
    <xf numFmtId="0" fontId="8" fillId="36" borderId="16" xfId="0" quotePrefix="1" applyFont="1" applyFill="1" applyBorder="1" applyAlignment="1">
      <alignment horizontal="center" vertical="center"/>
    </xf>
    <xf numFmtId="0" fontId="8" fillId="36" borderId="26" xfId="0" quotePrefix="1" applyFont="1" applyFill="1" applyBorder="1" applyAlignment="1">
      <alignment horizontal="center" vertical="center"/>
    </xf>
    <xf numFmtId="2" fontId="38" fillId="0" borderId="10" xfId="0" applyNumberFormat="1" applyFont="1" applyBorder="1" applyAlignment="1">
      <alignment horizontal="center" vertical="center"/>
    </xf>
    <xf numFmtId="0" fontId="11" fillId="27" borderId="53" xfId="0" applyFont="1" applyFill="1" applyBorder="1" applyAlignment="1">
      <alignment horizontal="center" vertical="center" textRotation="90"/>
    </xf>
    <xf numFmtId="0" fontId="11" fillId="27" borderId="54" xfId="0" applyFont="1" applyFill="1" applyBorder="1" applyAlignment="1">
      <alignment horizontal="center" vertical="center" textRotation="90"/>
    </xf>
    <xf numFmtId="0" fontId="11" fillId="27" borderId="55" xfId="0" applyFont="1" applyFill="1" applyBorder="1" applyAlignment="1">
      <alignment horizontal="center" vertical="center" textRotation="90"/>
    </xf>
    <xf numFmtId="0" fontId="8" fillId="36" borderId="16" xfId="0" quotePrefix="1" applyFont="1" applyFill="1" applyBorder="1" applyAlignment="1">
      <alignment horizontal="center" vertical="center" wrapText="1"/>
    </xf>
    <xf numFmtId="0" fontId="8" fillId="36" borderId="26" xfId="0" quotePrefix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44" fontId="8" fillId="0" borderId="11" xfId="0" applyNumberFormat="1" applyFont="1" applyBorder="1" applyAlignment="1">
      <alignment horizontal="center" vertical="center"/>
    </xf>
    <xf numFmtId="44" fontId="8" fillId="0" borderId="18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2" fontId="16" fillId="0" borderId="19" xfId="0" applyNumberFormat="1" applyFont="1" applyBorder="1" applyAlignment="1">
      <alignment horizontal="center" vertical="center"/>
    </xf>
    <xf numFmtId="2" fontId="16" fillId="0" borderId="18" xfId="0" applyNumberFormat="1" applyFont="1" applyBorder="1" applyAlignment="1">
      <alignment horizontal="center" vertical="center"/>
    </xf>
    <xf numFmtId="2" fontId="16" fillId="0" borderId="11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 wrapText="1"/>
    </xf>
    <xf numFmtId="1" fontId="13" fillId="0" borderId="59" xfId="0" applyNumberFormat="1" applyFont="1" applyBorder="1" applyAlignment="1">
      <alignment horizontal="center" vertical="center"/>
    </xf>
    <xf numFmtId="1" fontId="13" fillId="0" borderId="70" xfId="0" applyNumberFormat="1" applyFont="1" applyBorder="1" applyAlignment="1">
      <alignment horizontal="center" vertical="center"/>
    </xf>
    <xf numFmtId="168" fontId="13" fillId="0" borderId="45" xfId="0" applyNumberFormat="1" applyFont="1" applyBorder="1" applyAlignment="1">
      <alignment horizontal="center" vertical="center"/>
    </xf>
    <xf numFmtId="168" fontId="13" fillId="0" borderId="43" xfId="0" applyNumberFormat="1" applyFont="1" applyBorder="1" applyAlignment="1">
      <alignment horizontal="center" vertical="center"/>
    </xf>
    <xf numFmtId="0" fontId="3" fillId="36" borderId="10" xfId="0" quotePrefix="1" applyFont="1" applyFill="1" applyBorder="1" applyAlignment="1">
      <alignment horizontal="left" vertical="center" wrapText="1" indent="2"/>
    </xf>
    <xf numFmtId="0" fontId="3" fillId="36" borderId="11" xfId="0" quotePrefix="1" applyFont="1" applyFill="1" applyBorder="1" applyAlignment="1">
      <alignment horizontal="left" vertical="center" wrapText="1" indent="2"/>
    </xf>
    <xf numFmtId="0" fontId="3" fillId="36" borderId="19" xfId="0" quotePrefix="1" applyFont="1" applyFill="1" applyBorder="1" applyAlignment="1">
      <alignment horizontal="left" vertical="center" wrapText="1" indent="2"/>
    </xf>
    <xf numFmtId="0" fontId="3" fillId="36" borderId="18" xfId="0" quotePrefix="1" applyFont="1" applyFill="1" applyBorder="1" applyAlignment="1">
      <alignment horizontal="left" vertical="center" wrapText="1" indent="2"/>
    </xf>
    <xf numFmtId="0" fontId="3" fillId="36" borderId="10" xfId="0" applyFont="1" applyFill="1" applyBorder="1" applyAlignment="1">
      <alignment horizontal="left" vertical="center" wrapText="1" indent="2"/>
    </xf>
    <xf numFmtId="0" fontId="13" fillId="0" borderId="68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3" fillId="36" borderId="10" xfId="0" quotePrefix="1" applyFont="1" applyFill="1" applyBorder="1" applyAlignment="1">
      <alignment horizontal="center" vertical="center" wrapText="1"/>
    </xf>
    <xf numFmtId="0" fontId="60" fillId="36" borderId="10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8" fontId="8" fillId="0" borderId="10" xfId="0" applyNumberFormat="1" applyFont="1" applyBorder="1" applyAlignment="1">
      <alignment horizontal="center" vertical="center"/>
    </xf>
    <xf numFmtId="0" fontId="15" fillId="36" borderId="0" xfId="0" quotePrefix="1" applyFont="1" applyFill="1" applyAlignment="1">
      <alignment horizontal="center" vertical="center"/>
    </xf>
    <xf numFmtId="0" fontId="11" fillId="0" borderId="72" xfId="0" applyFont="1" applyBorder="1" applyAlignment="1">
      <alignment horizontal="center" vertical="center" textRotation="90"/>
    </xf>
    <xf numFmtId="0" fontId="11" fillId="0" borderId="26" xfId="0" applyFont="1" applyBorder="1" applyAlignment="1">
      <alignment horizontal="center" vertical="center" textRotation="90"/>
    </xf>
    <xf numFmtId="0" fontId="11" fillId="0" borderId="71" xfId="0" applyFont="1" applyBorder="1" applyAlignment="1">
      <alignment horizontal="center" vertical="center" textRotation="90"/>
    </xf>
    <xf numFmtId="0" fontId="11" fillId="0" borderId="16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3" fillId="36" borderId="13" xfId="0" applyFont="1" applyFill="1" applyBorder="1" applyAlignment="1">
      <alignment horizontal="center" vertical="center" wrapText="1"/>
    </xf>
    <xf numFmtId="0" fontId="13" fillId="36" borderId="14" xfId="0" applyFont="1" applyFill="1" applyBorder="1" applyAlignment="1">
      <alignment horizontal="center" vertical="center" wrapText="1"/>
    </xf>
    <xf numFmtId="0" fontId="13" fillId="36" borderId="15" xfId="0" applyFont="1" applyFill="1" applyBorder="1" applyAlignment="1">
      <alignment horizontal="center" vertical="center" wrapText="1"/>
    </xf>
    <xf numFmtId="0" fontId="13" fillId="36" borderId="23" xfId="0" applyFont="1" applyFill="1" applyBorder="1" applyAlignment="1">
      <alignment horizontal="center" vertical="center" wrapText="1"/>
    </xf>
    <xf numFmtId="0" fontId="13" fillId="36" borderId="0" xfId="0" applyFont="1" applyFill="1" applyAlignment="1">
      <alignment horizontal="center" vertical="center" wrapText="1"/>
    </xf>
    <xf numFmtId="0" fontId="13" fillId="36" borderId="24" xfId="0" applyFont="1" applyFill="1" applyBorder="1" applyAlignment="1">
      <alignment horizontal="center" vertical="center" wrapText="1"/>
    </xf>
    <xf numFmtId="0" fontId="13" fillId="36" borderId="23" xfId="0" applyFont="1" applyFill="1" applyBorder="1" applyAlignment="1">
      <alignment vertical="center"/>
    </xf>
    <xf numFmtId="0" fontId="13" fillId="36" borderId="0" xfId="0" applyFont="1" applyFill="1" applyAlignment="1">
      <alignment vertical="center"/>
    </xf>
    <xf numFmtId="0" fontId="13" fillId="36" borderId="24" xfId="0" applyFont="1" applyFill="1" applyBorder="1" applyAlignment="1">
      <alignment vertical="center"/>
    </xf>
    <xf numFmtId="0" fontId="13" fillId="36" borderId="25" xfId="0" applyFont="1" applyFill="1" applyBorder="1" applyAlignment="1">
      <alignment vertical="center"/>
    </xf>
    <xf numFmtId="0" fontId="13" fillId="36" borderId="21" xfId="0" applyFont="1" applyFill="1" applyBorder="1" applyAlignment="1">
      <alignment vertical="center"/>
    </xf>
    <xf numFmtId="0" fontId="13" fillId="36" borderId="22" xfId="0" applyFont="1" applyFill="1" applyBorder="1" applyAlignment="1">
      <alignment vertical="center"/>
    </xf>
    <xf numFmtId="14" fontId="13" fillId="0" borderId="11" xfId="0" applyNumberFormat="1" applyFont="1" applyBorder="1" applyAlignment="1">
      <alignment horizontal="center" vertical="center"/>
    </xf>
    <xf numFmtId="14" fontId="13" fillId="0" borderId="18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32" xfId="70" applyFont="1" applyBorder="1" applyAlignment="1">
      <alignment horizontal="center" vertical="center"/>
    </xf>
    <xf numFmtId="0" fontId="13" fillId="0" borderId="67" xfId="70" applyFont="1" applyBorder="1" applyAlignment="1">
      <alignment horizontal="center" vertical="center"/>
    </xf>
    <xf numFmtId="0" fontId="15" fillId="0" borderId="80" xfId="70" applyFont="1" applyBorder="1" applyAlignment="1">
      <alignment horizontal="center" vertical="center"/>
    </xf>
    <xf numFmtId="0" fontId="15" fillId="0" borderId="20" xfId="70" applyFont="1" applyBorder="1" applyAlignment="1">
      <alignment horizontal="center" vertical="center"/>
    </xf>
    <xf numFmtId="0" fontId="15" fillId="0" borderId="81" xfId="70" applyFont="1" applyBorder="1" applyAlignment="1">
      <alignment horizontal="center" vertical="center"/>
    </xf>
    <xf numFmtId="0" fontId="15" fillId="0" borderId="35" xfId="70" applyFont="1" applyBorder="1" applyAlignment="1">
      <alignment horizontal="center" vertical="center"/>
    </xf>
    <xf numFmtId="0" fontId="15" fillId="0" borderId="21" xfId="70" applyFont="1" applyBorder="1" applyAlignment="1">
      <alignment horizontal="center" vertical="center"/>
    </xf>
    <xf numFmtId="0" fontId="15" fillId="0" borderId="36" xfId="70" applyFont="1" applyBorder="1" applyAlignment="1">
      <alignment horizontal="center" vertical="center"/>
    </xf>
    <xf numFmtId="0" fontId="15" fillId="0" borderId="78" xfId="70" applyFont="1" applyBorder="1" applyAlignment="1">
      <alignment horizontal="center" vertical="center"/>
    </xf>
    <xf numFmtId="0" fontId="15" fillId="0" borderId="14" xfId="70" applyFont="1" applyBorder="1" applyAlignment="1">
      <alignment horizontal="center" vertical="center"/>
    </xf>
    <xf numFmtId="0" fontId="15" fillId="0" borderId="82" xfId="70" applyFont="1" applyBorder="1" applyAlignment="1">
      <alignment horizontal="center" vertical="center"/>
    </xf>
    <xf numFmtId="0" fontId="15" fillId="0" borderId="74" xfId="70" applyFont="1" applyBorder="1" applyAlignment="1">
      <alignment horizontal="center" vertical="center"/>
    </xf>
    <xf numFmtId="0" fontId="15" fillId="0" borderId="75" xfId="70" applyFont="1" applyBorder="1" applyAlignment="1">
      <alignment horizontal="center" vertical="center"/>
    </xf>
    <xf numFmtId="0" fontId="15" fillId="0" borderId="76" xfId="70" applyFont="1" applyBorder="1" applyAlignment="1">
      <alignment horizontal="center" vertical="center"/>
    </xf>
    <xf numFmtId="0" fontId="13" fillId="0" borderId="38" xfId="70" applyFont="1" applyBorder="1" applyAlignment="1">
      <alignment horizontal="center" vertical="center"/>
    </xf>
    <xf numFmtId="0" fontId="13" fillId="0" borderId="19" xfId="70" applyFont="1" applyBorder="1" applyAlignment="1">
      <alignment horizontal="center" vertical="center"/>
    </xf>
    <xf numFmtId="0" fontId="13" fillId="0" borderId="18" xfId="70" applyFont="1" applyBorder="1" applyAlignment="1">
      <alignment horizontal="center" vertical="center"/>
    </xf>
    <xf numFmtId="0" fontId="13" fillId="0" borderId="10" xfId="70" quotePrefix="1" applyFont="1" applyBorder="1" applyAlignment="1">
      <alignment horizontal="center" vertical="center"/>
    </xf>
    <xf numFmtId="0" fontId="13" fillId="0" borderId="65" xfId="70" quotePrefix="1" applyFont="1" applyBorder="1" applyAlignment="1">
      <alignment horizontal="center" vertical="center"/>
    </xf>
    <xf numFmtId="0" fontId="13" fillId="0" borderId="10" xfId="70" applyFont="1" applyBorder="1" applyAlignment="1">
      <alignment horizontal="center" vertical="center"/>
    </xf>
    <xf numFmtId="0" fontId="13" fillId="0" borderId="65" xfId="70" applyFont="1" applyBorder="1" applyAlignment="1">
      <alignment horizontal="center" vertical="center"/>
    </xf>
    <xf numFmtId="0" fontId="63" fillId="0" borderId="41" xfId="72" applyFont="1" applyBorder="1" applyAlignment="1">
      <alignment horizontal="center" vertical="center"/>
    </xf>
    <xf numFmtId="0" fontId="63" fillId="0" borderId="42" xfId="72" applyFont="1" applyBorder="1" applyAlignment="1">
      <alignment horizontal="center" vertical="center"/>
    </xf>
    <xf numFmtId="0" fontId="63" fillId="0" borderId="44" xfId="72" applyFont="1" applyBorder="1" applyAlignment="1">
      <alignment horizontal="center" vertical="center"/>
    </xf>
    <xf numFmtId="0" fontId="63" fillId="0" borderId="45" xfId="72" applyFont="1" applyBorder="1" applyAlignment="1">
      <alignment horizontal="center" vertical="center"/>
    </xf>
    <xf numFmtId="0" fontId="63" fillId="0" borderId="38" xfId="72" applyFont="1" applyBorder="1" applyAlignment="1">
      <alignment horizontal="center" vertical="center"/>
    </xf>
    <xf numFmtId="0" fontId="63" fillId="0" borderId="19" xfId="72" applyFont="1" applyBorder="1" applyAlignment="1">
      <alignment horizontal="center" vertical="center"/>
    </xf>
    <xf numFmtId="0" fontId="63" fillId="0" borderId="18" xfId="72" applyFont="1" applyBorder="1" applyAlignment="1">
      <alignment horizontal="center" vertical="center"/>
    </xf>
    <xf numFmtId="0" fontId="63" fillId="0" borderId="11" xfId="72" applyFont="1" applyBorder="1" applyAlignment="1">
      <alignment horizontal="center" vertical="center"/>
    </xf>
    <xf numFmtId="0" fontId="63" fillId="0" borderId="68" xfId="72" applyFont="1" applyBorder="1" applyAlignment="1">
      <alignment horizontal="center" vertical="center"/>
    </xf>
    <xf numFmtId="0" fontId="63" fillId="0" borderId="77" xfId="72" applyFont="1" applyBorder="1" applyAlignment="1">
      <alignment horizontal="center" vertical="center"/>
    </xf>
    <xf numFmtId="0" fontId="63" fillId="0" borderId="69" xfId="72" applyFont="1" applyBorder="1" applyAlignment="1">
      <alignment horizontal="center" vertical="center"/>
    </xf>
    <xf numFmtId="0" fontId="63" fillId="0" borderId="59" xfId="72" applyFont="1" applyBorder="1" applyAlignment="1">
      <alignment horizontal="center" vertical="center"/>
    </xf>
    <xf numFmtId="0" fontId="15" fillId="0" borderId="60" xfId="70" applyFont="1" applyBorder="1" applyAlignment="1">
      <alignment horizontal="center" vertical="center"/>
    </xf>
    <xf numFmtId="0" fontId="15" fillId="0" borderId="61" xfId="70" applyFont="1" applyBorder="1" applyAlignment="1">
      <alignment horizontal="center" vertical="center"/>
    </xf>
    <xf numFmtId="0" fontId="15" fillId="0" borderId="62" xfId="70" applyFont="1" applyBorder="1" applyAlignment="1">
      <alignment horizontal="center" vertical="center"/>
    </xf>
    <xf numFmtId="0" fontId="13" fillId="0" borderId="56" xfId="70" applyFont="1" applyBorder="1" applyAlignment="1">
      <alignment horizontal="center" vertical="center"/>
    </xf>
    <xf numFmtId="0" fontId="13" fillId="0" borderId="57" xfId="70" applyFont="1" applyBorder="1" applyAlignment="1">
      <alignment horizontal="center" vertical="center"/>
    </xf>
    <xf numFmtId="0" fontId="13" fillId="0" borderId="59" xfId="70" applyFont="1" applyBorder="1" applyAlignment="1">
      <alignment horizontal="center" vertical="center"/>
    </xf>
    <xf numFmtId="0" fontId="13" fillId="0" borderId="77" xfId="70" applyFont="1" applyBorder="1" applyAlignment="1">
      <alignment horizontal="center" vertical="center"/>
    </xf>
    <xf numFmtId="0" fontId="13" fillId="0" borderId="70" xfId="70" applyFont="1" applyBorder="1" applyAlignment="1">
      <alignment horizontal="center" vertical="center"/>
    </xf>
    <xf numFmtId="0" fontId="13" fillId="0" borderId="58" xfId="70" applyFont="1" applyBorder="1" applyAlignment="1">
      <alignment horizontal="center" vertical="center"/>
    </xf>
    <xf numFmtId="0" fontId="13" fillId="0" borderId="25" xfId="70" applyFont="1" applyBorder="1" applyAlignment="1">
      <alignment horizontal="center" vertical="center"/>
    </xf>
    <xf numFmtId="0" fontId="13" fillId="0" borderId="21" xfId="70" applyFont="1" applyBorder="1" applyAlignment="1">
      <alignment horizontal="center" vertical="center"/>
    </xf>
    <xf numFmtId="0" fontId="13" fillId="0" borderId="36" xfId="70" applyFont="1" applyBorder="1" applyAlignment="1">
      <alignment horizontal="center" vertical="center"/>
    </xf>
    <xf numFmtId="0" fontId="15" fillId="0" borderId="79" xfId="70" applyFont="1" applyBorder="1" applyAlignment="1">
      <alignment horizontal="center" vertical="center"/>
    </xf>
    <xf numFmtId="0" fontId="15" fillId="0" borderId="0" xfId="70" applyFont="1" applyAlignment="1">
      <alignment horizontal="center" vertical="center"/>
    </xf>
    <xf numFmtId="0" fontId="15" fillId="0" borderId="83" xfId="70" applyFont="1" applyBorder="1" applyAlignment="1">
      <alignment horizontal="center" vertical="center"/>
    </xf>
    <xf numFmtId="0" fontId="13" fillId="0" borderId="66" xfId="70" applyFont="1" applyBorder="1" applyAlignment="1">
      <alignment horizontal="center" vertical="center"/>
    </xf>
    <xf numFmtId="0" fontId="13" fillId="0" borderId="10" xfId="41" applyFont="1" applyBorder="1" applyAlignment="1">
      <alignment horizontal="center" vertical="center"/>
    </xf>
    <xf numFmtId="0" fontId="12" fillId="0" borderId="11" xfId="41" quotePrefix="1" applyFont="1" applyBorder="1" applyAlignment="1">
      <alignment horizontal="center" vertical="center"/>
    </xf>
    <xf numFmtId="0" fontId="12" fillId="0" borderId="19" xfId="41" applyFont="1" applyBorder="1" applyAlignment="1">
      <alignment horizontal="center" vertical="center"/>
    </xf>
    <xf numFmtId="0" fontId="12" fillId="0" borderId="18" xfId="41" applyFont="1" applyBorder="1" applyAlignment="1">
      <alignment horizontal="center" vertical="center"/>
    </xf>
    <xf numFmtId="0" fontId="6" fillId="0" borderId="11" xfId="41" applyFont="1" applyBorder="1" applyAlignment="1">
      <alignment horizontal="left" vertical="center" wrapText="1" indent="1"/>
    </xf>
    <xf numFmtId="0" fontId="6" fillId="0" borderId="19" xfId="41" applyFont="1" applyBorder="1" applyAlignment="1">
      <alignment horizontal="left" vertical="center" wrapText="1" indent="1"/>
    </xf>
    <xf numFmtId="0" fontId="6" fillId="0" borderId="18" xfId="41" applyFont="1" applyBorder="1" applyAlignment="1">
      <alignment horizontal="left" vertical="center" wrapText="1" indent="1"/>
    </xf>
    <xf numFmtId="0" fontId="6" fillId="0" borderId="10" xfId="41" quotePrefix="1" applyFont="1" applyBorder="1" applyAlignment="1">
      <alignment horizontal="center" vertical="center"/>
    </xf>
    <xf numFmtId="0" fontId="13" fillId="0" borderId="10" xfId="42" applyFont="1" applyBorder="1" applyAlignment="1">
      <alignment horizontal="center" vertical="center"/>
    </xf>
    <xf numFmtId="0" fontId="13" fillId="0" borderId="13" xfId="42" applyFont="1" applyBorder="1" applyAlignment="1">
      <alignment horizontal="center" vertical="center" wrapText="1"/>
    </xf>
    <xf numFmtId="0" fontId="13" fillId="0" borderId="15" xfId="42" applyFont="1" applyBorder="1" applyAlignment="1">
      <alignment horizontal="center" vertical="center" wrapText="1"/>
    </xf>
    <xf numFmtId="0" fontId="13" fillId="0" borderId="25" xfId="42" applyFont="1" applyBorder="1" applyAlignment="1">
      <alignment horizontal="center" vertical="center" wrapText="1"/>
    </xf>
    <xf numFmtId="0" fontId="13" fillId="0" borderId="22" xfId="42" applyFont="1" applyBorder="1" applyAlignment="1">
      <alignment horizontal="center" vertical="center" wrapText="1"/>
    </xf>
    <xf numFmtId="0" fontId="15" fillId="0" borderId="13" xfId="42" applyFont="1" applyBorder="1" applyAlignment="1">
      <alignment horizontal="center" vertical="center" wrapText="1"/>
    </xf>
    <xf numFmtId="0" fontId="15" fillId="0" borderId="15" xfId="42" applyFont="1" applyBorder="1" applyAlignment="1">
      <alignment horizontal="center" vertical="center" wrapText="1"/>
    </xf>
    <xf numFmtId="0" fontId="15" fillId="0" borderId="25" xfId="42" applyFont="1" applyBorder="1" applyAlignment="1">
      <alignment horizontal="center" vertical="center" wrapText="1"/>
    </xf>
    <xf numFmtId="0" fontId="15" fillId="0" borderId="22" xfId="42" applyFont="1" applyBorder="1" applyAlignment="1">
      <alignment horizontal="center" vertical="center" wrapText="1"/>
    </xf>
    <xf numFmtId="0" fontId="15" fillId="38" borderId="29" xfId="0" applyFont="1" applyFill="1" applyBorder="1" applyAlignment="1">
      <alignment horizontal="center" vertical="center"/>
    </xf>
    <xf numFmtId="0" fontId="15" fillId="38" borderId="30" xfId="0" applyFont="1" applyFill="1" applyBorder="1" applyAlignment="1">
      <alignment horizontal="center" vertical="center"/>
    </xf>
    <xf numFmtId="0" fontId="15" fillId="38" borderId="31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44" fontId="3" fillId="36" borderId="0" xfId="0" applyNumberFormat="1" applyFont="1" applyFill="1" applyAlignment="1">
      <alignment horizontal="center" vertical="center"/>
    </xf>
    <xf numFmtId="44" fontId="0" fillId="36" borderId="0" xfId="0" applyNumberFormat="1" applyFill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5" fillId="39" borderId="29" xfId="0" applyFont="1" applyFill="1" applyBorder="1" applyAlignment="1">
      <alignment horizontal="center" vertical="center"/>
    </xf>
    <xf numFmtId="0" fontId="15" fillId="39" borderId="30" xfId="0" applyFont="1" applyFill="1" applyBorder="1" applyAlignment="1">
      <alignment horizontal="center" vertical="center"/>
    </xf>
    <xf numFmtId="0" fontId="15" fillId="39" borderId="31" xfId="0" applyFont="1" applyFill="1" applyBorder="1" applyAlignment="1">
      <alignment horizontal="center" vertical="center"/>
    </xf>
    <xf numFmtId="44" fontId="71" fillId="36" borderId="0" xfId="0" applyNumberFormat="1" applyFont="1" applyFill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8" fontId="38" fillId="0" borderId="10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36" borderId="11" xfId="0" applyFont="1" applyFill="1" applyBorder="1" applyAlignment="1">
      <alignment horizontal="center" vertical="center" wrapText="1"/>
    </xf>
    <xf numFmtId="0" fontId="8" fillId="36" borderId="18" xfId="0" applyFont="1" applyFill="1" applyBorder="1" applyAlignment="1">
      <alignment horizontal="center" vertical="center" wrapText="1"/>
    </xf>
  </cellXfs>
  <cellStyles count="74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" xfId="56" xr:uid="{C16D5971-1039-4F0F-803B-F0F067800B1C}"/>
    <cellStyle name="Accent 1" xfId="57" xr:uid="{97E7C2E8-9C37-47A9-9615-2C806695ECE4}"/>
    <cellStyle name="Accent 2" xfId="58" xr:uid="{4724916E-941A-4B70-BB59-41BDDACCF626}"/>
    <cellStyle name="Accent 3" xfId="59" xr:uid="{A33091A2-6D7A-4F77-AC29-7A9674D3B93C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Bad 3" xfId="53" xr:uid="{90E22B5B-C3CB-4678-8BB9-DB4BE3A31503}"/>
    <cellStyle name="Calculation 2" xfId="26" xr:uid="{00000000-0005-0000-0000-000019000000}"/>
    <cellStyle name="Check Cell 2" xfId="27" xr:uid="{00000000-0005-0000-0000-00001A000000}"/>
    <cellStyle name="Error" xfId="60" xr:uid="{1A090923-7587-41B7-9E99-E385E63DE78B}"/>
    <cellStyle name="Explanatory Text 2" xfId="28" xr:uid="{00000000-0005-0000-0000-00001B000000}"/>
    <cellStyle name="Footnote" xfId="61" xr:uid="{F4A30BFF-1F9B-4477-8A2F-D3535BA91D03}"/>
    <cellStyle name="Good 2" xfId="29" xr:uid="{00000000-0005-0000-0000-00001C000000}"/>
    <cellStyle name="Good 3" xfId="52" xr:uid="{ADD49D7A-C30F-4B1B-9C3A-A14CC0DC28BD}"/>
    <cellStyle name="Heading" xfId="62" xr:uid="{C129309D-A267-4B65-AE37-33C2F2D1A31B}"/>
    <cellStyle name="Heading 1 2" xfId="30" xr:uid="{00000000-0005-0000-0000-00001D000000}"/>
    <cellStyle name="Heading 1 3" xfId="50" xr:uid="{FD83CBD2-4B0C-44EC-99E0-66473FC4BDF5}"/>
    <cellStyle name="Heading 2 2" xfId="31" xr:uid="{00000000-0005-0000-0000-00001E000000}"/>
    <cellStyle name="Heading 2 3" xfId="51" xr:uid="{BE0540E6-EE2F-487A-B796-ABC88D2DB752}"/>
    <cellStyle name="Heading 3 2" xfId="32" xr:uid="{00000000-0005-0000-0000-00001F000000}"/>
    <cellStyle name="Heading 4 2" xfId="33" xr:uid="{00000000-0005-0000-0000-000020000000}"/>
    <cellStyle name="Hyperlink" xfId="73" builtinId="8"/>
    <cellStyle name="Hyperlink 2" xfId="63" xr:uid="{BDF53DD7-0452-4F66-A30A-AEE10BC9127C}"/>
    <cellStyle name="Input 2" xfId="34" xr:uid="{00000000-0005-0000-0000-000022000000}"/>
    <cellStyle name="Linked Cell 2" xfId="35" xr:uid="{00000000-0005-0000-0000-000023000000}"/>
    <cellStyle name="Neutral 2" xfId="36" xr:uid="{00000000-0005-0000-0000-000024000000}"/>
    <cellStyle name="Neutral 3" xfId="54" xr:uid="{2897DDB8-673C-49A4-A8D0-24B05A6401AE}"/>
    <cellStyle name="Normal" xfId="0" builtinId="0"/>
    <cellStyle name="Normal 2" xfId="37" xr:uid="{00000000-0005-0000-0000-000026000000}"/>
    <cellStyle name="Normal 2 2" xfId="38" xr:uid="{00000000-0005-0000-0000-000027000000}"/>
    <cellStyle name="Normal 2 3" xfId="39" xr:uid="{00000000-0005-0000-0000-000028000000}"/>
    <cellStyle name="Normal 2 3 2" xfId="68" xr:uid="{B3D8BA7F-2BE5-4171-8415-EC9C84C13BB0}"/>
    <cellStyle name="Normal 3" xfId="48" xr:uid="{97993F41-C010-419C-83DE-1F93617A1C93}"/>
    <cellStyle name="Normal 4" xfId="49" xr:uid="{99E4D6BB-699C-41E2-8018-E3DA292DAF03}"/>
    <cellStyle name="Normal 6" xfId="72" xr:uid="{BD007259-EC70-6D4B-BA90-D5B9E3D1A070}"/>
    <cellStyle name="Normal 7" xfId="70" xr:uid="{1A592AAC-909D-C848-9663-B5827AFA802C}"/>
    <cellStyle name="Normal_2011 Wessex scoresheet V3  AW" xfId="40" xr:uid="{00000000-0005-0000-0000-000029000000}"/>
    <cellStyle name="Normal_NYAL OXFORD" xfId="71" xr:uid="{F9CA6B8D-9C7C-4E42-B963-9E25252EF69B}"/>
    <cellStyle name="Normal_SCORE SHEETS" xfId="41" xr:uid="{00000000-0005-0000-0000-00002A000000}"/>
    <cellStyle name="Normal_u11g VORTEX" xfId="42" xr:uid="{00000000-0005-0000-0000-00002B000000}"/>
    <cellStyle name="Note 2" xfId="43" xr:uid="{00000000-0005-0000-0000-00002C000000}"/>
    <cellStyle name="Note 2 2" xfId="69" xr:uid="{61E4263C-8593-49C3-A2D5-EF18C559BD6A}"/>
    <cellStyle name="Note 3" xfId="55" xr:uid="{42466AE9-88EC-4C93-8A93-AC219F4FC352}"/>
    <cellStyle name="Output 2" xfId="44" xr:uid="{00000000-0005-0000-0000-00002D000000}"/>
    <cellStyle name="Result" xfId="64" xr:uid="{EB81B29B-0815-48C3-922E-6FA8509C0C33}"/>
    <cellStyle name="Status" xfId="65" xr:uid="{7E8900FC-872E-4D7F-A4FF-CEC0DDF07BC6}"/>
    <cellStyle name="Text" xfId="66" xr:uid="{14AE165C-9DFD-4F39-933B-C89276E8E000}"/>
    <cellStyle name="Title 2" xfId="45" xr:uid="{00000000-0005-0000-0000-00002E000000}"/>
    <cellStyle name="Total 2" xfId="46" xr:uid="{00000000-0005-0000-0000-00002F000000}"/>
    <cellStyle name="Warning" xfId="67" xr:uid="{DCDDB0A3-2FFD-44BC-B0F2-4E0E64E63843}"/>
    <cellStyle name="Warning Text 2" xfId="47" xr:uid="{00000000-0005-0000-0000-000030000000}"/>
  </cellStyles>
  <dxfs count="23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EB8EBC"/>
        </patternFill>
      </fill>
    </dxf>
    <dxf>
      <fill>
        <patternFill>
          <bgColor rgb="FF91C2F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4" tint="0.79998168889431442"/>
        </patternFill>
      </fill>
    </dxf>
  </dxfs>
  <tableStyles count="0" defaultTableStyle="TableStyleMedium9" defaultPivotStyle="PivotStyleLight16"/>
  <colors>
    <mruColors>
      <color rgb="FFFF6600"/>
      <color rgb="FFFF00FF"/>
      <color rgb="FFFFFFB6"/>
      <color rgb="FFFFFF66"/>
      <color rgb="FF9ACDFF"/>
      <color rgb="FFEB8EBC"/>
      <color rgb="FF91C2F1"/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dley@%20Abingdon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6600"/>
  </sheetPr>
  <dimension ref="A1:Y39"/>
  <sheetViews>
    <sheetView zoomScale="90" zoomScaleNormal="90" workbookViewId="0">
      <selection activeCell="F4" sqref="F4"/>
    </sheetView>
  </sheetViews>
  <sheetFormatPr defaultColWidth="9.109375" defaultRowHeight="22.05" customHeight="1"/>
  <cols>
    <col min="1" max="3" width="13.33203125" style="173" customWidth="1"/>
    <col min="4" max="4" width="28.109375" style="173" bestFit="1" customWidth="1"/>
    <col min="5" max="9" width="24.109375" style="173" customWidth="1"/>
    <col min="10" max="10" width="24.109375" style="177" customWidth="1"/>
    <col min="11" max="11" width="24.109375" style="178" customWidth="1"/>
    <col min="12" max="12" width="24.109375" style="173" hidden="1" customWidth="1"/>
    <col min="13" max="13" width="0.109375" style="173" customWidth="1"/>
    <col min="14" max="15" width="20" style="173" customWidth="1"/>
    <col min="16" max="17" width="19.109375" style="173" customWidth="1"/>
    <col min="18" max="19" width="7.6640625" style="173" customWidth="1"/>
    <col min="20" max="20" width="19.109375" style="173" customWidth="1"/>
    <col min="21" max="16384" width="9.109375" style="173"/>
  </cols>
  <sheetData>
    <row r="1" spans="1:25" ht="22.05" customHeight="1">
      <c r="A1" s="386" t="s">
        <v>0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</row>
    <row r="2" spans="1:25" ht="22.05" customHeight="1">
      <c r="A2" s="386" t="s">
        <v>1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</row>
    <row r="3" spans="1:25" s="18" customFormat="1" ht="16.05" customHeight="1"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</row>
    <row r="4" spans="1:25" s="18" customFormat="1" ht="34.049999999999997" customHeight="1">
      <c r="A4" s="392" t="s">
        <v>2</v>
      </c>
      <c r="B4" s="393"/>
      <c r="C4" s="393"/>
      <c r="D4" s="393"/>
      <c r="E4" s="394"/>
      <c r="F4" s="58">
        <v>9</v>
      </c>
      <c r="H4" s="402" t="s">
        <v>3</v>
      </c>
      <c r="I4" s="402"/>
      <c r="J4" s="402"/>
      <c r="K4" s="402"/>
      <c r="L4" s="402"/>
      <c r="M4" s="402"/>
      <c r="N4" s="402"/>
      <c r="O4" s="173"/>
      <c r="P4" s="173"/>
      <c r="Q4" s="173"/>
      <c r="R4" s="173"/>
    </row>
    <row r="5" spans="1:25" s="18" customFormat="1" ht="34.049999999999997" customHeight="1">
      <c r="A5" s="391" t="s">
        <v>4</v>
      </c>
      <c r="B5" s="391"/>
      <c r="C5" s="391"/>
      <c r="D5" s="391"/>
      <c r="E5" s="391"/>
      <c r="F5" s="391"/>
      <c r="H5" s="402" t="s">
        <v>5</v>
      </c>
      <c r="I5" s="402"/>
      <c r="J5" s="402"/>
      <c r="K5" s="402"/>
      <c r="L5" s="402"/>
      <c r="M5" s="402"/>
      <c r="N5" s="402"/>
      <c r="O5" s="173"/>
      <c r="P5" s="173"/>
      <c r="Q5" s="173"/>
      <c r="R5" s="173"/>
    </row>
    <row r="6" spans="1:25" s="18" customFormat="1" ht="34.049999999999997" customHeight="1">
      <c r="A6" s="391" t="s">
        <v>6</v>
      </c>
      <c r="B6" s="391"/>
      <c r="C6" s="391"/>
      <c r="D6" s="391"/>
      <c r="E6" s="391"/>
      <c r="F6" s="391"/>
      <c r="H6" s="402" t="s">
        <v>7</v>
      </c>
      <c r="I6" s="402"/>
      <c r="J6" s="402"/>
      <c r="K6" s="402"/>
      <c r="L6" s="402"/>
      <c r="M6" s="402"/>
      <c r="N6" s="402"/>
      <c r="O6" s="173"/>
      <c r="P6" s="173"/>
      <c r="Q6" s="173"/>
      <c r="R6" s="173"/>
    </row>
    <row r="7" spans="1:25" s="18" customFormat="1" ht="34.049999999999997" customHeight="1">
      <c r="A7" s="391" t="s">
        <v>8</v>
      </c>
      <c r="B7" s="391"/>
      <c r="C7" s="395"/>
      <c r="D7" s="395"/>
      <c r="E7" s="395"/>
      <c r="F7" s="395"/>
      <c r="H7" s="402" t="s">
        <v>9</v>
      </c>
      <c r="I7" s="402"/>
      <c r="J7" s="402"/>
      <c r="K7" s="402"/>
      <c r="L7" s="402"/>
      <c r="M7" s="402"/>
      <c r="N7" s="402"/>
      <c r="O7" s="173"/>
      <c r="P7" s="173"/>
      <c r="Q7" s="173"/>
      <c r="R7" s="173"/>
    </row>
    <row r="8" spans="1:25" s="18" customFormat="1" ht="16.05" customHeight="1" thickBot="1"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</row>
    <row r="9" spans="1:25" s="18" customFormat="1" ht="22.05" customHeight="1">
      <c r="A9" s="400" t="s">
        <v>10</v>
      </c>
      <c r="B9" s="401"/>
      <c r="C9" s="387">
        <f>F4</f>
        <v>9</v>
      </c>
      <c r="D9" s="388"/>
      <c r="E9" s="396" t="s">
        <v>11</v>
      </c>
      <c r="F9" s="397"/>
      <c r="H9" s="403" t="s">
        <v>12</v>
      </c>
      <c r="I9" s="403"/>
      <c r="J9" s="403"/>
      <c r="K9" s="403"/>
      <c r="L9" s="403"/>
      <c r="M9" s="403"/>
      <c r="N9" s="403"/>
      <c r="O9" s="173"/>
      <c r="P9" s="173"/>
      <c r="Q9" s="173"/>
      <c r="R9" s="173"/>
      <c r="S9" s="173"/>
      <c r="T9" s="173"/>
    </row>
    <row r="10" spans="1:25" s="18" customFormat="1" ht="22.05" customHeight="1" thickBot="1">
      <c r="A10" s="398" t="s">
        <v>13</v>
      </c>
      <c r="B10" s="399"/>
      <c r="C10" s="389">
        <f>(VLOOKUP(F4,A22:C37,3,FALSE))</f>
        <v>46201</v>
      </c>
      <c r="D10" s="390"/>
      <c r="E10" s="219" t="s">
        <v>14</v>
      </c>
      <c r="F10" s="220" t="s">
        <v>15</v>
      </c>
      <c r="H10" s="403"/>
      <c r="I10" s="403"/>
      <c r="J10" s="403"/>
      <c r="K10" s="403"/>
      <c r="L10" s="403"/>
      <c r="M10" s="403"/>
      <c r="N10" s="403"/>
    </row>
    <row r="11" spans="1:25" s="18" customFormat="1" ht="22.05" customHeight="1">
      <c r="A11" s="408" t="s">
        <v>16</v>
      </c>
      <c r="B11" s="409"/>
      <c r="C11" s="174" t="str" cm="1">
        <f t="array" ref="C11:C19">_xlfn.LET(_xlpm.x, TRANSPOSE(_xlfn.XLOOKUP(F4,A22:A37,E22:M37)), IF(_xlpm.x="","",_xlpm.x))</f>
        <v>Camberley &amp; District AC</v>
      </c>
      <c r="D11" s="283"/>
      <c r="E11" s="213" t="str">
        <f>MIN(Declarations!$B$6:$B$15)&amp;"-"&amp;MAX(Declarations!$B$6:$B$15)</f>
        <v>1-10</v>
      </c>
      <c r="F11" s="214" t="str">
        <f>MIN(Declarations!$B$16:$B$25)&amp;"-"&amp;MAX(Declarations!$B$16:$B$25)</f>
        <v>11-20</v>
      </c>
    </row>
    <row r="12" spans="1:25" s="18" customFormat="1" ht="22.05" customHeight="1">
      <c r="A12" s="404" t="s">
        <v>17</v>
      </c>
      <c r="B12" s="405"/>
      <c r="C12" s="284" t="str">
        <v>Woking AC</v>
      </c>
      <c r="D12" s="285"/>
      <c r="E12" s="215" t="str">
        <f>MIN(Declarations!$B$26:$B$35)&amp;"-"&amp;MAX(Declarations!$B$26:$B$35)</f>
        <v>21-30</v>
      </c>
      <c r="F12" s="216" t="str">
        <f>MIN(Declarations!$B$36:$B$45)&amp;"-"&amp;MAX(Declarations!$B$36:$B$45)</f>
        <v>31-40</v>
      </c>
    </row>
    <row r="13" spans="1:25" s="18" customFormat="1" ht="22.05" customHeight="1">
      <c r="A13" s="404" t="s">
        <v>18</v>
      </c>
      <c r="B13" s="405"/>
      <c r="C13" s="284" t="str">
        <v>Poole Runners</v>
      </c>
      <c r="D13" s="285"/>
      <c r="E13" s="215" t="str">
        <f>MIN(Declarations!$B$46:$B$55)&amp;"-"&amp;MAX(Declarations!$B$46:$B$55)</f>
        <v>41-50</v>
      </c>
      <c r="F13" s="216" t="str">
        <f>MIN(Declarations!$B$56:$B$65)&amp;"-"&amp;MAX(Declarations!$B$56:$B$65)</f>
        <v>51-60</v>
      </c>
    </row>
    <row r="14" spans="1:25" s="18" customFormat="1" ht="22.05" customHeight="1">
      <c r="A14" s="404" t="s">
        <v>19</v>
      </c>
      <c r="B14" s="405"/>
      <c r="C14" s="284" t="str">
        <v>Fleet &amp; Crookham AC</v>
      </c>
      <c r="D14" s="285"/>
      <c r="E14" s="215" t="str">
        <f>MIN(Declarations!$B$66:$B$75)&amp;"-"&amp;MAX(Declarations!$B$66:$B$75)</f>
        <v>61-70</v>
      </c>
      <c r="F14" s="216" t="str">
        <f>MIN(Declarations!$B$76:$B$85)&amp;"-"&amp;MAX(Declarations!$B$76:$B$85)</f>
        <v>71-80</v>
      </c>
    </row>
    <row r="15" spans="1:25" s="18" customFormat="1" ht="22.05" customHeight="1">
      <c r="A15" s="404" t="s">
        <v>20</v>
      </c>
      <c r="B15" s="405"/>
      <c r="C15" s="284" t="str">
        <v>Waverley Athletics Club</v>
      </c>
      <c r="D15" s="285"/>
      <c r="E15" s="215" t="str">
        <f>MIN(Declarations!$B$86:$B$95)&amp;"-"&amp;MAX(Declarations!$B$86:$B$95)</f>
        <v>81-90</v>
      </c>
      <c r="F15" s="216" t="str">
        <f>MIN(Declarations!$B$96:$B$105)&amp;"-"&amp;MAX(Declarations!$B$96:$B$105)</f>
        <v>91-100</v>
      </c>
    </row>
    <row r="16" spans="1:25" s="18" customFormat="1" ht="21" customHeight="1">
      <c r="A16" s="404" t="s">
        <v>21</v>
      </c>
      <c r="B16" s="405"/>
      <c r="C16" s="284" t="str">
        <v>Basingstoke &amp; Mid Hants AC</v>
      </c>
      <c r="D16" s="285"/>
      <c r="E16" s="215" t="str">
        <f>MIN(Declarations!$B$106:$B$115)&amp;"-"&amp;MAX(Declarations!$B$106:$B$115)</f>
        <v>101-110</v>
      </c>
      <c r="F16" s="216" t="str">
        <f>MIN(Declarations!$B$116:$B$125)&amp;"-"&amp;MAX(Declarations!$B$116:$B$125)</f>
        <v>111-120</v>
      </c>
    </row>
    <row r="17" spans="1:25" s="18" customFormat="1" ht="21" customHeight="1">
      <c r="A17" s="404" t="s">
        <v>22</v>
      </c>
      <c r="B17" s="405"/>
      <c r="C17" s="284" t="str">
        <v/>
      </c>
      <c r="D17" s="285"/>
      <c r="E17" s="215" t="str">
        <f>MIN(Declarations!$B$126:$B$135)&amp;"-"&amp;MAX(Declarations!$B$126:$B$135)</f>
        <v>121-130</v>
      </c>
      <c r="F17" s="216" t="str">
        <f>MIN(Declarations!$B$136:$B$145)&amp;"-"&amp;MAX(Declarations!$B$136:$B$145)</f>
        <v>131-140</v>
      </c>
    </row>
    <row r="18" spans="1:25" s="18" customFormat="1" ht="21" customHeight="1">
      <c r="A18" s="404" t="s">
        <v>23</v>
      </c>
      <c r="B18" s="405"/>
      <c r="C18" s="284" t="str">
        <v/>
      </c>
      <c r="D18" s="285"/>
      <c r="E18" s="215" t="str">
        <f>MIN(Declarations!$B$146:$B$155)&amp;"-"&amp;MAX(Declarations!$B$146:$B$155)</f>
        <v>0-0</v>
      </c>
      <c r="F18" s="216" t="str">
        <f>MIN(Declarations!$B$156:$B$165)&amp;"-"&amp;MAX(Declarations!$B$156:$B$165)</f>
        <v>0-0</v>
      </c>
    </row>
    <row r="19" spans="1:25" ht="21" customHeight="1" thickBot="1">
      <c r="A19" s="406" t="s">
        <v>24</v>
      </c>
      <c r="B19" s="407"/>
      <c r="C19" s="286" t="str">
        <v/>
      </c>
      <c r="D19" s="287"/>
      <c r="E19" s="217" t="str">
        <f>MIN(Declarations!$B$166:$B$175)&amp;"-"&amp;MAX(Declarations!$B$166:$B$175)</f>
        <v>0-0</v>
      </c>
      <c r="F19" s="218" t="str">
        <f>MIN(Declarations!$B$176:$B$185)&amp;"-"&amp;MAX(Declarations!$B$176:$B$185)</f>
        <v>0-0</v>
      </c>
      <c r="U19" s="18"/>
      <c r="V19" s="18"/>
      <c r="W19" s="18"/>
      <c r="X19" s="18"/>
      <c r="Y19" s="18"/>
    </row>
    <row r="20" spans="1:25" ht="22.05" customHeight="1" thickBot="1">
      <c r="A20" s="18"/>
      <c r="B20" s="18"/>
      <c r="C20" s="18"/>
      <c r="D20" s="18"/>
      <c r="E20" s="18"/>
      <c r="F20" s="18"/>
      <c r="U20" s="18"/>
      <c r="V20" s="18"/>
      <c r="W20" s="18"/>
      <c r="X20" s="18"/>
      <c r="Y20" s="18"/>
    </row>
    <row r="21" spans="1:25" ht="22.05" customHeight="1" thickBot="1">
      <c r="A21" s="221" t="s">
        <v>25</v>
      </c>
      <c r="B21" s="222" t="s">
        <v>26</v>
      </c>
      <c r="C21" s="222" t="s">
        <v>27</v>
      </c>
      <c r="D21" s="223" t="s">
        <v>28</v>
      </c>
      <c r="E21" s="224" t="s">
        <v>29</v>
      </c>
      <c r="F21" s="222" t="s">
        <v>30</v>
      </c>
      <c r="G21" s="222" t="s">
        <v>31</v>
      </c>
      <c r="H21" s="222" t="s">
        <v>32</v>
      </c>
      <c r="I21" s="222" t="s">
        <v>33</v>
      </c>
      <c r="J21" s="222" t="s">
        <v>34</v>
      </c>
      <c r="K21" s="222" t="s">
        <v>35</v>
      </c>
      <c r="L21" s="222" t="s">
        <v>36</v>
      </c>
      <c r="M21" s="223" t="s">
        <v>37</v>
      </c>
      <c r="S21" s="18"/>
      <c r="T21" s="18"/>
      <c r="U21" s="18"/>
      <c r="V21" s="18"/>
      <c r="W21" s="18"/>
    </row>
    <row r="22" spans="1:25" ht="22.05" customHeight="1">
      <c r="A22" s="179">
        <v>1</v>
      </c>
      <c r="B22" s="180">
        <v>1</v>
      </c>
      <c r="C22" s="181">
        <v>46124</v>
      </c>
      <c r="D22" s="182" t="s">
        <v>38</v>
      </c>
      <c r="E22" s="183" t="s">
        <v>39</v>
      </c>
      <c r="F22" s="116" t="s">
        <v>40</v>
      </c>
      <c r="G22" s="116" t="s">
        <v>41</v>
      </c>
      <c r="H22" s="116" t="s">
        <v>42</v>
      </c>
      <c r="I22" s="116" t="s">
        <v>43</v>
      </c>
      <c r="J22" s="116" t="s">
        <v>44</v>
      </c>
      <c r="K22" s="184" t="s">
        <v>45</v>
      </c>
      <c r="L22" s="184"/>
      <c r="M22" s="336"/>
      <c r="S22" s="18"/>
      <c r="T22" s="18"/>
      <c r="U22" s="18"/>
      <c r="V22" s="18"/>
      <c r="W22" s="18"/>
    </row>
    <row r="23" spans="1:25" ht="22.05" customHeight="1">
      <c r="A23" s="185">
        <v>2</v>
      </c>
      <c r="B23" s="186">
        <v>1</v>
      </c>
      <c r="C23" s="181">
        <v>46131</v>
      </c>
      <c r="D23" s="187" t="s">
        <v>46</v>
      </c>
      <c r="E23" s="176" t="s">
        <v>46</v>
      </c>
      <c r="F23" s="112" t="s">
        <v>47</v>
      </c>
      <c r="G23" s="112" t="s">
        <v>48</v>
      </c>
      <c r="H23" s="112" t="s">
        <v>49</v>
      </c>
      <c r="I23" s="112" t="s">
        <v>50</v>
      </c>
      <c r="J23" s="112" t="s">
        <v>51</v>
      </c>
      <c r="K23" s="188" t="s">
        <v>52</v>
      </c>
      <c r="L23" s="175"/>
      <c r="M23" s="188"/>
      <c r="S23" s="18"/>
      <c r="T23" s="18"/>
      <c r="U23" s="18"/>
      <c r="V23" s="18"/>
      <c r="W23" s="18"/>
    </row>
    <row r="24" spans="1:25" ht="22.05" customHeight="1">
      <c r="A24" s="185">
        <v>3</v>
      </c>
      <c r="B24" s="186">
        <v>1</v>
      </c>
      <c r="C24" s="181">
        <v>46138</v>
      </c>
      <c r="D24" s="189" t="s">
        <v>53</v>
      </c>
      <c r="E24" s="190" t="s">
        <v>53</v>
      </c>
      <c r="F24" s="112" t="s">
        <v>54</v>
      </c>
      <c r="G24" s="112" t="s">
        <v>55</v>
      </c>
      <c r="H24" s="112" t="s">
        <v>56</v>
      </c>
      <c r="I24" s="112" t="s">
        <v>57</v>
      </c>
      <c r="J24" s="112" t="s">
        <v>58</v>
      </c>
      <c r="K24" s="188" t="s">
        <v>59</v>
      </c>
      <c r="L24" s="175"/>
      <c r="M24" s="188"/>
      <c r="S24" s="18"/>
      <c r="T24" s="18"/>
      <c r="U24" s="18"/>
      <c r="V24" s="18"/>
      <c r="W24" s="18"/>
    </row>
    <row r="25" spans="1:25" ht="22.05" customHeight="1">
      <c r="A25" s="185">
        <v>4</v>
      </c>
      <c r="B25" s="186">
        <v>1</v>
      </c>
      <c r="C25" s="181">
        <v>46138</v>
      </c>
      <c r="D25" s="189" t="s">
        <v>60</v>
      </c>
      <c r="E25" s="176" t="s">
        <v>61</v>
      </c>
      <c r="F25" s="112" t="s">
        <v>62</v>
      </c>
      <c r="G25" s="112" t="s">
        <v>63</v>
      </c>
      <c r="H25" s="112" t="s">
        <v>64</v>
      </c>
      <c r="I25" s="112" t="s">
        <v>65</v>
      </c>
      <c r="J25" s="112"/>
      <c r="K25" s="188"/>
      <c r="L25" s="175"/>
      <c r="M25" s="188"/>
      <c r="S25" s="18"/>
      <c r="T25" s="18"/>
      <c r="U25" s="18"/>
      <c r="V25" s="18"/>
      <c r="W25" s="18"/>
    </row>
    <row r="26" spans="1:25" ht="22.05" customHeight="1">
      <c r="A26" s="191">
        <v>5</v>
      </c>
      <c r="B26" s="192">
        <v>2</v>
      </c>
      <c r="C26" s="193">
        <v>46180</v>
      </c>
      <c r="D26" s="194" t="s">
        <v>53</v>
      </c>
      <c r="E26" s="176" t="s">
        <v>53</v>
      </c>
      <c r="F26" s="112" t="s">
        <v>50</v>
      </c>
      <c r="G26" s="112" t="s">
        <v>44</v>
      </c>
      <c r="H26" s="112" t="s">
        <v>45</v>
      </c>
      <c r="I26" s="112" t="s">
        <v>48</v>
      </c>
      <c r="J26" s="112" t="s">
        <v>62</v>
      </c>
      <c r="K26" s="188"/>
      <c r="L26" s="175"/>
      <c r="M26" s="18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1:25" ht="22.05" customHeight="1">
      <c r="A27" s="191">
        <v>6</v>
      </c>
      <c r="B27" s="192">
        <v>2</v>
      </c>
      <c r="C27" s="193">
        <v>46180</v>
      </c>
      <c r="D27" s="194" t="s">
        <v>51</v>
      </c>
      <c r="E27" s="176" t="s">
        <v>51</v>
      </c>
      <c r="F27" s="112" t="s">
        <v>55</v>
      </c>
      <c r="G27" s="112" t="s">
        <v>47</v>
      </c>
      <c r="H27" s="112" t="s">
        <v>39</v>
      </c>
      <c r="I27" s="112" t="s">
        <v>40</v>
      </c>
      <c r="J27" s="112" t="s">
        <v>57</v>
      </c>
      <c r="K27" s="188" t="s">
        <v>52</v>
      </c>
      <c r="L27" s="175"/>
      <c r="M27" s="188"/>
      <c r="N27" s="18"/>
      <c r="O27" s="18"/>
      <c r="P27" s="18"/>
      <c r="Q27" s="18"/>
      <c r="R27" s="18"/>
      <c r="S27" s="18"/>
      <c r="T27" s="18"/>
      <c r="U27" s="18"/>
      <c r="V27" s="18"/>
      <c r="W27" s="18"/>
    </row>
    <row r="28" spans="1:25" ht="22.05" customHeight="1">
      <c r="A28" s="191">
        <v>7</v>
      </c>
      <c r="B28" s="192">
        <v>2</v>
      </c>
      <c r="C28" s="193">
        <v>46187</v>
      </c>
      <c r="D28" s="194" t="s">
        <v>49</v>
      </c>
      <c r="E28" s="176" t="s">
        <v>49</v>
      </c>
      <c r="F28" s="112" t="s">
        <v>42</v>
      </c>
      <c r="G28" s="112" t="s">
        <v>64</v>
      </c>
      <c r="H28" s="112" t="s">
        <v>43</v>
      </c>
      <c r="I28" s="112" t="s">
        <v>65</v>
      </c>
      <c r="J28" s="112" t="s">
        <v>56</v>
      </c>
      <c r="K28" s="188"/>
      <c r="L28" s="175"/>
      <c r="M28" s="188"/>
      <c r="N28" s="18"/>
      <c r="O28" s="18"/>
      <c r="P28" s="18"/>
      <c r="Q28" s="18"/>
      <c r="R28" s="18"/>
    </row>
    <row r="29" spans="1:25" ht="22.05" customHeight="1">
      <c r="A29" s="191">
        <v>8</v>
      </c>
      <c r="B29" s="192">
        <v>2</v>
      </c>
      <c r="C29" s="193">
        <v>46187</v>
      </c>
      <c r="D29" s="195" t="s">
        <v>54</v>
      </c>
      <c r="E29" s="190" t="s">
        <v>54</v>
      </c>
      <c r="F29" s="112" t="s">
        <v>61</v>
      </c>
      <c r="G29" s="112" t="s">
        <v>41</v>
      </c>
      <c r="H29" s="112" t="s">
        <v>46</v>
      </c>
      <c r="I29" s="112" t="s">
        <v>63</v>
      </c>
      <c r="J29" s="112" t="s">
        <v>58</v>
      </c>
      <c r="K29" s="188" t="s">
        <v>59</v>
      </c>
      <c r="L29" s="175"/>
      <c r="M29" s="188"/>
      <c r="N29" s="18"/>
      <c r="O29" s="18"/>
      <c r="P29" s="18"/>
      <c r="Q29" s="18"/>
      <c r="R29" s="18"/>
    </row>
    <row r="30" spans="1:25" ht="22.05" customHeight="1">
      <c r="A30" s="196">
        <v>9</v>
      </c>
      <c r="B30" s="197">
        <v>3</v>
      </c>
      <c r="C30" s="198">
        <v>46201</v>
      </c>
      <c r="D30" s="199" t="s">
        <v>66</v>
      </c>
      <c r="E30" s="172" t="s">
        <v>42</v>
      </c>
      <c r="F30" s="112" t="s">
        <v>57</v>
      </c>
      <c r="G30" s="112" t="s">
        <v>65</v>
      </c>
      <c r="H30" s="112" t="s">
        <v>44</v>
      </c>
      <c r="I30" s="112" t="s">
        <v>40</v>
      </c>
      <c r="J30" s="112" t="s">
        <v>46</v>
      </c>
      <c r="K30" s="188"/>
      <c r="L30" s="175"/>
      <c r="M30" s="188"/>
    </row>
    <row r="31" spans="1:25" ht="22.05" customHeight="1">
      <c r="A31" s="196">
        <v>10</v>
      </c>
      <c r="B31" s="197">
        <v>3</v>
      </c>
      <c r="C31" s="198">
        <v>46201</v>
      </c>
      <c r="D31" s="200" t="s">
        <v>67</v>
      </c>
      <c r="E31" s="190" t="s">
        <v>58</v>
      </c>
      <c r="F31" s="112" t="s">
        <v>41</v>
      </c>
      <c r="G31" s="112" t="s">
        <v>63</v>
      </c>
      <c r="H31" s="112" t="s">
        <v>53</v>
      </c>
      <c r="I31" s="112" t="s">
        <v>56</v>
      </c>
      <c r="J31" s="112" t="s">
        <v>48</v>
      </c>
      <c r="K31" s="188"/>
      <c r="L31" s="175"/>
      <c r="M31" s="188"/>
    </row>
    <row r="32" spans="1:25" ht="22.05" customHeight="1">
      <c r="A32" s="196">
        <v>11</v>
      </c>
      <c r="B32" s="197">
        <v>3</v>
      </c>
      <c r="C32" s="198">
        <v>46208</v>
      </c>
      <c r="D32" s="200" t="s">
        <v>62</v>
      </c>
      <c r="E32" s="190" t="s">
        <v>62</v>
      </c>
      <c r="F32" s="112" t="s">
        <v>51</v>
      </c>
      <c r="G32" s="112" t="s">
        <v>54</v>
      </c>
      <c r="H32" s="112" t="s">
        <v>55</v>
      </c>
      <c r="I32" s="112" t="s">
        <v>64</v>
      </c>
      <c r="J32" s="112" t="s">
        <v>45</v>
      </c>
      <c r="K32" s="188" t="s">
        <v>52</v>
      </c>
      <c r="L32" s="175"/>
      <c r="M32" s="188"/>
    </row>
    <row r="33" spans="1:13" ht="22.05" customHeight="1">
      <c r="A33" s="196">
        <v>12</v>
      </c>
      <c r="B33" s="197">
        <v>3</v>
      </c>
      <c r="C33" s="198">
        <v>46208</v>
      </c>
      <c r="D33" s="200" t="s">
        <v>50</v>
      </c>
      <c r="E33" s="190" t="s">
        <v>50</v>
      </c>
      <c r="F33" s="112" t="s">
        <v>61</v>
      </c>
      <c r="G33" s="112" t="s">
        <v>43</v>
      </c>
      <c r="H33" s="112" t="s">
        <v>47</v>
      </c>
      <c r="I33" s="112" t="s">
        <v>49</v>
      </c>
      <c r="J33" s="112" t="s">
        <v>39</v>
      </c>
      <c r="K33" s="188" t="s">
        <v>59</v>
      </c>
      <c r="L33" s="175"/>
      <c r="M33" s="188"/>
    </row>
    <row r="34" spans="1:13" ht="22.05" customHeight="1">
      <c r="A34" s="201">
        <v>13</v>
      </c>
      <c r="B34" s="202">
        <v>4</v>
      </c>
      <c r="C34" s="203">
        <v>46215</v>
      </c>
      <c r="D34" s="204" t="s">
        <v>68</v>
      </c>
      <c r="E34" s="190" t="s">
        <v>65</v>
      </c>
      <c r="F34" s="112" t="s">
        <v>61</v>
      </c>
      <c r="G34" s="112" t="s">
        <v>63</v>
      </c>
      <c r="H34" s="112" t="s">
        <v>64</v>
      </c>
      <c r="I34" s="112" t="s">
        <v>41</v>
      </c>
      <c r="J34" s="112" t="s">
        <v>42</v>
      </c>
      <c r="K34" s="188" t="s">
        <v>52</v>
      </c>
      <c r="L34" s="175"/>
      <c r="M34" s="188"/>
    </row>
    <row r="35" spans="1:13" ht="22.05" customHeight="1">
      <c r="A35" s="201">
        <v>14</v>
      </c>
      <c r="B35" s="202">
        <v>4</v>
      </c>
      <c r="C35" s="203">
        <v>46215</v>
      </c>
      <c r="D35" s="205" t="s">
        <v>38</v>
      </c>
      <c r="E35" s="176" t="s">
        <v>39</v>
      </c>
      <c r="F35" s="112" t="s">
        <v>46</v>
      </c>
      <c r="G35" s="112" t="s">
        <v>48</v>
      </c>
      <c r="H35" s="112" t="s">
        <v>58</v>
      </c>
      <c r="I35" s="112" t="s">
        <v>45</v>
      </c>
      <c r="J35" s="112" t="s">
        <v>47</v>
      </c>
      <c r="K35" s="188"/>
      <c r="L35" s="175"/>
      <c r="M35" s="188"/>
    </row>
    <row r="36" spans="1:13" ht="22.05" customHeight="1">
      <c r="A36" s="201">
        <v>15</v>
      </c>
      <c r="B36" s="202">
        <v>4</v>
      </c>
      <c r="C36" s="203">
        <v>46215</v>
      </c>
      <c r="D36" s="205" t="s">
        <v>51</v>
      </c>
      <c r="E36" s="176" t="s">
        <v>51</v>
      </c>
      <c r="F36" s="112" t="s">
        <v>44</v>
      </c>
      <c r="G36" s="112" t="s">
        <v>56</v>
      </c>
      <c r="H36" s="112" t="s">
        <v>49</v>
      </c>
      <c r="I36" s="112" t="s">
        <v>50</v>
      </c>
      <c r="J36" s="112" t="s">
        <v>53</v>
      </c>
      <c r="K36" s="188" t="s">
        <v>59</v>
      </c>
      <c r="L36" s="175"/>
      <c r="M36" s="188"/>
    </row>
    <row r="37" spans="1:13" ht="22.05" customHeight="1" thickBot="1">
      <c r="A37" s="206">
        <v>16</v>
      </c>
      <c r="B37" s="207">
        <v>4</v>
      </c>
      <c r="C37" s="208">
        <v>46229</v>
      </c>
      <c r="D37" s="209" t="s">
        <v>69</v>
      </c>
      <c r="E37" s="210" t="s">
        <v>55</v>
      </c>
      <c r="F37" s="211" t="s">
        <v>43</v>
      </c>
      <c r="G37" s="211" t="s">
        <v>62</v>
      </c>
      <c r="H37" s="211" t="s">
        <v>54</v>
      </c>
      <c r="I37" s="211" t="s">
        <v>57</v>
      </c>
      <c r="J37" s="211" t="s">
        <v>40</v>
      </c>
      <c r="K37" s="212"/>
      <c r="L37" s="212"/>
      <c r="M37" s="337"/>
    </row>
    <row r="39" spans="1:13" ht="21.75" customHeight="1"/>
  </sheetData>
  <sheetProtection sheet="1" objects="1" scenarios="1"/>
  <mergeCells count="25">
    <mergeCell ref="A18:B18"/>
    <mergeCell ref="A19:B19"/>
    <mergeCell ref="A11:B11"/>
    <mergeCell ref="A12:B12"/>
    <mergeCell ref="A13:B13"/>
    <mergeCell ref="A14:B14"/>
    <mergeCell ref="A15:B15"/>
    <mergeCell ref="A16:B16"/>
    <mergeCell ref="A17:B17"/>
    <mergeCell ref="A1:M1"/>
    <mergeCell ref="A2:M2"/>
    <mergeCell ref="C9:D9"/>
    <mergeCell ref="C10:D10"/>
    <mergeCell ref="A5:F5"/>
    <mergeCell ref="A6:F6"/>
    <mergeCell ref="A4:E4"/>
    <mergeCell ref="A7:F7"/>
    <mergeCell ref="E9:F9"/>
    <mergeCell ref="A10:B10"/>
    <mergeCell ref="A9:B9"/>
    <mergeCell ref="H4:N4"/>
    <mergeCell ref="H5:N5"/>
    <mergeCell ref="H6:N6"/>
    <mergeCell ref="H7:N7"/>
    <mergeCell ref="H9:N10"/>
  </mergeCells>
  <phoneticPr fontId="5" type="noConversion"/>
  <conditionalFormatting sqref="A22:M37">
    <cfRule type="expression" dxfId="22" priority="53" stopIfTrue="1">
      <formula>$A22=$F$4</formula>
    </cfRule>
  </conditionalFormatting>
  <dataValidations count="1">
    <dataValidation type="list" showInputMessage="1" showErrorMessage="1" sqref="F4" xr:uid="{BC284B60-AA06-5D40-8938-D39E0FA61B16}">
      <formula1>$A$22:$A$37</formula1>
    </dataValidation>
  </dataValidations>
  <hyperlinks>
    <hyperlink ref="E30" r:id="rId1" display="Radley@ Abingdon" xr:uid="{127A5455-E2D3-4641-B5A6-0B2B204B90D0}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F699C-4600-1E48-9BE7-6EC7BE524E62}">
  <sheetPr>
    <pageSetUpPr fitToPage="1"/>
  </sheetPr>
  <dimension ref="A1:AM566"/>
  <sheetViews>
    <sheetView zoomScale="75" zoomScaleNormal="60" zoomScaleSheetLayoutView="70" workbookViewId="0">
      <selection activeCell="M7" sqref="M7"/>
    </sheetView>
  </sheetViews>
  <sheetFormatPr defaultColWidth="8.77734375" defaultRowHeight="13.2"/>
  <cols>
    <col min="1" max="1" width="6" style="4" bestFit="1" customWidth="1"/>
    <col min="2" max="2" width="20.77734375" style="84" bestFit="1" customWidth="1"/>
    <col min="3" max="3" width="18.109375" style="84" customWidth="1"/>
    <col min="4" max="5" width="10.6640625" style="84" customWidth="1"/>
    <col min="6" max="8" width="10.6640625" style="4" customWidth="1"/>
    <col min="9" max="12" width="10.6640625" customWidth="1"/>
    <col min="13" max="13" width="18.77734375" bestFit="1" customWidth="1"/>
    <col min="14" max="14" width="8.6640625" bestFit="1" customWidth="1"/>
    <col min="15" max="16" width="8.33203125" bestFit="1" customWidth="1"/>
    <col min="17" max="17" width="8.44140625" bestFit="1" customWidth="1"/>
    <col min="18" max="18" width="9.6640625" bestFit="1" customWidth="1"/>
    <col min="19" max="19" width="10.6640625" bestFit="1" customWidth="1"/>
    <col min="20" max="20" width="10.77734375" bestFit="1" customWidth="1"/>
    <col min="21" max="21" width="11.77734375" bestFit="1" customWidth="1"/>
    <col min="22" max="22" width="10.77734375" customWidth="1"/>
    <col min="23" max="23" width="17.33203125" customWidth="1"/>
    <col min="25" max="25" width="10.44140625" customWidth="1"/>
    <col min="26" max="34" width="11.6640625" style="9" customWidth="1"/>
    <col min="35" max="35" width="17.109375" style="9" customWidth="1"/>
    <col min="36" max="36" width="8.77734375" style="9"/>
  </cols>
  <sheetData>
    <row r="1" spans="1:15" ht="19.95" customHeight="1" thickBot="1">
      <c r="A1" s="247"/>
      <c r="B1" s="246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15" ht="19.95" customHeight="1" thickBot="1">
      <c r="A2" s="507" t="s">
        <v>154</v>
      </c>
      <c r="B2" s="508"/>
      <c r="C2" s="509"/>
      <c r="D2" s="94" t="s">
        <v>189</v>
      </c>
      <c r="E2" s="94" t="s">
        <v>190</v>
      </c>
      <c r="F2" s="94" t="s">
        <v>191</v>
      </c>
      <c r="G2" s="94" t="s">
        <v>192</v>
      </c>
      <c r="H2" s="94" t="s">
        <v>193</v>
      </c>
      <c r="I2" s="94" t="s">
        <v>194</v>
      </c>
      <c r="J2" s="94" t="s">
        <v>195</v>
      </c>
      <c r="K2" s="94" t="s">
        <v>196</v>
      </c>
      <c r="L2" s="94" t="s">
        <v>197</v>
      </c>
      <c r="M2" s="95" t="s">
        <v>155</v>
      </c>
      <c r="O2" s="328" t="s">
        <v>156</v>
      </c>
    </row>
    <row r="3" spans="1:15" ht="19.95" customHeight="1">
      <c r="A3" s="510" t="s">
        <v>85</v>
      </c>
      <c r="B3" s="511"/>
      <c r="C3" s="512"/>
      <c r="D3" s="96">
        <v>15</v>
      </c>
      <c r="E3" s="97">
        <v>14.5</v>
      </c>
      <c r="F3" s="97">
        <v>14</v>
      </c>
      <c r="G3" s="97">
        <v>13.5</v>
      </c>
      <c r="H3" s="97">
        <v>13</v>
      </c>
      <c r="I3" s="97">
        <v>12.5</v>
      </c>
      <c r="J3" s="97">
        <v>12</v>
      </c>
      <c r="K3" s="97">
        <v>11.6</v>
      </c>
      <c r="L3" s="98">
        <v>11.2</v>
      </c>
      <c r="M3" s="248">
        <v>10.199999999999999</v>
      </c>
      <c r="O3" s="328" t="s">
        <v>198</v>
      </c>
    </row>
    <row r="4" spans="1:15" ht="19.95" customHeight="1">
      <c r="A4" s="519" t="s">
        <v>95</v>
      </c>
      <c r="B4" s="439"/>
      <c r="C4" s="520"/>
      <c r="D4" s="99">
        <v>1.736111111111111E-3</v>
      </c>
      <c r="E4" s="100">
        <v>1.6203703703703703E-3</v>
      </c>
      <c r="F4" s="100">
        <v>1.5046296296296294E-3</v>
      </c>
      <c r="G4" s="100">
        <v>1.4467592592592594E-3</v>
      </c>
      <c r="H4" s="100">
        <v>1.3888888888888889E-3</v>
      </c>
      <c r="I4" s="100">
        <v>1.3310185185185185E-3</v>
      </c>
      <c r="J4" s="100">
        <v>1.2962962962962963E-3</v>
      </c>
      <c r="K4" s="100">
        <v>1.261574074074074E-3</v>
      </c>
      <c r="L4" s="101">
        <v>1.2268518518518518E-3</v>
      </c>
      <c r="M4" s="102">
        <v>1.1712962962962964E-3</v>
      </c>
    </row>
    <row r="5" spans="1:15" ht="19.95" customHeight="1">
      <c r="A5" s="519" t="s">
        <v>157</v>
      </c>
      <c r="B5" s="439"/>
      <c r="C5" s="520"/>
      <c r="D5" s="106"/>
      <c r="E5" s="107"/>
      <c r="F5" s="107"/>
      <c r="G5" s="107"/>
      <c r="H5" s="107"/>
      <c r="I5" s="107"/>
      <c r="J5" s="107"/>
      <c r="K5" s="107"/>
      <c r="L5" s="108"/>
      <c r="M5" s="249"/>
    </row>
    <row r="6" spans="1:15" ht="19.95" customHeight="1">
      <c r="A6" s="519" t="s">
        <v>104</v>
      </c>
      <c r="B6" s="439"/>
      <c r="C6" s="520"/>
      <c r="D6" s="329">
        <v>14</v>
      </c>
      <c r="E6" s="330">
        <v>16</v>
      </c>
      <c r="F6" s="330">
        <v>18</v>
      </c>
      <c r="G6" s="330">
        <v>20</v>
      </c>
      <c r="H6" s="330">
        <v>22</v>
      </c>
      <c r="I6" s="330">
        <v>24</v>
      </c>
      <c r="J6" s="330">
        <v>26</v>
      </c>
      <c r="K6" s="330">
        <v>28</v>
      </c>
      <c r="L6" s="331">
        <v>30</v>
      </c>
      <c r="M6" s="332">
        <v>53.92</v>
      </c>
    </row>
    <row r="7" spans="1:15" ht="19.95" customHeight="1" thickBot="1">
      <c r="A7" s="516" t="s">
        <v>110</v>
      </c>
      <c r="B7" s="517"/>
      <c r="C7" s="518"/>
      <c r="D7" s="103">
        <v>2</v>
      </c>
      <c r="E7" s="104">
        <v>2.25</v>
      </c>
      <c r="F7" s="104">
        <v>2.5</v>
      </c>
      <c r="G7" s="104">
        <v>2.75</v>
      </c>
      <c r="H7" s="104">
        <v>3</v>
      </c>
      <c r="I7" s="104">
        <v>3.25</v>
      </c>
      <c r="J7" s="104">
        <v>3.5</v>
      </c>
      <c r="K7" s="104">
        <v>3.75</v>
      </c>
      <c r="L7" s="105">
        <v>4</v>
      </c>
      <c r="M7" s="250">
        <v>4.5</v>
      </c>
    </row>
    <row r="8" spans="1:15" ht="19.95" customHeight="1" thickBo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5" ht="19.95" customHeight="1" thickBot="1">
      <c r="A9" s="521" t="s">
        <v>158</v>
      </c>
      <c r="B9" s="522"/>
      <c r="C9" s="523"/>
      <c r="D9" s="109" t="s">
        <v>189</v>
      </c>
      <c r="E9" s="109" t="s">
        <v>190</v>
      </c>
      <c r="F9" s="109" t="s">
        <v>191</v>
      </c>
      <c r="G9" s="109" t="s">
        <v>192</v>
      </c>
      <c r="H9" s="109" t="s">
        <v>193</v>
      </c>
      <c r="I9" s="109" t="s">
        <v>194</v>
      </c>
      <c r="J9" s="109" t="s">
        <v>195</v>
      </c>
      <c r="K9" s="109" t="s">
        <v>196</v>
      </c>
      <c r="L9" s="324" t="s">
        <v>197</v>
      </c>
      <c r="M9" s="110" t="s">
        <v>155</v>
      </c>
    </row>
    <row r="10" spans="1:15" ht="19.95" customHeight="1">
      <c r="A10" s="510" t="s">
        <v>85</v>
      </c>
      <c r="B10" s="511"/>
      <c r="C10" s="512"/>
      <c r="D10" s="96">
        <v>16</v>
      </c>
      <c r="E10" s="97">
        <v>15</v>
      </c>
      <c r="F10" s="97">
        <v>14.5</v>
      </c>
      <c r="G10" s="97">
        <v>14</v>
      </c>
      <c r="H10" s="97">
        <v>13.5</v>
      </c>
      <c r="I10" s="97">
        <v>13</v>
      </c>
      <c r="J10" s="97">
        <v>12.5</v>
      </c>
      <c r="K10" s="97">
        <v>12.1</v>
      </c>
      <c r="L10" s="98">
        <v>11.7</v>
      </c>
      <c r="M10" s="248">
        <v>10.4</v>
      </c>
    </row>
    <row r="11" spans="1:15" ht="19.95" customHeight="1">
      <c r="A11" s="519" t="s">
        <v>95</v>
      </c>
      <c r="B11" s="439"/>
      <c r="C11" s="520"/>
      <c r="D11" s="99">
        <v>1.7939814814814815E-3</v>
      </c>
      <c r="E11" s="100">
        <v>1.6782407407407406E-3</v>
      </c>
      <c r="F11" s="100">
        <v>1.5625000000000001E-3</v>
      </c>
      <c r="G11" s="100">
        <v>1.5046296296296296E-3</v>
      </c>
      <c r="H11" s="100">
        <v>1.4467592592592592E-3</v>
      </c>
      <c r="I11" s="100">
        <v>1.3888888888888889E-3</v>
      </c>
      <c r="J11" s="100">
        <v>1.3310185185185185E-3</v>
      </c>
      <c r="K11" s="100">
        <v>1.2731481481481483E-3</v>
      </c>
      <c r="L11" s="101">
        <v>1.238425925925926E-3</v>
      </c>
      <c r="M11" s="102">
        <v>1.2233796296296296E-3</v>
      </c>
    </row>
    <row r="12" spans="1:15" ht="19.95" customHeight="1">
      <c r="A12" s="519" t="s">
        <v>157</v>
      </c>
      <c r="B12" s="439"/>
      <c r="C12" s="520"/>
      <c r="D12" s="106"/>
      <c r="E12" s="107"/>
      <c r="F12" s="107"/>
      <c r="G12" s="107"/>
      <c r="H12" s="107"/>
      <c r="I12" s="107"/>
      <c r="J12" s="107"/>
      <c r="K12" s="107"/>
      <c r="L12" s="108"/>
      <c r="M12" s="251"/>
    </row>
    <row r="13" spans="1:15" ht="19.95" customHeight="1">
      <c r="A13" s="519" t="s">
        <v>104</v>
      </c>
      <c r="B13" s="439"/>
      <c r="C13" s="520"/>
      <c r="D13" s="329">
        <v>12</v>
      </c>
      <c r="E13" s="330">
        <v>14</v>
      </c>
      <c r="F13" s="330">
        <v>16</v>
      </c>
      <c r="G13" s="330">
        <v>18</v>
      </c>
      <c r="H13" s="330">
        <v>20</v>
      </c>
      <c r="I13" s="330">
        <v>22</v>
      </c>
      <c r="J13" s="330">
        <v>24</v>
      </c>
      <c r="K13" s="330">
        <v>26</v>
      </c>
      <c r="L13" s="331">
        <v>28</v>
      </c>
      <c r="M13" s="332">
        <v>41.34</v>
      </c>
    </row>
    <row r="14" spans="1:15" ht="19.95" customHeight="1" thickBot="1">
      <c r="A14" s="516" t="s">
        <v>110</v>
      </c>
      <c r="B14" s="517"/>
      <c r="C14" s="518"/>
      <c r="D14" s="103">
        <v>1.9</v>
      </c>
      <c r="E14" s="104">
        <v>2</v>
      </c>
      <c r="F14" s="104">
        <v>2.25</v>
      </c>
      <c r="G14" s="104">
        <v>2.5</v>
      </c>
      <c r="H14" s="104">
        <v>2.75</v>
      </c>
      <c r="I14" s="104">
        <v>3</v>
      </c>
      <c r="J14" s="104">
        <v>3.25</v>
      </c>
      <c r="K14" s="104">
        <v>3.5</v>
      </c>
      <c r="L14" s="105">
        <v>3.75</v>
      </c>
      <c r="M14" s="250">
        <v>4.42</v>
      </c>
    </row>
    <row r="15" spans="1:15" ht="19.95" customHeight="1"/>
    <row r="16" spans="1:15" ht="19.95" customHeight="1">
      <c r="D16" s="83"/>
      <c r="E16" s="9"/>
      <c r="F16" s="9"/>
      <c r="G16" s="9"/>
      <c r="I16" s="83"/>
    </row>
    <row r="17" spans="1:36" ht="19.95" customHeight="1">
      <c r="D17" s="149" t="s">
        <v>159</v>
      </c>
      <c r="E17" s="321" t="s">
        <v>119</v>
      </c>
      <c r="F17" s="321" t="s">
        <v>120</v>
      </c>
      <c r="G17" s="321" t="s">
        <v>81</v>
      </c>
      <c r="I17" s="149" t="s">
        <v>160</v>
      </c>
      <c r="J17" s="321" t="s">
        <v>119</v>
      </c>
      <c r="K17" s="321" t="s">
        <v>120</v>
      </c>
      <c r="L17" s="321" t="s">
        <v>81</v>
      </c>
    </row>
    <row r="18" spans="1:36" ht="19.95" customHeight="1">
      <c r="D18" s="149" t="str">
        <f>'Read Me First'!C11</f>
        <v>Camberley &amp; District AC</v>
      </c>
      <c r="E18" s="50">
        <f t="shared" ref="E18:F25" si="0">K214</f>
        <v>5</v>
      </c>
      <c r="F18" s="50">
        <f t="shared" si="0"/>
        <v>4</v>
      </c>
      <c r="G18" s="50">
        <f t="shared" ref="G18:G25" si="1">J214</f>
        <v>853</v>
      </c>
      <c r="I18" s="149" t="str">
        <f>'Read Me First'!C11</f>
        <v>Camberley &amp; District AC</v>
      </c>
      <c r="J18" s="50">
        <f t="shared" ref="J18:K25" si="2">E214</f>
        <v>3</v>
      </c>
      <c r="K18" s="50">
        <f t="shared" si="2"/>
        <v>6</v>
      </c>
      <c r="L18" s="50">
        <f t="shared" ref="L18:L25" si="3">D214</f>
        <v>830</v>
      </c>
    </row>
    <row r="19" spans="1:36" ht="19.95" customHeight="1">
      <c r="D19" s="149" t="str">
        <f>'Read Me First'!C12</f>
        <v>Woking AC</v>
      </c>
      <c r="E19" s="50">
        <f t="shared" si="0"/>
        <v>1</v>
      </c>
      <c r="F19" s="50">
        <f t="shared" si="0"/>
        <v>8</v>
      </c>
      <c r="G19" s="50">
        <f t="shared" si="1"/>
        <v>1036</v>
      </c>
      <c r="I19" s="149" t="str">
        <f>'Read Me First'!C12</f>
        <v>Woking AC</v>
      </c>
      <c r="J19" s="50">
        <f t="shared" si="2"/>
        <v>4</v>
      </c>
      <c r="K19" s="50">
        <f t="shared" si="2"/>
        <v>5</v>
      </c>
      <c r="L19" s="50">
        <f t="shared" si="3"/>
        <v>783</v>
      </c>
    </row>
    <row r="20" spans="1:36" ht="19.95" customHeight="1">
      <c r="D20" s="149" t="str">
        <f>'Read Me First'!C13</f>
        <v>Poole Runners</v>
      </c>
      <c r="E20" s="50">
        <f t="shared" si="0"/>
        <v>4</v>
      </c>
      <c r="F20" s="50">
        <f t="shared" si="0"/>
        <v>5</v>
      </c>
      <c r="G20" s="50">
        <f t="shared" si="1"/>
        <v>855</v>
      </c>
      <c r="I20" s="149" t="str">
        <f>'Read Me First'!C13</f>
        <v>Poole Runners</v>
      </c>
      <c r="J20" s="50">
        <f t="shared" si="2"/>
        <v>5</v>
      </c>
      <c r="K20" s="50">
        <f t="shared" si="2"/>
        <v>4</v>
      </c>
      <c r="L20" s="50">
        <f t="shared" si="3"/>
        <v>738</v>
      </c>
    </row>
    <row r="21" spans="1:36" ht="19.95" customHeight="1">
      <c r="D21" s="149" t="str">
        <f>'Read Me First'!C14</f>
        <v>Fleet &amp; Crookham AC</v>
      </c>
      <c r="E21" s="50">
        <f t="shared" si="0"/>
        <v>3</v>
      </c>
      <c r="F21" s="50">
        <f t="shared" si="0"/>
        <v>6</v>
      </c>
      <c r="G21" s="50">
        <f t="shared" si="1"/>
        <v>892</v>
      </c>
      <c r="I21" s="149" t="str">
        <f>'Read Me First'!C14</f>
        <v>Fleet &amp; Crookham AC</v>
      </c>
      <c r="J21" s="50">
        <f t="shared" si="2"/>
        <v>1</v>
      </c>
      <c r="K21" s="50">
        <f t="shared" si="2"/>
        <v>8</v>
      </c>
      <c r="L21" s="50">
        <f t="shared" si="3"/>
        <v>839</v>
      </c>
    </row>
    <row r="22" spans="1:36" ht="19.95" customHeight="1">
      <c r="D22" s="149" t="str">
        <f>'Read Me First'!C15</f>
        <v>Waverley Athletics Club</v>
      </c>
      <c r="E22" s="50">
        <f t="shared" si="0"/>
        <v>6</v>
      </c>
      <c r="F22" s="50">
        <f t="shared" si="0"/>
        <v>3</v>
      </c>
      <c r="G22" s="50">
        <f t="shared" si="1"/>
        <v>617</v>
      </c>
      <c r="I22" s="149" t="str">
        <f>'Read Me First'!C15</f>
        <v>Waverley Athletics Club</v>
      </c>
      <c r="J22" s="50">
        <f t="shared" si="2"/>
        <v>2</v>
      </c>
      <c r="K22" s="50">
        <f t="shared" si="2"/>
        <v>7</v>
      </c>
      <c r="L22" s="50">
        <f t="shared" si="3"/>
        <v>834</v>
      </c>
    </row>
    <row r="23" spans="1:36" ht="19.95" customHeight="1">
      <c r="D23" s="149" t="str">
        <f>'Read Me First'!C16</f>
        <v>Basingstoke &amp; Mid Hants AC</v>
      </c>
      <c r="E23" s="50">
        <f t="shared" si="0"/>
        <v>2</v>
      </c>
      <c r="F23" s="50">
        <f t="shared" si="0"/>
        <v>7</v>
      </c>
      <c r="G23" s="50">
        <f t="shared" si="1"/>
        <v>946</v>
      </c>
      <c r="I23" s="149" t="str">
        <f>'Read Me First'!C16</f>
        <v>Basingstoke &amp; Mid Hants AC</v>
      </c>
      <c r="J23" s="50">
        <f t="shared" si="2"/>
        <v>6</v>
      </c>
      <c r="K23" s="50">
        <f t="shared" si="2"/>
        <v>3</v>
      </c>
      <c r="L23" s="50">
        <f t="shared" si="3"/>
        <v>654</v>
      </c>
    </row>
    <row r="24" spans="1:36" ht="19.95" customHeight="1">
      <c r="D24" s="149" t="str">
        <f>'Read Me First'!C17</f>
        <v/>
      </c>
      <c r="E24" s="50" t="str">
        <f t="shared" si="0"/>
        <v/>
      </c>
      <c r="F24" s="50">
        <f t="shared" si="0"/>
        <v>0</v>
      </c>
      <c r="G24" s="50">
        <f t="shared" si="1"/>
        <v>0</v>
      </c>
      <c r="I24" s="149" t="str">
        <f>'Read Me First'!C17</f>
        <v/>
      </c>
      <c r="J24" s="50" t="str">
        <f t="shared" si="2"/>
        <v/>
      </c>
      <c r="K24" s="50">
        <f t="shared" si="2"/>
        <v>0</v>
      </c>
      <c r="L24" s="50">
        <f t="shared" si="3"/>
        <v>0</v>
      </c>
    </row>
    <row r="25" spans="1:36" ht="19.95" customHeight="1">
      <c r="D25" s="149" t="str">
        <f>'Read Me First'!C18</f>
        <v/>
      </c>
      <c r="E25" s="50" t="str">
        <f t="shared" si="0"/>
        <v/>
      </c>
      <c r="F25" s="50">
        <f t="shared" si="0"/>
        <v>0</v>
      </c>
      <c r="G25" s="50">
        <f t="shared" si="1"/>
        <v>0</v>
      </c>
      <c r="I25" s="149" t="str">
        <f>'Read Me First'!C18</f>
        <v/>
      </c>
      <c r="J25" s="50" t="str">
        <f t="shared" si="2"/>
        <v/>
      </c>
      <c r="K25" s="50">
        <f t="shared" si="2"/>
        <v>0</v>
      </c>
      <c r="L25" s="50">
        <f t="shared" si="3"/>
        <v>0</v>
      </c>
    </row>
    <row r="26" spans="1:36" ht="19.95" customHeight="1"/>
    <row r="27" spans="1:36" ht="19.95" customHeight="1"/>
    <row r="28" spans="1:36" ht="19.95" customHeight="1">
      <c r="A28" s="38"/>
      <c r="B28" s="147"/>
      <c r="C28" s="147"/>
      <c r="D28" s="147"/>
      <c r="E28" s="147"/>
      <c r="F28" s="38"/>
      <c r="G28" s="38"/>
      <c r="H28" s="38"/>
      <c r="I28" s="7"/>
      <c r="J28" s="7"/>
      <c r="K28" s="7"/>
      <c r="L28" s="39"/>
      <c r="M28" s="7"/>
      <c r="N28" s="7"/>
      <c r="O28" s="7"/>
      <c r="P28" s="7"/>
      <c r="Q28" s="7"/>
      <c r="R28" s="7"/>
      <c r="S28" s="7"/>
      <c r="T28" s="7"/>
      <c r="U28" s="7"/>
      <c r="V28" s="9"/>
      <c r="W28" s="9"/>
      <c r="X28" s="9"/>
      <c r="Y28" s="9"/>
    </row>
    <row r="29" spans="1:36" ht="19.95" customHeight="1">
      <c r="A29" s="415" t="s">
        <v>88</v>
      </c>
      <c r="B29" s="415"/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415"/>
      <c r="S29" s="415"/>
      <c r="T29" s="415"/>
      <c r="U29" s="415"/>
      <c r="V29" s="38"/>
      <c r="Y29" s="9"/>
    </row>
    <row r="30" spans="1:36" ht="19.95" customHeight="1">
      <c r="A30"/>
      <c r="F30"/>
      <c r="G30"/>
      <c r="H30"/>
      <c r="V30" s="38"/>
      <c r="Y30" s="4"/>
    </row>
    <row r="31" spans="1:36" ht="13.95" customHeight="1">
      <c r="A31" s="46"/>
      <c r="B31" s="148" t="s">
        <v>80</v>
      </c>
      <c r="C31" s="148" t="s">
        <v>75</v>
      </c>
      <c r="D31" s="148" t="s">
        <v>161</v>
      </c>
      <c r="E31" s="148" t="s">
        <v>162</v>
      </c>
      <c r="F31" s="515" t="s">
        <v>85</v>
      </c>
      <c r="G31" s="515"/>
      <c r="H31" s="321"/>
      <c r="I31" s="515" t="s">
        <v>95</v>
      </c>
      <c r="J31" s="515"/>
      <c r="K31" s="321"/>
      <c r="L31" s="513" t="s">
        <v>110</v>
      </c>
      <c r="M31" s="514"/>
      <c r="N31" s="323"/>
      <c r="O31" s="513" t="s">
        <v>104</v>
      </c>
      <c r="P31" s="514"/>
      <c r="Q31" s="322" t="s">
        <v>81</v>
      </c>
      <c r="R31" s="322" t="s">
        <v>163</v>
      </c>
      <c r="S31" s="322" t="s">
        <v>164</v>
      </c>
      <c r="T31" s="277"/>
      <c r="U31" s="277"/>
      <c r="V31" s="277"/>
      <c r="W31" s="4"/>
      <c r="X31" s="9"/>
      <c r="Y31" s="9"/>
      <c r="AI31"/>
      <c r="AJ31"/>
    </row>
    <row r="32" spans="1:36" ht="13.95" customHeight="1">
      <c r="A32" s="46"/>
      <c r="B32" s="149"/>
      <c r="C32" s="149"/>
      <c r="D32" s="149"/>
      <c r="E32" s="149"/>
      <c r="F32" s="47" t="s">
        <v>113</v>
      </c>
      <c r="G32" s="321" t="s">
        <v>81</v>
      </c>
      <c r="H32" s="123" t="s">
        <v>82</v>
      </c>
      <c r="I32" s="48" t="s">
        <v>113</v>
      </c>
      <c r="J32" s="321" t="s">
        <v>81</v>
      </c>
      <c r="K32" s="123" t="s">
        <v>82</v>
      </c>
      <c r="L32" s="48" t="s">
        <v>114</v>
      </c>
      <c r="M32" s="321" t="s">
        <v>81</v>
      </c>
      <c r="N32" s="123" t="s">
        <v>82</v>
      </c>
      <c r="O32" s="48" t="s">
        <v>114</v>
      </c>
      <c r="P32" s="321" t="s">
        <v>81</v>
      </c>
      <c r="Q32" s="321"/>
      <c r="R32" s="321"/>
      <c r="S32" s="321"/>
      <c r="T32" s="9"/>
      <c r="U32" s="9"/>
      <c r="V32" s="9"/>
      <c r="W32" s="4"/>
      <c r="X32" s="83" t="s">
        <v>165</v>
      </c>
      <c r="Y32" s="247"/>
      <c r="Z32" s="247"/>
      <c r="AA32" s="247"/>
      <c r="AB32" s="247"/>
      <c r="AC32" s="247"/>
      <c r="AD32" s="247"/>
      <c r="AE32" s="247"/>
      <c r="AF32" s="247"/>
      <c r="AG32" s="247"/>
      <c r="AH32" s="247"/>
      <c r="AI32" s="278"/>
      <c r="AJ32"/>
    </row>
    <row r="33" spans="1:36" ht="13.95" customHeight="1">
      <c r="A33" s="49">
        <f>IF(Declarations!B6=0,"",Declarations!B6)</f>
        <v>1</v>
      </c>
      <c r="B33" s="150" t="str">
        <f>IF(ISNA(VLOOKUP(A33,Declarations!B$6:C$185,2,FALSE)),"",IF(VLOOKUP(A33,Declarations!B$6:C$185,2,FALSE)="","",VLOOKUP(A33,Declarations!B$6:C$185,2,FALSE)))</f>
        <v>EVNI DUNUSINGHE</v>
      </c>
      <c r="C33" s="150" t="str">
        <f>IF(ISNA(VLOOKUP(A33,Declarations!B$6:F$185,5,FALSE)),"",IF(VLOOKUP(A33,Declarations!B$6:F$185,5,FALSE)="","",VLOOKUP(A33,Declarations!B$6:F$185,5,FALSE)))</f>
        <v>Camberley &amp; District AC</v>
      </c>
      <c r="D33" s="150" t="str">
        <f>IF(ISNA(VLOOKUP(A33,Declarations!B$6:F$185,4,FALSE)),"",IF(VLOOKUP(A33,Declarations!B$6:F$185,4,FALSE)="","",VLOOKUP(A33,Declarations!B$6:F$185,4,FALSE)))</f>
        <v>GIRLS</v>
      </c>
      <c r="E33" s="150" t="str">
        <f>IF(ISNA(VLOOKUP(A33,Declarations!B$6:D$185,3,FALSE)),"",IF(VLOOKUP(A33,Declarations!B$6:D$185,3,FALSE)="","",VLOOKUP(A33,Declarations!B$6:D$185,3,FALSE)))</f>
        <v>U12</v>
      </c>
      <c r="F33" s="49">
        <f>IF(B33="","",IF(ISNA(VLOOKUP(A33,'75m'!F$5:G$302,2,FALSE)),"",VLOOKUP(A33,'75m'!F$5:G$302,2,FALSE)))</f>
        <v>11.4</v>
      </c>
      <c r="G33" s="49">
        <f>IF(B33="",0,IF(ISNA(VLOOKUP(A33,'75m'!F$5:J$302,5,FALSE)),0,VLOOKUP(A33,'75m'!F$5:J$302,5,FALSE)))</f>
        <v>56</v>
      </c>
      <c r="H33" s="49" t="str">
        <f>IF(B33="","",IF(ISNA(VLOOKUP(A33,'75m'!F$5:K$302,6,FALSE)),"",VLOOKUP(A33,'75m'!F$5:K$302,6,FALSE)))</f>
        <v>PB9</v>
      </c>
      <c r="I33" s="51">
        <f>IF(B33="",0,IF(ISNA(VLOOKUP(A33,'600m'!F$5:J$302,2,FALSE)),0,VLOOKUP(A33,'600m'!F$5:J$302,2,FALSE)))</f>
        <v>1.5162037037037036E-3</v>
      </c>
      <c r="J33" s="49">
        <f>IF(B33="",0,IF(ISNA(VLOOKUP(A33,'600m'!F$5:J$302,5,FALSE)),0,VLOOKUP(A33,'600m'!F$5:J$302,5,FALSE)))</f>
        <v>59</v>
      </c>
      <c r="K33" s="49" t="str">
        <f>IF(B33="","",IF(ISNA(VLOOKUP(A33,'600m'!F$5:K$302,6,FALSE)),"",VLOOKUP(A33,'600m'!F$5:K$302,6,FALSE)))</f>
        <v>PB3</v>
      </c>
      <c r="L33" s="49">
        <f>IF(B33="","",IF(ISNA(VLOOKUP(A33,LongJump!F$5:G$302,2,FALSE)),"",VLOOKUP(A33,LongJump!F$5:G$302,2,FALSE)))</f>
        <v>3.42</v>
      </c>
      <c r="M33" s="49">
        <f>IF(B33="",0,IF(ISNA(VLOOKUP(A33,LongJump!F$5:J$302,5,FALSE)),0,VLOOKUP(A33,LongJump!F$5:J$302,5,FALSE)))</f>
        <v>50</v>
      </c>
      <c r="N33" s="49" t="str">
        <f>IF(B33="",0,IF(ISNA(VLOOKUP(A33,LongJump!F$5:K$302,6,FALSE)),0,VLOOKUP(A33,LongJump!F$5:K$302,6,FALSE)))</f>
        <v>PB7</v>
      </c>
      <c r="O33" s="49">
        <f>IF(B33="","",IF(ISNA(VLOOKUP(A33,Vortex!F$5:J$302,2,FALSE)),"",VLOOKUP(A33,Vortex!F$5:J$302,2,FALSE)))</f>
        <v>28.79</v>
      </c>
      <c r="P33" s="49">
        <f>IF(B33="",0,IF(ISNA(VLOOKUP(A33,Vortex!F$5:J$302,5,FALSE)),0,VLOOKUP(A33,Vortex!F$5:J$302,5,FALSE)))</f>
        <v>57</v>
      </c>
      <c r="Q33" s="49">
        <f>G33+J33+M33+P33</f>
        <v>222</v>
      </c>
      <c r="R33" s="49">
        <f>IF(OR($Q33=0,$E33&lt;&gt;"U12"),"",COUNTIFS($C$33:$C$212, $C33, $D$33:$D$212, $D33, $E$33:$E$212, $E33, $Q$33:$Q$212,"&gt;"&amp;$Q33)+1)</f>
        <v>1</v>
      </c>
      <c r="S33" s="49">
        <f>IF(OR($Q33=0,$E33&lt;&gt;"U12"),"",COUNTIFS($D$33:$D$212, $D33,$E$33:$E$212,$E33,$Q$33:$Q$212,"&gt;"&amp;$Q33)+1)</f>
        <v>4</v>
      </c>
      <c r="T33" s="4"/>
      <c r="U33" s="4"/>
      <c r="V33" s="4"/>
      <c r="W33" s="4"/>
      <c r="X33" s="247" t="str" cm="1">
        <f t="array" ref="X33:X36">_xlfn.VSTACK(IFERROR(   _xlfn.CHOOSECOLS(_xlfn._xlws.SORT(_xlfn._xlws.FILTER(QKResults!$B$6:$T$385,(QKResults!$T$6:$T$385&lt;&gt;0)*(QKResults!$R$6:$R$385&gt;0)*(QKResults!$E$6:$E$385=QKResults!$C$431)*(QKResults!$F$6:$F$385=QKResults!$B$431)),17,-1), 1,2,3,4,5,7,10,13,16,17,21),"..."),IFERROR(   _xlfn.CHOOSECOLS(_xlfn._xlws.SORT(_xlfn._xlws.FILTER(QKResults!$B$6:$T$385,(QKResults!$T$6:$T$385&lt;&gt;0)*(QKResults!$R$6:$R$385&gt;0)*(QKResults!$E$6:$E$385=QKResults!$C$438)*(QKResults!$F$6:$F$385=QKResults!$B$438)),17,-1), 1,2,3,4,5,7,10,13,16,17,21),"..."), IFERROR(   _xlfn.CHOOSECOLS(_xlfn._xlws.SORT(_xlfn._xlws.FILTER(QKResults!$B$6:$T$385,(QKResults!$T$6:$T$385&lt;&gt;0)*(QKResults!$R$6:$R$385&gt;0)*(QKResults!$E$6:$E$385=QKResults!#REF!)*(QKResults!$F$6:$F$385=QKResults!#REF!)),17,-1), 1,2,3,4,5,7,10,13,16,17,20),"..."), IFERROR(   _xlfn.CHOOSECOLS(_xlfn._xlws.SORT(_xlfn._xlws.FILTER(QKResults!$B$6:$T$385,(QKResults!$T$6:$T$385&lt;&gt;0)*(QKResults!$R$6:$R$385&gt;0)*(QKResults!$E$6:$E$385=QKResults!#REF!)*(QKResults!$F$6:$F$385=QKResults!#REF!)),17,-1), 1,2,3,4,5,7,10,13,16,17,20),"..."))</f>
        <v>...</v>
      </c>
      <c r="Y33" s="247"/>
      <c r="Z33" s="247"/>
      <c r="AA33" s="247"/>
      <c r="AB33" s="247"/>
      <c r="AC33" s="247"/>
      <c r="AD33" s="247"/>
      <c r="AE33" s="247"/>
      <c r="AF33" s="247"/>
      <c r="AG33" s="247"/>
      <c r="AH33" s="247"/>
      <c r="AI33" s="278"/>
      <c r="AJ33"/>
    </row>
    <row r="34" spans="1:36" ht="13.95" customHeight="1">
      <c r="A34" s="49">
        <f>IF(Declarations!B7=0,"",Declarations!B7)</f>
        <v>2</v>
      </c>
      <c r="B34" s="150" t="str">
        <f>IF(ISNA(VLOOKUP(A34,Declarations!B$6:C$185,2,FALSE)),"",IF(VLOOKUP(A34,Declarations!B$6:C$185,2,FALSE)="","",VLOOKUP(A34,Declarations!B$6:C$185,2,FALSE)))</f>
        <v>POPPY READ</v>
      </c>
      <c r="C34" s="150" t="str">
        <f>IF(ISNA(VLOOKUP(A34,Declarations!B$6:F$185,5,FALSE)),"",IF(VLOOKUP(A34,Declarations!B$6:F$185,5,FALSE)="","",VLOOKUP(A34,Declarations!B$6:F$185,5,FALSE)))</f>
        <v>Camberley &amp; District AC</v>
      </c>
      <c r="D34" s="150" t="str">
        <f>IF(ISNA(VLOOKUP(A34,Declarations!B$6:F$185,4,FALSE)),"",IF(VLOOKUP(A34,Declarations!B$6:F$185,4,FALSE)="","",VLOOKUP(A34,Declarations!B$6:F$185,4,FALSE)))</f>
        <v>GIRLS</v>
      </c>
      <c r="E34" s="150" t="str">
        <f>IF(ISNA(VLOOKUP(A34,Declarations!B$6:D$185,3,FALSE)),"",IF(VLOOKUP(A34,Declarations!B$6:D$185,3,FALSE)="","",VLOOKUP(A34,Declarations!B$6:D$185,3,FALSE)))</f>
        <v>U12</v>
      </c>
      <c r="F34" s="49">
        <f>IF(B34="","",IF(ISNA(VLOOKUP(A34,'75m'!F$5:G$302,2,FALSE)),"",VLOOKUP(A34,'75m'!F$5:G$302,2,FALSE)))</f>
        <v>11.8</v>
      </c>
      <c r="G34" s="49">
        <f>IF(B34="",0,IF(ISNA(VLOOKUP(A34,'75m'!F$5:J$302,5,FALSE)),0,VLOOKUP(A34,'75m'!F$5:J$302,5,FALSE)))</f>
        <v>52</v>
      </c>
      <c r="H34" s="49" t="str">
        <f>IF(B34="","",IF(ISNA(VLOOKUP(A34,'75m'!F$5:K$302,6,FALSE)),"",VLOOKUP(A34,'75m'!F$5:K$302,6,FALSE)))</f>
        <v>PB8</v>
      </c>
      <c r="I34" s="51">
        <f>IF(B34="",0,IF(ISNA(VLOOKUP(A34,'600m'!F$5:J$302,2,FALSE)),0,VLOOKUP(A34,'600m'!F$5:J$302,2,FALSE)))</f>
        <v>1.6909722222222222E-3</v>
      </c>
      <c r="J34" s="49">
        <f>IF(B34="",0,IF(ISNA(VLOOKUP(A34,'600m'!F$5:J$302,5,FALSE)),0,VLOOKUP(A34,'600m'!F$5:J$302,5,FALSE)))</f>
        <v>43</v>
      </c>
      <c r="K34" s="49" t="str">
        <f>IF(B34="","",IF(ISNA(VLOOKUP(A34,'600m'!F$5:K$302,6,FALSE)),"",VLOOKUP(A34,'600m'!F$5:K$302,6,FALSE)))</f>
        <v>PB1</v>
      </c>
      <c r="L34" s="49">
        <f>IF(B34="","",IF(ISNA(VLOOKUP(A34,LongJump!F$5:G$302,2,FALSE)),"",VLOOKUP(A34,LongJump!F$5:G$302,2,FALSE)))</f>
        <v>3.35</v>
      </c>
      <c r="M34" s="49">
        <f>IF(B34="",0,IF(ISNA(VLOOKUP(A34,LongJump!F$5:J$302,5,FALSE)),0,VLOOKUP(A34,LongJump!F$5:J$302,5,FALSE)))</f>
        <v>48</v>
      </c>
      <c r="N34" s="49" t="str">
        <f>IF(B34="",0,IF(ISNA(VLOOKUP(A34,LongJump!F$5:K$302,6,FALSE)),0,VLOOKUP(A34,LongJump!F$5:K$302,6,FALSE)))</f>
        <v>PB7</v>
      </c>
      <c r="O34" s="49">
        <f>IF(B34="","",IF(ISNA(VLOOKUP(A34,Vortex!F$5:J$302,2,FALSE)),"",VLOOKUP(A34,Vortex!F$5:J$302,2,FALSE)))</f>
        <v>15.8</v>
      </c>
      <c r="P34" s="49">
        <f>IF(B34="",0,IF(ISNA(VLOOKUP(A34,Vortex!F$5:J$302,5,FALSE)),0,VLOOKUP(A34,Vortex!F$5:J$302,5,FALSE)))</f>
        <v>31</v>
      </c>
      <c r="Q34" s="49">
        <f t="shared" ref="Q34:Q97" si="4">G34+J34+M34+P34</f>
        <v>174</v>
      </c>
      <c r="R34" s="49">
        <f t="shared" ref="R34:R97" si="5">IF(OR($Q34=0,$E34&lt;&gt;"U12"),"",COUNTIFS($C$33:$C$212, $C34, $D$33:$D$212, $D34, $E$33:$E$212, $E34, $Q$33:$Q$212,"&gt;"&amp;$Q34)+1)</f>
        <v>6</v>
      </c>
      <c r="S34" s="49">
        <f t="shared" ref="S34:S97" si="6">IF(OR($Q34=0,$E34&lt;&gt;"U12"),"",COUNTIFS($D$33:$D$212, $D34,$E$33:$E$212,$E34,$Q$33:$Q$212,"&gt;"&amp;$Q34)+1)</f>
        <v>23</v>
      </c>
      <c r="T34" s="4"/>
      <c r="U34" s="4"/>
      <c r="V34" s="4"/>
      <c r="X34" s="247" t="str">
        <v>...</v>
      </c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79"/>
      <c r="AJ34"/>
    </row>
    <row r="35" spans="1:36" ht="13.95" customHeight="1">
      <c r="A35" s="49">
        <f>IF(Declarations!B8=0,"",Declarations!B8)</f>
        <v>3</v>
      </c>
      <c r="B35" s="150" t="str">
        <f>IF(ISNA(VLOOKUP(A35,Declarations!B$6:C$185,2,FALSE)),"",IF(VLOOKUP(A35,Declarations!B$6:C$185,2,FALSE)="","",VLOOKUP(A35,Declarations!B$6:C$185,2,FALSE)))</f>
        <v>CHARLOTTE SHEPPARD</v>
      </c>
      <c r="C35" s="150" t="str">
        <f>IF(ISNA(VLOOKUP(A35,Declarations!B$6:F$185,5,FALSE)),"",IF(VLOOKUP(A35,Declarations!B$6:F$185,5,FALSE)="","",VLOOKUP(A35,Declarations!B$6:F$185,5,FALSE)))</f>
        <v>Camberley &amp; District AC</v>
      </c>
      <c r="D35" s="150" t="str">
        <f>IF(ISNA(VLOOKUP(A35,Declarations!B$6:F$185,4,FALSE)),"",IF(VLOOKUP(A35,Declarations!B$6:F$185,4,FALSE)="","",VLOOKUP(A35,Declarations!B$6:F$185,4,FALSE)))</f>
        <v>GIRLS</v>
      </c>
      <c r="E35" s="150" t="str">
        <f>IF(ISNA(VLOOKUP(A35,Declarations!B$6:D$185,3,FALSE)),"",IF(VLOOKUP(A35,Declarations!B$6:D$185,3,FALSE)="","",VLOOKUP(A35,Declarations!B$6:D$185,3,FALSE)))</f>
        <v>U12</v>
      </c>
      <c r="F35" s="49">
        <f>IF(B35="","",IF(ISNA(VLOOKUP(A35,'75m'!F$5:G$302,2,FALSE)),"",VLOOKUP(A35,'75m'!F$5:G$302,2,FALSE)))</f>
        <v>11</v>
      </c>
      <c r="G35" s="49">
        <f>IF(B35="",0,IF(ISNA(VLOOKUP(A35,'75m'!F$5:J$302,5,FALSE)),0,VLOOKUP(A35,'75m'!F$5:J$302,5,FALSE)))</f>
        <v>60</v>
      </c>
      <c r="H35" s="49" t="str">
        <f>IF(B35="","",IF(ISNA(VLOOKUP(A35,'75m'!F$5:K$302,6,FALSE)),"",VLOOKUP(A35,'75m'!F$5:K$302,6,FALSE)))</f>
        <v>PB9</v>
      </c>
      <c r="I35" s="51">
        <f>IF(B35="",0,IF(ISNA(VLOOKUP(A35,'600m'!F$5:J$302,2,FALSE)),0,VLOOKUP(A35,'600m'!F$5:J$302,2,FALSE)))</f>
        <v>1.431712962962963E-3</v>
      </c>
      <c r="J35" s="49">
        <f>IF(B35="",0,IF(ISNA(VLOOKUP(A35,'600m'!F$5:J$302,5,FALSE)),0,VLOOKUP(A35,'600m'!F$5:J$302,5,FALSE)))</f>
        <v>66</v>
      </c>
      <c r="K35" s="49" t="str">
        <f>IF(B35="","",IF(ISNA(VLOOKUP(A35,'600m'!F$5:K$302,6,FALSE)),"",VLOOKUP(A35,'600m'!F$5:K$302,6,FALSE)))</f>
        <v>PB5</v>
      </c>
      <c r="L35" s="49">
        <f>IF(B35="","",IF(ISNA(VLOOKUP(A35,LongJump!F$5:G$302,2,FALSE)),"",VLOOKUP(A35,LongJump!F$5:G$302,2,FALSE)))</f>
        <v>3.37</v>
      </c>
      <c r="M35" s="49">
        <f>IF(B35="",0,IF(ISNA(VLOOKUP(A35,LongJump!F$5:J$302,5,FALSE)),0,VLOOKUP(A35,LongJump!F$5:J$302,5,FALSE)))</f>
        <v>49</v>
      </c>
      <c r="N35" s="49" t="str">
        <f>IF(B35="",0,IF(ISNA(VLOOKUP(A35,LongJump!F$5:K$302,6,FALSE)),0,VLOOKUP(A35,LongJump!F$5:K$302,6,FALSE)))</f>
        <v>PB7</v>
      </c>
      <c r="O35" s="49">
        <f>IF(B35="","",IF(ISNA(VLOOKUP(A35,Vortex!F$5:J$302,2,FALSE)),"",VLOOKUP(A35,Vortex!F$5:J$302,2,FALSE)))</f>
        <v>14.98</v>
      </c>
      <c r="P35" s="49">
        <f>IF(B35="",0,IF(ISNA(VLOOKUP(A35,Vortex!F$5:J$302,5,FALSE)),0,VLOOKUP(A35,Vortex!F$5:J$302,5,FALSE)))</f>
        <v>29</v>
      </c>
      <c r="Q35" s="49">
        <f t="shared" si="4"/>
        <v>204</v>
      </c>
      <c r="R35" s="49">
        <f t="shared" si="5"/>
        <v>3</v>
      </c>
      <c r="S35" s="49">
        <f t="shared" si="6"/>
        <v>11</v>
      </c>
      <c r="T35" s="4"/>
      <c r="U35" s="4"/>
      <c r="V35" s="4"/>
      <c r="X35" s="247" t="str">
        <v>...</v>
      </c>
      <c r="Y35" s="247"/>
      <c r="Z35" s="247"/>
      <c r="AA35" s="247"/>
      <c r="AB35" s="247"/>
      <c r="AC35" s="247"/>
      <c r="AD35" s="247"/>
      <c r="AE35" s="247"/>
      <c r="AF35" s="247"/>
      <c r="AG35" s="247"/>
      <c r="AH35" s="247"/>
      <c r="AI35" s="279"/>
      <c r="AJ35"/>
    </row>
    <row r="36" spans="1:36" ht="13.95" customHeight="1">
      <c r="A36" s="49">
        <f>IF(Declarations!B9=0,"",Declarations!B9)</f>
        <v>4</v>
      </c>
      <c r="B36" s="150" t="str">
        <f>IF(ISNA(VLOOKUP(A36,Declarations!B$6:C$185,2,FALSE)),"",IF(VLOOKUP(A36,Declarations!B$6:C$185,2,FALSE)="","",VLOOKUP(A36,Declarations!B$6:C$185,2,FALSE)))</f>
        <v>AVA WANLESS</v>
      </c>
      <c r="C36" s="150" t="str">
        <f>IF(ISNA(VLOOKUP(A36,Declarations!B$6:F$185,5,FALSE)),"",IF(VLOOKUP(A36,Declarations!B$6:F$185,5,FALSE)="","",VLOOKUP(A36,Declarations!B$6:F$185,5,FALSE)))</f>
        <v>Camberley &amp; District AC</v>
      </c>
      <c r="D36" s="150" t="str">
        <f>IF(ISNA(VLOOKUP(A36,Declarations!B$6:F$185,4,FALSE)),"",IF(VLOOKUP(A36,Declarations!B$6:F$185,4,FALSE)="","",VLOOKUP(A36,Declarations!B$6:F$185,4,FALSE)))</f>
        <v>GIRLS</v>
      </c>
      <c r="E36" s="150" t="str">
        <f>IF(ISNA(VLOOKUP(A36,Declarations!B$6:D$185,3,FALSE)),"",IF(VLOOKUP(A36,Declarations!B$6:D$185,3,FALSE)="","",VLOOKUP(A36,Declarations!B$6:D$185,3,FALSE)))</f>
        <v>U12</v>
      </c>
      <c r="F36" s="49">
        <f>IF(B36="","",IF(ISNA(VLOOKUP(A36,'75m'!F$5:G$302,2,FALSE)),"",VLOOKUP(A36,'75m'!F$5:G$302,2,FALSE)))</f>
        <v>12.3</v>
      </c>
      <c r="G36" s="49">
        <f>IF(B36="",0,IF(ISNA(VLOOKUP(A36,'75m'!F$5:J$302,5,FALSE)),0,VLOOKUP(A36,'75m'!F$5:J$302,5,FALSE)))</f>
        <v>47</v>
      </c>
      <c r="H36" s="49" t="str">
        <f>IF(B36="","",IF(ISNA(VLOOKUP(A36,'75m'!F$5:K$302,6,FALSE)),"",VLOOKUP(A36,'75m'!F$5:K$302,6,FALSE)))</f>
        <v>PB7</v>
      </c>
      <c r="I36" s="51">
        <f>IF(B36="",0,IF(ISNA(VLOOKUP(A36,'600m'!F$5:J$302,2,FALSE)),0,VLOOKUP(A36,'600m'!F$5:J$302,2,FALSE)))</f>
        <v>1.7719907407407406E-3</v>
      </c>
      <c r="J36" s="49">
        <f>IF(B36="",0,IF(ISNA(VLOOKUP(A36,'600m'!F$5:J$302,5,FALSE)),0,VLOOKUP(A36,'600m'!F$5:J$302,5,FALSE)))</f>
        <v>36</v>
      </c>
      <c r="K36" s="49" t="str">
        <f>IF(B36="","",IF(ISNA(VLOOKUP(A36,'600m'!F$5:K$302,6,FALSE)),"",VLOOKUP(A36,'600m'!F$5:K$302,6,FALSE)))</f>
        <v>PB1</v>
      </c>
      <c r="L36" s="49">
        <f>IF(B36="","",IF(ISNA(VLOOKUP(A36,LongJump!F$5:G$302,2,FALSE)),"",VLOOKUP(A36,LongJump!F$5:G$302,2,FALSE)))</f>
        <v>2.99</v>
      </c>
      <c r="M36" s="49">
        <f>IF(B36="",0,IF(ISNA(VLOOKUP(A36,LongJump!F$5:J$302,5,FALSE)),0,VLOOKUP(A36,LongJump!F$5:J$302,5,FALSE)))</f>
        <v>36</v>
      </c>
      <c r="N36" s="49" t="str">
        <f>IF(B36="",0,IF(ISNA(VLOOKUP(A36,LongJump!F$5:K$302,6,FALSE)),0,VLOOKUP(A36,LongJump!F$5:K$302,6,FALSE)))</f>
        <v>PB5</v>
      </c>
      <c r="O36" s="49">
        <f>IF(B36="","",IF(ISNA(VLOOKUP(A36,Vortex!F$5:J$302,2,FALSE)),"",VLOOKUP(A36,Vortex!F$5:J$302,2,FALSE)))</f>
        <v>14.76</v>
      </c>
      <c r="P36" s="49">
        <f>IF(B36="",0,IF(ISNA(VLOOKUP(A36,Vortex!F$5:J$302,5,FALSE)),0,VLOOKUP(A36,Vortex!F$5:J$302,5,FALSE)))</f>
        <v>29</v>
      </c>
      <c r="Q36" s="49">
        <f t="shared" si="4"/>
        <v>148</v>
      </c>
      <c r="R36" s="49">
        <f t="shared" si="5"/>
        <v>7</v>
      </c>
      <c r="S36" s="49">
        <f t="shared" si="6"/>
        <v>36</v>
      </c>
      <c r="T36" s="4"/>
      <c r="U36" s="4"/>
      <c r="V36" s="4"/>
      <c r="X36" s="247" t="str">
        <v>...</v>
      </c>
      <c r="Y36" s="247"/>
      <c r="Z36" s="247"/>
      <c r="AA36" s="247"/>
      <c r="AB36" s="247"/>
      <c r="AC36" s="247"/>
      <c r="AD36" s="247"/>
      <c r="AE36" s="247"/>
      <c r="AF36" s="247"/>
      <c r="AG36" s="247"/>
      <c r="AH36" s="247"/>
      <c r="AI36" s="279"/>
      <c r="AJ36"/>
    </row>
    <row r="37" spans="1:36" ht="13.95" customHeight="1">
      <c r="A37" s="49">
        <f>IF(Declarations!B10=0,"",Declarations!B10)</f>
        <v>5</v>
      </c>
      <c r="B37" s="150" t="str">
        <f>IF(ISNA(VLOOKUP(A37,Declarations!B$6:C$185,2,FALSE)),"",IF(VLOOKUP(A37,Declarations!B$6:C$185,2,FALSE)="","",VLOOKUP(A37,Declarations!B$6:C$185,2,FALSE)))</f>
        <v>EMILIA-MAE O'DWYER</v>
      </c>
      <c r="C37" s="150" t="str">
        <f>IF(ISNA(VLOOKUP(A37,Declarations!B$6:F$185,5,FALSE)),"",IF(VLOOKUP(A37,Declarations!B$6:F$185,5,FALSE)="","",VLOOKUP(A37,Declarations!B$6:F$185,5,FALSE)))</f>
        <v>Camberley &amp; District AC</v>
      </c>
      <c r="D37" s="150" t="str">
        <f>IF(ISNA(VLOOKUP(A37,Declarations!B$6:F$185,4,FALSE)),"",IF(VLOOKUP(A37,Declarations!B$6:F$185,4,FALSE)="","",VLOOKUP(A37,Declarations!B$6:F$185,4,FALSE)))</f>
        <v>GIRLS</v>
      </c>
      <c r="E37" s="150" t="str">
        <f>IF(ISNA(VLOOKUP(A37,Declarations!B$6:D$185,3,FALSE)),"",IF(VLOOKUP(A37,Declarations!B$6:D$185,3,FALSE)="","",VLOOKUP(A37,Declarations!B$6:D$185,3,FALSE)))</f>
        <v>U12</v>
      </c>
      <c r="F37" s="49">
        <f>IF(B37="","",IF(ISNA(VLOOKUP(A37,'75m'!F$5:G$302,2,FALSE)),"",VLOOKUP(A37,'75m'!F$5:G$302,2,FALSE)))</f>
        <v>11.8</v>
      </c>
      <c r="G37" s="49">
        <f>IF(B37="",0,IF(ISNA(VLOOKUP(A37,'75m'!F$5:J$302,5,FALSE)),0,VLOOKUP(A37,'75m'!F$5:J$302,5,FALSE)))</f>
        <v>52</v>
      </c>
      <c r="H37" s="49" t="str">
        <f>IF(B37="","",IF(ISNA(VLOOKUP(A37,'75m'!F$5:K$302,6,FALSE)),"",VLOOKUP(A37,'75m'!F$5:K$302,6,FALSE)))</f>
        <v>PB8</v>
      </c>
      <c r="I37" s="51">
        <f>IF(B37="",0,IF(ISNA(VLOOKUP(A37,'600m'!F$5:J$302,2,FALSE)),0,VLOOKUP(A37,'600m'!F$5:J$302,2,FALSE)))</f>
        <v>1.5520833333333333E-3</v>
      </c>
      <c r="J37" s="49">
        <f>IF(B37="",0,IF(ISNA(VLOOKUP(A37,'600m'!F$5:J$302,5,FALSE)),0,VLOOKUP(A37,'600m'!F$5:J$302,5,FALSE)))</f>
        <v>55</v>
      </c>
      <c r="K37" s="49" t="str">
        <f>IF(B37="","",IF(ISNA(VLOOKUP(A37,'600m'!F$5:K$302,6,FALSE)),"",VLOOKUP(A37,'600m'!F$5:K$302,6,FALSE)))</f>
        <v>PB3</v>
      </c>
      <c r="L37" s="49">
        <f>IF(B37="","",IF(ISNA(VLOOKUP(A37,LongJump!F$5:G$302,2,FALSE)),"",VLOOKUP(A37,LongJump!F$5:G$302,2,FALSE)))</f>
        <v>3.49</v>
      </c>
      <c r="M37" s="49">
        <f>IF(B37="",0,IF(ISNA(VLOOKUP(A37,LongJump!F$5:J$302,5,FALSE)),0,VLOOKUP(A37,LongJump!F$5:J$302,5,FALSE)))</f>
        <v>53</v>
      </c>
      <c r="N37" s="49" t="str">
        <f>IF(B37="",0,IF(ISNA(VLOOKUP(A37,LongJump!F$5:K$302,6,FALSE)),0,VLOOKUP(A37,LongJump!F$5:K$302,6,FALSE)))</f>
        <v>PB7</v>
      </c>
      <c r="O37" s="49">
        <f>IF(B37="","",IF(ISNA(VLOOKUP(A37,Vortex!F$5:J$302,2,FALSE)),"",VLOOKUP(A37,Vortex!F$5:J$302,2,FALSE)))</f>
        <v>15.49</v>
      </c>
      <c r="P37" s="49">
        <f>IF(B37="",0,IF(ISNA(VLOOKUP(A37,Vortex!F$5:J$302,5,FALSE)),0,VLOOKUP(A37,Vortex!F$5:J$302,5,FALSE)))</f>
        <v>30</v>
      </c>
      <c r="Q37" s="49">
        <f t="shared" si="4"/>
        <v>190</v>
      </c>
      <c r="R37" s="49">
        <f t="shared" si="5"/>
        <v>4</v>
      </c>
      <c r="S37" s="49">
        <f t="shared" si="6"/>
        <v>14</v>
      </c>
      <c r="T37" s="4"/>
      <c r="U37" s="4"/>
      <c r="V37" s="4"/>
      <c r="X37" s="247"/>
      <c r="Y37" s="247"/>
      <c r="Z37" s="247"/>
      <c r="AA37" s="247"/>
      <c r="AB37" s="247"/>
      <c r="AC37" s="247"/>
      <c r="AD37" s="247"/>
      <c r="AE37" s="247"/>
      <c r="AF37" s="247"/>
      <c r="AG37" s="247"/>
      <c r="AH37" s="247"/>
      <c r="AI37" s="279"/>
      <c r="AJ37"/>
    </row>
    <row r="38" spans="1:36" ht="13.95" customHeight="1">
      <c r="A38" s="49">
        <f>IF(Declarations!B11=0,"",Declarations!B11)</f>
        <v>6</v>
      </c>
      <c r="B38" s="150" t="str">
        <f>IF(ISNA(VLOOKUP(A38,Declarations!B$6:C$185,2,FALSE)),"",IF(VLOOKUP(A38,Declarations!B$6:C$185,2,FALSE)="","",VLOOKUP(A38,Declarations!B$6:C$185,2,FALSE)))</f>
        <v>RUBY WILLIAMS</v>
      </c>
      <c r="C38" s="150" t="str">
        <f>IF(ISNA(VLOOKUP(A38,Declarations!B$6:F$185,5,FALSE)),"",IF(VLOOKUP(A38,Declarations!B$6:F$185,5,FALSE)="","",VLOOKUP(A38,Declarations!B$6:F$185,5,FALSE)))</f>
        <v>Camberley &amp; District AC</v>
      </c>
      <c r="D38" s="150" t="str">
        <f>IF(ISNA(VLOOKUP(A38,Declarations!B$6:F$185,4,FALSE)),"",IF(VLOOKUP(A38,Declarations!B$6:F$185,4,FALSE)="","",VLOOKUP(A38,Declarations!B$6:F$185,4,FALSE)))</f>
        <v>GIRLS</v>
      </c>
      <c r="E38" s="150" t="str">
        <f>IF(ISNA(VLOOKUP(A38,Declarations!B$6:D$185,3,FALSE)),"",IF(VLOOKUP(A38,Declarations!B$6:D$185,3,FALSE)="","",VLOOKUP(A38,Declarations!B$6:D$185,3,FALSE)))</f>
        <v>U12</v>
      </c>
      <c r="F38" s="49">
        <f>IF(B38="","",IF(ISNA(VLOOKUP(A38,'75m'!F$5:G$302,2,FALSE)),"",VLOOKUP(A38,'75m'!F$5:G$302,2,FALSE)))</f>
        <v>12.6</v>
      </c>
      <c r="G38" s="49">
        <f>IF(B38="",0,IF(ISNA(VLOOKUP(A38,'75m'!F$5:J$302,5,FALSE)),0,VLOOKUP(A38,'75m'!F$5:J$302,5,FALSE)))</f>
        <v>44</v>
      </c>
      <c r="H38" s="49" t="str">
        <f>IF(B38="","",IF(ISNA(VLOOKUP(A38,'75m'!F$5:K$302,6,FALSE)),"",VLOOKUP(A38,'75m'!F$5:K$302,6,FALSE)))</f>
        <v>PB6</v>
      </c>
      <c r="I38" s="51">
        <f>IF(B38="",0,IF(ISNA(VLOOKUP(A38,'600m'!F$5:J$302,2,FALSE)),0,VLOOKUP(A38,'600m'!F$5:J$302,2,FALSE)))</f>
        <v>1.5081018518518521E-3</v>
      </c>
      <c r="J38" s="49">
        <f>IF(B38="",0,IF(ISNA(VLOOKUP(A38,'600m'!F$5:J$302,5,FALSE)),0,VLOOKUP(A38,'600m'!F$5:J$302,5,FALSE)))</f>
        <v>59</v>
      </c>
      <c r="K38" s="49" t="str">
        <f>IF(B38="","",IF(ISNA(VLOOKUP(A38,'600m'!F$5:K$302,6,FALSE)),"",VLOOKUP(A38,'600m'!F$5:K$302,6,FALSE)))</f>
        <v>PB3</v>
      </c>
      <c r="L38" s="49">
        <f>IF(B38="","",IF(ISNA(VLOOKUP(A38,LongJump!F$5:G$302,2,FALSE)),"",VLOOKUP(A38,LongJump!F$5:G$302,2,FALSE)))</f>
        <v>3.16</v>
      </c>
      <c r="M38" s="49">
        <f>IF(B38="",0,IF(ISNA(VLOOKUP(A38,LongJump!F$5:J$302,5,FALSE)),0,VLOOKUP(A38,LongJump!F$5:J$302,5,FALSE)))</f>
        <v>42</v>
      </c>
      <c r="N38" s="49" t="str">
        <f>IF(B38="",0,IF(ISNA(VLOOKUP(A38,LongJump!F$5:K$302,6,FALSE)),0,VLOOKUP(A38,LongJump!F$5:K$302,6,FALSE)))</f>
        <v>PB6</v>
      </c>
      <c r="O38" s="49">
        <f>IF(B38="","",IF(ISNA(VLOOKUP(A38,Vortex!F$5:J$302,2,FALSE)),"",VLOOKUP(A38,Vortex!F$5:J$302,2,FALSE)))</f>
        <v>21.37</v>
      </c>
      <c r="P38" s="49">
        <f>IF(B38="",0,IF(ISNA(VLOOKUP(A38,Vortex!F$5:J$302,5,FALSE)),0,VLOOKUP(A38,Vortex!F$5:J$302,5,FALSE)))</f>
        <v>42</v>
      </c>
      <c r="Q38" s="49">
        <f t="shared" si="4"/>
        <v>187</v>
      </c>
      <c r="R38" s="49">
        <f t="shared" si="5"/>
        <v>5</v>
      </c>
      <c r="S38" s="49">
        <f t="shared" si="6"/>
        <v>16</v>
      </c>
      <c r="T38" s="4"/>
      <c r="U38" s="4"/>
      <c r="V38" s="4"/>
      <c r="X38" s="247"/>
      <c r="Y38" s="247"/>
      <c r="Z38" s="247"/>
      <c r="AA38" s="247"/>
      <c r="AB38" s="247"/>
      <c r="AC38" s="247"/>
      <c r="AD38" s="247"/>
      <c r="AE38" s="247"/>
      <c r="AF38" s="247"/>
      <c r="AG38" s="247"/>
      <c r="AH38" s="247"/>
      <c r="AI38" s="279"/>
      <c r="AJ38"/>
    </row>
    <row r="39" spans="1:36" ht="13.95" customHeight="1">
      <c r="A39" s="49">
        <f>IF(Declarations!B12=0,"",Declarations!B12)</f>
        <v>7</v>
      </c>
      <c r="B39" s="150" t="str">
        <f>IF(ISNA(VLOOKUP(A39,Declarations!B$6:C$185,2,FALSE)),"",IF(VLOOKUP(A39,Declarations!B$6:C$185,2,FALSE)="","",VLOOKUP(A39,Declarations!B$6:C$185,2,FALSE)))</f>
        <v>LEA MIZEN</v>
      </c>
      <c r="C39" s="150" t="str">
        <f>IF(ISNA(VLOOKUP(A39,Declarations!B$6:F$185,5,FALSE)),"",IF(VLOOKUP(A39,Declarations!B$6:F$185,5,FALSE)="","",VLOOKUP(A39,Declarations!B$6:F$185,5,FALSE)))</f>
        <v>Camberley &amp; District AC</v>
      </c>
      <c r="D39" s="150" t="str">
        <f>IF(ISNA(VLOOKUP(A39,Declarations!B$6:F$185,4,FALSE)),"",IF(VLOOKUP(A39,Declarations!B$6:F$185,4,FALSE)="","",VLOOKUP(A39,Declarations!B$6:F$185,4,FALSE)))</f>
        <v>GIRLS</v>
      </c>
      <c r="E39" s="150" t="str">
        <f>IF(ISNA(VLOOKUP(A39,Declarations!B$6:D$185,3,FALSE)),"",IF(VLOOKUP(A39,Declarations!B$6:D$185,3,FALSE)="","",VLOOKUP(A39,Declarations!B$6:D$185,3,FALSE)))</f>
        <v>U12</v>
      </c>
      <c r="F39" s="49">
        <f>IF(B39="","",IF(ISNA(VLOOKUP(A39,'75m'!F$5:G$302,2,FALSE)),"",VLOOKUP(A39,'75m'!F$5:G$302,2,FALSE)))</f>
        <v>11.1</v>
      </c>
      <c r="G39" s="49">
        <f>IF(B39="",0,IF(ISNA(VLOOKUP(A39,'75m'!F$5:J$302,5,FALSE)),0,VLOOKUP(A39,'75m'!F$5:J$302,5,FALSE)))</f>
        <v>59</v>
      </c>
      <c r="H39" s="49" t="str">
        <f>IF(B39="","",IF(ISNA(VLOOKUP(A39,'75m'!F$5:K$302,6,FALSE)),"",VLOOKUP(A39,'75m'!F$5:K$302,6,FALSE)))</f>
        <v>PB9</v>
      </c>
      <c r="I39" s="51">
        <f>IF(B39="",0,IF(ISNA(VLOOKUP(A39,'600m'!F$5:J$302,2,FALSE)),0,VLOOKUP(A39,'600m'!F$5:J$302,2,FALSE)))</f>
        <v>1.3993055555555555E-3</v>
      </c>
      <c r="J39" s="49">
        <f>IF(B39="",0,IF(ISNA(VLOOKUP(A39,'600m'!F$5:J$302,5,FALSE)),0,VLOOKUP(A39,'600m'!F$5:J$302,5,FALSE)))</f>
        <v>69</v>
      </c>
      <c r="K39" s="49" t="str">
        <f>IF(B39="","",IF(ISNA(VLOOKUP(A39,'600m'!F$5:K$302,6,FALSE)),"",VLOOKUP(A39,'600m'!F$5:K$302,6,FALSE)))</f>
        <v>PB5</v>
      </c>
      <c r="L39" s="49">
        <f>IF(B39="","",IF(ISNA(VLOOKUP(A39,LongJump!F$5:G$302,2,FALSE)),"",VLOOKUP(A39,LongJump!F$5:G$302,2,FALSE)))</f>
        <v>3.4</v>
      </c>
      <c r="M39" s="49">
        <f>IF(B39="",0,IF(ISNA(VLOOKUP(A39,LongJump!F$5:J$302,5,FALSE)),0,VLOOKUP(A39,LongJump!F$5:J$302,5,FALSE)))</f>
        <v>50</v>
      </c>
      <c r="N39" s="49" t="str">
        <f>IF(B39="",0,IF(ISNA(VLOOKUP(A39,LongJump!F$5:K$302,6,FALSE)),0,VLOOKUP(A39,LongJump!F$5:K$302,6,FALSE)))</f>
        <v>PB7</v>
      </c>
      <c r="O39" s="49">
        <f>IF(B39="","",IF(ISNA(VLOOKUP(A39,Vortex!F$5:J$302,2,FALSE)),"",VLOOKUP(A39,Vortex!F$5:J$302,2,FALSE)))</f>
        <v>18.399999999999999</v>
      </c>
      <c r="P39" s="49">
        <f>IF(B39="",0,IF(ISNA(VLOOKUP(A39,Vortex!F$5:J$302,5,FALSE)),0,VLOOKUP(A39,Vortex!F$5:J$302,5,FALSE)))</f>
        <v>36</v>
      </c>
      <c r="Q39" s="49">
        <f t="shared" si="4"/>
        <v>214</v>
      </c>
      <c r="R39" s="49">
        <f t="shared" si="5"/>
        <v>2</v>
      </c>
      <c r="S39" s="49">
        <f t="shared" si="6"/>
        <v>7</v>
      </c>
      <c r="T39" s="4"/>
      <c r="U39" s="4"/>
      <c r="V39" s="4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79"/>
      <c r="AJ39"/>
    </row>
    <row r="40" spans="1:36" ht="13.95" customHeight="1">
      <c r="A40" s="49">
        <f>IF(Declarations!B13=0,"",Declarations!B13)</f>
        <v>8</v>
      </c>
      <c r="B40" s="150" t="str">
        <f>IF(ISNA(VLOOKUP(A40,Declarations!B$6:C$185,2,FALSE)),"",IF(VLOOKUP(A40,Declarations!B$6:C$185,2,FALSE)="","",VLOOKUP(A40,Declarations!B$6:C$185,2,FALSE)))</f>
        <v>CHLOE HARRISON</v>
      </c>
      <c r="C40" s="150" t="str">
        <f>IF(ISNA(VLOOKUP(A40,Declarations!B$6:F$185,5,FALSE)),"",IF(VLOOKUP(A40,Declarations!B$6:F$185,5,FALSE)="","",VLOOKUP(A40,Declarations!B$6:F$185,5,FALSE)))</f>
        <v>Camberley &amp; District AC</v>
      </c>
      <c r="D40" s="150" t="str">
        <f>IF(ISNA(VLOOKUP(A40,Declarations!B$6:F$185,4,FALSE)),"",IF(VLOOKUP(A40,Declarations!B$6:F$185,4,FALSE)="","",VLOOKUP(A40,Declarations!B$6:F$185,4,FALSE)))</f>
        <v>GIRLS</v>
      </c>
      <c r="E40" s="150" t="str">
        <f>IF(ISNA(VLOOKUP(A40,Declarations!B$6:D$185,3,FALSE)),"",IF(VLOOKUP(A40,Declarations!B$6:D$185,3,FALSE)="","",VLOOKUP(A40,Declarations!B$6:D$185,3,FALSE)))</f>
        <v>U12</v>
      </c>
      <c r="F40" s="49">
        <f>IF(B40="","",IF(ISNA(VLOOKUP(A40,'75m'!F$5:G$302,2,FALSE)),"",VLOOKUP(A40,'75m'!F$5:G$302,2,FALSE)))</f>
        <v>12.1</v>
      </c>
      <c r="G40" s="49">
        <f>IF(B40="",0,IF(ISNA(VLOOKUP(A40,'75m'!F$5:J$302,5,FALSE)),0,VLOOKUP(A40,'75m'!F$5:J$302,5,FALSE)))</f>
        <v>49</v>
      </c>
      <c r="H40" s="49" t="str">
        <f>IF(B40="","",IF(ISNA(VLOOKUP(A40,'75m'!F$5:K$302,6,FALSE)),"",VLOOKUP(A40,'75m'!F$5:K$302,6,FALSE)))</f>
        <v>PB8</v>
      </c>
      <c r="I40" s="51">
        <f>IF(B40="",0,IF(ISNA(VLOOKUP(A40,'600m'!F$5:J$302,2,FALSE)),0,VLOOKUP(A40,'600m'!F$5:J$302,2,FALSE)))</f>
        <v>1.6111111111111109E-3</v>
      </c>
      <c r="J40" s="49">
        <f>IF(B40="",0,IF(ISNA(VLOOKUP(A40,'600m'!F$5:J$302,5,FALSE)),0,VLOOKUP(A40,'600m'!F$5:J$302,5,FALSE)))</f>
        <v>50</v>
      </c>
      <c r="K40" s="49" t="str">
        <f>IF(B40="","",IF(ISNA(VLOOKUP(A40,'600m'!F$5:K$302,6,FALSE)),"",VLOOKUP(A40,'600m'!F$5:K$302,6,FALSE)))</f>
        <v>PB2</v>
      </c>
      <c r="L40" s="49" t="str">
        <f>IF(B40="","",IF(ISNA(VLOOKUP(A40,LongJump!F$5:G$302,2,FALSE)),"",VLOOKUP(A40,LongJump!F$5:G$302,2,FALSE)))</f>
        <v/>
      </c>
      <c r="M40" s="49">
        <f>IF(B40="",0,IF(ISNA(VLOOKUP(A40,LongJump!F$5:J$302,5,FALSE)),0,VLOOKUP(A40,LongJump!F$5:J$302,5,FALSE)))</f>
        <v>0</v>
      </c>
      <c r="N40" s="49">
        <f>IF(B40="",0,IF(ISNA(VLOOKUP(A40,LongJump!F$5:K$302,6,FALSE)),0,VLOOKUP(A40,LongJump!F$5:K$302,6,FALSE)))</f>
        <v>0</v>
      </c>
      <c r="O40" s="49">
        <f>IF(B40="","",IF(ISNA(VLOOKUP(A40,Vortex!F$5:J$302,2,FALSE)),"",VLOOKUP(A40,Vortex!F$5:J$302,2,FALSE)))</f>
        <v>21.6</v>
      </c>
      <c r="P40" s="49">
        <f>IF(B40="",0,IF(ISNA(VLOOKUP(A40,Vortex!F$5:J$302,5,FALSE)),0,VLOOKUP(A40,Vortex!F$5:J$302,5,FALSE)))</f>
        <v>43</v>
      </c>
      <c r="Q40" s="49">
        <f t="shared" si="4"/>
        <v>142</v>
      </c>
      <c r="R40" s="49">
        <f t="shared" si="5"/>
        <v>8</v>
      </c>
      <c r="S40" s="49">
        <f t="shared" si="6"/>
        <v>39</v>
      </c>
      <c r="T40" s="4"/>
      <c r="U40" s="4"/>
      <c r="V40" s="4"/>
      <c r="X40" s="247"/>
      <c r="Y40" s="247"/>
      <c r="Z40" s="247"/>
      <c r="AA40" s="247"/>
      <c r="AB40" s="247"/>
      <c r="AC40" s="247"/>
      <c r="AD40" s="247"/>
      <c r="AE40" s="247"/>
      <c r="AF40" s="247"/>
      <c r="AG40" s="247"/>
      <c r="AH40" s="247"/>
      <c r="AI40" s="279"/>
      <c r="AJ40"/>
    </row>
    <row r="41" spans="1:36" ht="13.95" customHeight="1">
      <c r="A41" s="49">
        <f>IF(Declarations!B14=0,"",Declarations!B14)</f>
        <v>9</v>
      </c>
      <c r="B41" s="150" t="str">
        <f>IF(ISNA(VLOOKUP(A41,Declarations!B$6:C$185,2,FALSE)),"",IF(VLOOKUP(A41,Declarations!B$6:C$185,2,FALSE)="","",VLOOKUP(A41,Declarations!B$6:C$185,2,FALSE)))</f>
        <v/>
      </c>
      <c r="C41" s="150" t="str">
        <f>IF(ISNA(VLOOKUP(A41,Declarations!B$6:F$185,5,FALSE)),"",IF(VLOOKUP(A41,Declarations!B$6:F$185,5,FALSE)="","",VLOOKUP(A41,Declarations!B$6:F$185,5,FALSE)))</f>
        <v>Camberley &amp; District AC</v>
      </c>
      <c r="D41" s="150" t="str">
        <f>IF(ISNA(VLOOKUP(A41,Declarations!B$6:F$185,4,FALSE)),"",IF(VLOOKUP(A41,Declarations!B$6:F$185,4,FALSE)="","",VLOOKUP(A41,Declarations!B$6:F$185,4,FALSE)))</f>
        <v>GIRLS</v>
      </c>
      <c r="E41" s="150" t="str">
        <f>IF(ISNA(VLOOKUP(A41,Declarations!B$6:D$185,3,FALSE)),"",IF(VLOOKUP(A41,Declarations!B$6:D$185,3,FALSE)="","",VLOOKUP(A41,Declarations!B$6:D$185,3,FALSE)))</f>
        <v>U12</v>
      </c>
      <c r="F41" s="49" t="str">
        <f>IF(B41="","",IF(ISNA(VLOOKUP(A41,'75m'!F$5:G$302,2,FALSE)),"",VLOOKUP(A41,'75m'!F$5:G$302,2,FALSE)))</f>
        <v/>
      </c>
      <c r="G41" s="49">
        <f>IF(B41="",0,IF(ISNA(VLOOKUP(A41,'75m'!F$5:J$302,5,FALSE)),0,VLOOKUP(A41,'75m'!F$5:J$302,5,FALSE)))</f>
        <v>0</v>
      </c>
      <c r="H41" s="49" t="str">
        <f>IF(B41="","",IF(ISNA(VLOOKUP(A41,'75m'!F$5:K$302,6,FALSE)),"",VLOOKUP(A41,'75m'!F$5:K$302,6,FALSE)))</f>
        <v/>
      </c>
      <c r="I41" s="51">
        <f>IF(B41="",0,IF(ISNA(VLOOKUP(A41,'600m'!F$5:J$302,2,FALSE)),0,VLOOKUP(A41,'600m'!F$5:J$302,2,FALSE)))</f>
        <v>0</v>
      </c>
      <c r="J41" s="49">
        <f>IF(B41="",0,IF(ISNA(VLOOKUP(A41,'600m'!F$5:J$302,5,FALSE)),0,VLOOKUP(A41,'600m'!F$5:J$302,5,FALSE)))</f>
        <v>0</v>
      </c>
      <c r="K41" s="49" t="str">
        <f>IF(B41="","",IF(ISNA(VLOOKUP(A41,'600m'!F$5:K$302,6,FALSE)),"",VLOOKUP(A41,'600m'!F$5:K$302,6,FALSE)))</f>
        <v/>
      </c>
      <c r="L41" s="49" t="str">
        <f>IF(B41="","",IF(ISNA(VLOOKUP(A41,LongJump!F$5:G$302,2,FALSE)),"",VLOOKUP(A41,LongJump!F$5:G$302,2,FALSE)))</f>
        <v/>
      </c>
      <c r="M41" s="49">
        <f>IF(B41="",0,IF(ISNA(VLOOKUP(A41,LongJump!F$5:J$302,5,FALSE)),0,VLOOKUP(A41,LongJump!F$5:J$302,5,FALSE)))</f>
        <v>0</v>
      </c>
      <c r="N41" s="49">
        <f>IF(B41="",0,IF(ISNA(VLOOKUP(A41,LongJump!F$5:K$302,6,FALSE)),0,VLOOKUP(A41,LongJump!F$5:K$302,6,FALSE)))</f>
        <v>0</v>
      </c>
      <c r="O41" s="49" t="str">
        <f>IF(B41="","",IF(ISNA(VLOOKUP(A41,Vortex!F$5:J$302,2,FALSE)),"",VLOOKUP(A41,Vortex!F$5:J$302,2,FALSE)))</f>
        <v/>
      </c>
      <c r="P41" s="49">
        <f>IF(B41="",0,IF(ISNA(VLOOKUP(A41,Vortex!F$5:J$302,5,FALSE)),0,VLOOKUP(A41,Vortex!F$5:J$302,5,FALSE)))</f>
        <v>0</v>
      </c>
      <c r="Q41" s="49">
        <f t="shared" si="4"/>
        <v>0</v>
      </c>
      <c r="R41" s="49" t="str">
        <f t="shared" si="5"/>
        <v/>
      </c>
      <c r="S41" s="49" t="str">
        <f t="shared" si="6"/>
        <v/>
      </c>
      <c r="T41" s="4"/>
      <c r="U41" s="4"/>
      <c r="V41" s="4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247"/>
      <c r="AI41" s="279"/>
      <c r="AJ41"/>
    </row>
    <row r="42" spans="1:36" ht="13.95" customHeight="1">
      <c r="A42" s="49">
        <f>IF(Declarations!B15=0,"",Declarations!B15)</f>
        <v>10</v>
      </c>
      <c r="B42" s="150" t="str">
        <f>IF(ISNA(VLOOKUP(A42,Declarations!B$6:C$185,2,FALSE)),"",IF(VLOOKUP(A42,Declarations!B$6:C$185,2,FALSE)="","",VLOOKUP(A42,Declarations!B$6:C$185,2,FALSE)))</f>
        <v/>
      </c>
      <c r="C42" s="150" t="str">
        <f>IF(ISNA(VLOOKUP(A42,Declarations!B$6:F$185,5,FALSE)),"",IF(VLOOKUP(A42,Declarations!B$6:F$185,5,FALSE)="","",VLOOKUP(A42,Declarations!B$6:F$185,5,FALSE)))</f>
        <v>Camberley &amp; District AC</v>
      </c>
      <c r="D42" s="150" t="str">
        <f>IF(ISNA(VLOOKUP(A42,Declarations!B$6:F$185,4,FALSE)),"",IF(VLOOKUP(A42,Declarations!B$6:F$185,4,FALSE)="","",VLOOKUP(A42,Declarations!B$6:F$185,4,FALSE)))</f>
        <v>GIRLS</v>
      </c>
      <c r="E42" s="150" t="str">
        <f>IF(ISNA(VLOOKUP(A42,Declarations!B$6:D$185,3,FALSE)),"",IF(VLOOKUP(A42,Declarations!B$6:D$185,3,FALSE)="","",VLOOKUP(A42,Declarations!B$6:D$185,3,FALSE)))</f>
        <v>U12</v>
      </c>
      <c r="F42" s="49" t="str">
        <f>IF(B42="","",IF(ISNA(VLOOKUP(A42,'75m'!F$5:G$302,2,FALSE)),"",VLOOKUP(A42,'75m'!F$5:G$302,2,FALSE)))</f>
        <v/>
      </c>
      <c r="G42" s="49">
        <f>IF(B42="",0,IF(ISNA(VLOOKUP(A42,'75m'!F$5:J$302,5,FALSE)),0,VLOOKUP(A42,'75m'!F$5:J$302,5,FALSE)))</f>
        <v>0</v>
      </c>
      <c r="H42" s="49" t="str">
        <f>IF(B42="","",IF(ISNA(VLOOKUP(A42,'75m'!F$5:K$302,6,FALSE)),"",VLOOKUP(A42,'75m'!F$5:K$302,6,FALSE)))</f>
        <v/>
      </c>
      <c r="I42" s="51">
        <f>IF(B42="",0,IF(ISNA(VLOOKUP(A42,'600m'!F$5:J$302,2,FALSE)),0,VLOOKUP(A42,'600m'!F$5:J$302,2,FALSE)))</f>
        <v>0</v>
      </c>
      <c r="J42" s="49">
        <f>IF(B42="",0,IF(ISNA(VLOOKUP(A42,'600m'!F$5:J$302,5,FALSE)),0,VLOOKUP(A42,'600m'!F$5:J$302,5,FALSE)))</f>
        <v>0</v>
      </c>
      <c r="K42" s="49" t="str">
        <f>IF(B42="","",IF(ISNA(VLOOKUP(A42,'600m'!F$5:K$302,6,FALSE)),"",VLOOKUP(A42,'600m'!F$5:K$302,6,FALSE)))</f>
        <v/>
      </c>
      <c r="L42" s="49" t="str">
        <f>IF(B42="","",IF(ISNA(VLOOKUP(A42,LongJump!F$5:G$302,2,FALSE)),"",VLOOKUP(A42,LongJump!F$5:G$302,2,FALSE)))</f>
        <v/>
      </c>
      <c r="M42" s="49">
        <f>IF(B42="",0,IF(ISNA(VLOOKUP(A42,LongJump!F$5:J$302,5,FALSE)),0,VLOOKUP(A42,LongJump!F$5:J$302,5,FALSE)))</f>
        <v>0</v>
      </c>
      <c r="N42" s="49">
        <f>IF(B42="",0,IF(ISNA(VLOOKUP(A42,LongJump!F$5:K$302,6,FALSE)),0,VLOOKUP(A42,LongJump!F$5:K$302,6,FALSE)))</f>
        <v>0</v>
      </c>
      <c r="O42" s="49" t="str">
        <f>IF(B42="","",IF(ISNA(VLOOKUP(A42,Vortex!F$5:J$302,2,FALSE)),"",VLOOKUP(A42,Vortex!F$5:J$302,2,FALSE)))</f>
        <v/>
      </c>
      <c r="P42" s="49">
        <f>IF(B42="",0,IF(ISNA(VLOOKUP(A42,Vortex!F$5:J$302,5,FALSE)),0,VLOOKUP(A42,Vortex!F$5:J$302,5,FALSE)))</f>
        <v>0</v>
      </c>
      <c r="Q42" s="49">
        <f t="shared" si="4"/>
        <v>0</v>
      </c>
      <c r="R42" s="49" t="str">
        <f t="shared" si="5"/>
        <v/>
      </c>
      <c r="S42" s="49" t="str">
        <f t="shared" si="6"/>
        <v/>
      </c>
      <c r="T42" s="4"/>
      <c r="U42" s="4"/>
      <c r="V42" s="4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79"/>
      <c r="AJ42"/>
    </row>
    <row r="43" spans="1:36" ht="13.95" customHeight="1">
      <c r="A43" s="49">
        <f>IF(Declarations!B16=0,"",Declarations!B16)</f>
        <v>11</v>
      </c>
      <c r="B43" s="150" t="str">
        <f>IF(ISNA(VLOOKUP(A43,Declarations!B$6:C$185,2,FALSE)),"",IF(VLOOKUP(A43,Declarations!B$6:C$185,2,FALSE)="","",VLOOKUP(A43,Declarations!B$6:C$185,2,FALSE)))</f>
        <v>MATTHEW SCALES</v>
      </c>
      <c r="C43" s="150" t="str">
        <f>IF(ISNA(VLOOKUP(A43,Declarations!B$6:F$185,5,FALSE)),"",IF(VLOOKUP(A43,Declarations!B$6:F$185,5,FALSE)="","",VLOOKUP(A43,Declarations!B$6:F$185,5,FALSE)))</f>
        <v>Camberley &amp; District AC</v>
      </c>
      <c r="D43" s="150" t="str">
        <f>IF(ISNA(VLOOKUP(A43,Declarations!B$6:F$185,4,FALSE)),"",IF(VLOOKUP(A43,Declarations!B$6:F$185,4,FALSE)="","",VLOOKUP(A43,Declarations!B$6:F$185,4,FALSE)))</f>
        <v>BOYS</v>
      </c>
      <c r="E43" s="150" t="str">
        <f>IF(ISNA(VLOOKUP(A43,Declarations!B$6:D$185,3,FALSE)),"",IF(VLOOKUP(A43,Declarations!B$6:D$185,3,FALSE)="","",VLOOKUP(A43,Declarations!B$6:D$185,3,FALSE)))</f>
        <v>U12</v>
      </c>
      <c r="F43" s="49">
        <f>IF(B43="","",IF(ISNA(VLOOKUP(A43,'75m'!F$5:G$302,2,FALSE)),"",VLOOKUP(A43,'75m'!F$5:G$302,2,FALSE)))</f>
        <v>11</v>
      </c>
      <c r="G43" s="49">
        <f>IF(B43="",0,IF(ISNA(VLOOKUP(A43,'75m'!F$5:J$302,5,FALSE)),0,VLOOKUP(A43,'75m'!F$5:J$302,5,FALSE)))</f>
        <v>60</v>
      </c>
      <c r="H43" s="49" t="str">
        <f>IF(B43="","",IF(ISNA(VLOOKUP(A43,'75m'!F$5:K$302,6,FALSE)),"",VLOOKUP(A43,'75m'!F$5:K$302,6,FALSE)))</f>
        <v>PB9</v>
      </c>
      <c r="I43" s="51">
        <f>IF(B43="",0,IF(ISNA(VLOOKUP(A43,'600m'!F$5:J$302,2,FALSE)),0,VLOOKUP(A43,'600m'!F$5:J$302,2,FALSE)))</f>
        <v>1.2789351851851853E-3</v>
      </c>
      <c r="J43" s="49">
        <f>IF(B43="",0,IF(ISNA(VLOOKUP(A43,'600m'!F$5:J$302,5,FALSE)),0,VLOOKUP(A43,'600m'!F$5:J$302,5,FALSE)))</f>
        <v>79</v>
      </c>
      <c r="K43" s="49" t="str">
        <f>IF(B43="","",IF(ISNA(VLOOKUP(A43,'600m'!F$5:K$302,6,FALSE)),"",VLOOKUP(A43,'600m'!F$5:K$302,6,FALSE)))</f>
        <v>PB7</v>
      </c>
      <c r="L43" s="49">
        <f>IF(B43="","",IF(ISNA(VLOOKUP(A43,LongJump!F$5:G$302,2,FALSE)),"",VLOOKUP(A43,LongJump!F$5:G$302,2,FALSE)))</f>
        <v>3.83</v>
      </c>
      <c r="M43" s="49">
        <f>IF(B43="",0,IF(ISNA(VLOOKUP(A43,LongJump!F$5:J$302,5,FALSE)),0,VLOOKUP(A43,LongJump!F$5:J$302,5,FALSE)))</f>
        <v>64</v>
      </c>
      <c r="N43" s="49" t="str">
        <f>IF(B43="",0,IF(ISNA(VLOOKUP(A43,LongJump!F$5:K$302,6,FALSE)),0,VLOOKUP(A43,LongJump!F$5:K$302,6,FALSE)))</f>
        <v>PB8</v>
      </c>
      <c r="O43" s="49">
        <f>IF(B43="","",IF(ISNA(VLOOKUP(A43,Vortex!F$5:J$302,2,FALSE)),"",VLOOKUP(A43,Vortex!F$5:J$302,2,FALSE)))</f>
        <v>29.83</v>
      </c>
      <c r="P43" s="49">
        <f>IF(B43="",0,IF(ISNA(VLOOKUP(A43,Vortex!F$5:J$302,5,FALSE)),0,VLOOKUP(A43,Vortex!F$5:J$302,5,FALSE)))</f>
        <v>59</v>
      </c>
      <c r="Q43" s="49">
        <f t="shared" si="4"/>
        <v>262</v>
      </c>
      <c r="R43" s="49">
        <f t="shared" si="5"/>
        <v>1</v>
      </c>
      <c r="S43" s="49">
        <f t="shared" si="6"/>
        <v>3</v>
      </c>
      <c r="T43" s="4"/>
      <c r="U43" s="4"/>
      <c r="V43" s="4"/>
      <c r="X43" s="247"/>
      <c r="Y43" s="247"/>
      <c r="Z43" s="247"/>
      <c r="AA43" s="247"/>
      <c r="AB43" s="247"/>
      <c r="AC43" s="247"/>
      <c r="AD43" s="247"/>
      <c r="AE43" s="247"/>
      <c r="AF43" s="247"/>
      <c r="AG43" s="247"/>
      <c r="AH43" s="247"/>
      <c r="AI43" s="279"/>
      <c r="AJ43"/>
    </row>
    <row r="44" spans="1:36" ht="13.95" customHeight="1">
      <c r="A44" s="49">
        <f>IF(Declarations!B17=0,"",Declarations!B17)</f>
        <v>12</v>
      </c>
      <c r="B44" s="150" t="str">
        <f>IF(ISNA(VLOOKUP(A44,Declarations!B$6:C$185,2,FALSE)),"",IF(VLOOKUP(A44,Declarations!B$6:C$185,2,FALSE)="","",VLOOKUP(A44,Declarations!B$6:C$185,2,FALSE)))</f>
        <v>OSCAR FROST</v>
      </c>
      <c r="C44" s="150" t="str">
        <f>IF(ISNA(VLOOKUP(A44,Declarations!B$6:F$185,5,FALSE)),"",IF(VLOOKUP(A44,Declarations!B$6:F$185,5,FALSE)="","",VLOOKUP(A44,Declarations!B$6:F$185,5,FALSE)))</f>
        <v>Camberley &amp; District AC</v>
      </c>
      <c r="D44" s="150" t="str">
        <f>IF(ISNA(VLOOKUP(A44,Declarations!B$6:F$185,4,FALSE)),"",IF(VLOOKUP(A44,Declarations!B$6:F$185,4,FALSE)="","",VLOOKUP(A44,Declarations!B$6:F$185,4,FALSE)))</f>
        <v>BOYS</v>
      </c>
      <c r="E44" s="150" t="str">
        <f>IF(ISNA(VLOOKUP(A44,Declarations!B$6:D$185,3,FALSE)),"",IF(VLOOKUP(A44,Declarations!B$6:D$185,3,FALSE)="","",VLOOKUP(A44,Declarations!B$6:D$185,3,FALSE)))</f>
        <v>U12</v>
      </c>
      <c r="F44" s="49">
        <f>IF(B44="","",IF(ISNA(VLOOKUP(A44,'75m'!F$5:G$302,2,FALSE)),"",VLOOKUP(A44,'75m'!F$5:G$302,2,FALSE)))</f>
        <v>11.9</v>
      </c>
      <c r="G44" s="49">
        <f>IF(B44="",0,IF(ISNA(VLOOKUP(A44,'75m'!F$5:J$302,5,FALSE)),0,VLOOKUP(A44,'75m'!F$5:J$302,5,FALSE)))</f>
        <v>51</v>
      </c>
      <c r="H44" s="49" t="str">
        <f>IF(B44="","",IF(ISNA(VLOOKUP(A44,'75m'!F$5:K$302,6,FALSE)),"",VLOOKUP(A44,'75m'!F$5:K$302,6,FALSE)))</f>
        <v>PB7</v>
      </c>
      <c r="I44" s="51">
        <f>IF(B44="",0,IF(ISNA(VLOOKUP(A44,'600m'!F$5:J$302,2,FALSE)),0,VLOOKUP(A44,'600m'!F$5:J$302,2,FALSE)))</f>
        <v>1.3888888888888889E-3</v>
      </c>
      <c r="J44" s="49">
        <f>IF(B44="",0,IF(ISNA(VLOOKUP(A44,'600m'!F$5:J$302,5,FALSE)),0,VLOOKUP(A44,'600m'!F$5:J$302,5,FALSE)))</f>
        <v>70</v>
      </c>
      <c r="K44" s="49" t="str">
        <f>IF(B44="","",IF(ISNA(VLOOKUP(A44,'600m'!F$5:K$302,6,FALSE)),"",VLOOKUP(A44,'600m'!F$5:K$302,6,FALSE)))</f>
        <v>PB5</v>
      </c>
      <c r="L44" s="49">
        <f>IF(B44="","",IF(ISNA(VLOOKUP(A44,LongJump!F$5:G$302,2,FALSE)),"",VLOOKUP(A44,LongJump!F$5:G$302,2,FALSE)))</f>
        <v>3.09</v>
      </c>
      <c r="M44" s="49">
        <f>IF(B44="",0,IF(ISNA(VLOOKUP(A44,LongJump!F$5:J$302,5,FALSE)),0,VLOOKUP(A44,LongJump!F$5:J$302,5,FALSE)))</f>
        <v>39</v>
      </c>
      <c r="N44" s="49" t="str">
        <f>IF(B44="",0,IF(ISNA(VLOOKUP(A44,LongJump!F$5:K$302,6,FALSE)),0,VLOOKUP(A44,LongJump!F$5:K$302,6,FALSE)))</f>
        <v>PB5</v>
      </c>
      <c r="O44" s="49">
        <f>IF(B44="","",IF(ISNA(VLOOKUP(A44,Vortex!F$5:J$302,2,FALSE)),"",VLOOKUP(A44,Vortex!F$5:J$302,2,FALSE)))</f>
        <v>22.86</v>
      </c>
      <c r="P44" s="49">
        <f>IF(B44="",0,IF(ISNA(VLOOKUP(A44,Vortex!F$5:J$302,5,FALSE)),0,VLOOKUP(A44,Vortex!F$5:J$302,5,FALSE)))</f>
        <v>45</v>
      </c>
      <c r="Q44" s="49">
        <f t="shared" si="4"/>
        <v>205</v>
      </c>
      <c r="R44" s="49">
        <f t="shared" si="5"/>
        <v>2</v>
      </c>
      <c r="S44" s="49">
        <f t="shared" si="6"/>
        <v>21</v>
      </c>
      <c r="T44" s="4"/>
      <c r="U44" s="4"/>
      <c r="V44" s="4"/>
      <c r="W44" s="4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79"/>
      <c r="AJ44"/>
    </row>
    <row r="45" spans="1:36" ht="13.95" customHeight="1">
      <c r="A45" s="49">
        <f>IF(Declarations!B18=0,"",Declarations!B18)</f>
        <v>13</v>
      </c>
      <c r="B45" s="150" t="str">
        <f>IF(ISNA(VLOOKUP(A45,Declarations!B$6:C$185,2,FALSE)),"",IF(VLOOKUP(A45,Declarations!B$6:C$185,2,FALSE)="","",VLOOKUP(A45,Declarations!B$6:C$185,2,FALSE)))</f>
        <v>HARRY COLLINS</v>
      </c>
      <c r="C45" s="150" t="str">
        <f>IF(ISNA(VLOOKUP(A45,Declarations!B$6:F$185,5,FALSE)),"",IF(VLOOKUP(A45,Declarations!B$6:F$185,5,FALSE)="","",VLOOKUP(A45,Declarations!B$6:F$185,5,FALSE)))</f>
        <v>Camberley &amp; District AC</v>
      </c>
      <c r="D45" s="150" t="str">
        <f>IF(ISNA(VLOOKUP(A45,Declarations!B$6:F$185,4,FALSE)),"",IF(VLOOKUP(A45,Declarations!B$6:F$185,4,FALSE)="","",VLOOKUP(A45,Declarations!B$6:F$185,4,FALSE)))</f>
        <v>BOYS</v>
      </c>
      <c r="E45" s="150" t="str">
        <f>IF(ISNA(VLOOKUP(A45,Declarations!B$6:D$185,3,FALSE)),"",IF(VLOOKUP(A45,Declarations!B$6:D$185,3,FALSE)="","",VLOOKUP(A45,Declarations!B$6:D$185,3,FALSE)))</f>
        <v>U12</v>
      </c>
      <c r="F45" s="49">
        <f>IF(B45="","",IF(ISNA(VLOOKUP(A45,'75m'!F$5:G$302,2,FALSE)),"",VLOOKUP(A45,'75m'!F$5:G$302,2,FALSE)))</f>
        <v>12.5</v>
      </c>
      <c r="G45" s="49">
        <f>IF(B45="",0,IF(ISNA(VLOOKUP(A45,'75m'!F$5:J$302,5,FALSE)),0,VLOOKUP(A45,'75m'!F$5:J$302,5,FALSE)))</f>
        <v>45</v>
      </c>
      <c r="H45" s="49" t="str">
        <f>IF(B45="","",IF(ISNA(VLOOKUP(A45,'75m'!F$5:K$302,6,FALSE)),"",VLOOKUP(A45,'75m'!F$5:K$302,6,FALSE)))</f>
        <v>PB6</v>
      </c>
      <c r="I45" s="51">
        <f>IF(B45="",0,IF(ISNA(VLOOKUP(A45,'600m'!F$5:J$302,2,FALSE)),0,VLOOKUP(A45,'600m'!F$5:J$302,2,FALSE)))</f>
        <v>1.4212962962962964E-3</v>
      </c>
      <c r="J45" s="49">
        <f>IF(B45="",0,IF(ISNA(VLOOKUP(A45,'600m'!F$5:J$302,5,FALSE)),0,VLOOKUP(A45,'600m'!F$5:J$302,5,FALSE)))</f>
        <v>67</v>
      </c>
      <c r="K45" s="49" t="str">
        <f>IF(B45="","",IF(ISNA(VLOOKUP(A45,'600m'!F$5:K$302,6,FALSE)),"",VLOOKUP(A45,'600m'!F$5:K$302,6,FALSE)))</f>
        <v>PB4</v>
      </c>
      <c r="L45" s="49">
        <f>IF(B45="","",IF(ISNA(VLOOKUP(A45,LongJump!F$5:G$302,2,FALSE)),"",VLOOKUP(A45,LongJump!F$5:G$302,2,FALSE)))</f>
        <v>2.99</v>
      </c>
      <c r="M45" s="49">
        <f>IF(B45="",0,IF(ISNA(VLOOKUP(A45,LongJump!F$5:J$302,5,FALSE)),0,VLOOKUP(A45,LongJump!F$5:J$302,5,FALSE)))</f>
        <v>36</v>
      </c>
      <c r="N45" s="49" t="str">
        <f>IF(B45="",0,IF(ISNA(VLOOKUP(A45,LongJump!F$5:K$302,6,FALSE)),0,VLOOKUP(A45,LongJump!F$5:K$302,6,FALSE)))</f>
        <v>PB4</v>
      </c>
      <c r="O45" s="49">
        <f>IF(B45="","",IF(ISNA(VLOOKUP(A45,Vortex!F$5:J$302,2,FALSE)),"",VLOOKUP(A45,Vortex!F$5:J$302,2,FALSE)))</f>
        <v>21.13</v>
      </c>
      <c r="P45" s="49">
        <f>IF(B45="",0,IF(ISNA(VLOOKUP(A45,Vortex!F$5:J$302,5,FALSE)),0,VLOOKUP(A45,Vortex!F$5:J$302,5,FALSE)))</f>
        <v>42</v>
      </c>
      <c r="Q45" s="49">
        <f t="shared" si="4"/>
        <v>190</v>
      </c>
      <c r="R45" s="49">
        <f t="shared" si="5"/>
        <v>5</v>
      </c>
      <c r="S45" s="49">
        <f t="shared" si="6"/>
        <v>28</v>
      </c>
      <c r="T45" s="4"/>
      <c r="U45" s="4"/>
      <c r="V45" s="4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79"/>
      <c r="AJ45"/>
    </row>
    <row r="46" spans="1:36" ht="13.95" customHeight="1">
      <c r="A46" s="49">
        <f>IF(Declarations!B19=0,"",Declarations!B19)</f>
        <v>14</v>
      </c>
      <c r="B46" s="150" t="str">
        <f>IF(ISNA(VLOOKUP(A46,Declarations!B$6:C$185,2,FALSE)),"",IF(VLOOKUP(A46,Declarations!B$6:C$185,2,FALSE)="","",VLOOKUP(A46,Declarations!B$6:C$185,2,FALSE)))</f>
        <v>DANIEL BURDON</v>
      </c>
      <c r="C46" s="150" t="str">
        <f>IF(ISNA(VLOOKUP(A46,Declarations!B$6:F$185,5,FALSE)),"",IF(VLOOKUP(A46,Declarations!B$6:F$185,5,FALSE)="","",VLOOKUP(A46,Declarations!B$6:F$185,5,FALSE)))</f>
        <v>Camberley &amp; District AC</v>
      </c>
      <c r="D46" s="150" t="str">
        <f>IF(ISNA(VLOOKUP(A46,Declarations!B$6:F$185,4,FALSE)),"",IF(VLOOKUP(A46,Declarations!B$6:F$185,4,FALSE)="","",VLOOKUP(A46,Declarations!B$6:F$185,4,FALSE)))</f>
        <v>BOYS</v>
      </c>
      <c r="E46" s="150" t="str">
        <f>IF(ISNA(VLOOKUP(A46,Declarations!B$6:D$185,3,FALSE)),"",IF(VLOOKUP(A46,Declarations!B$6:D$185,3,FALSE)="","",VLOOKUP(A46,Declarations!B$6:D$185,3,FALSE)))</f>
        <v>U12</v>
      </c>
      <c r="F46" s="49">
        <f>IF(B46="","",IF(ISNA(VLOOKUP(A46,'75m'!F$5:G$302,2,FALSE)),"",VLOOKUP(A46,'75m'!F$5:G$302,2,FALSE)))</f>
        <v>11.8</v>
      </c>
      <c r="G46" s="49">
        <f>IF(B46="",0,IF(ISNA(VLOOKUP(A46,'75m'!F$5:J$302,5,FALSE)),0,VLOOKUP(A46,'75m'!F$5:J$302,5,FALSE)))</f>
        <v>52</v>
      </c>
      <c r="H46" s="49" t="str">
        <f>IF(B46="","",IF(ISNA(VLOOKUP(A46,'75m'!F$5:K$302,6,FALSE)),"",VLOOKUP(A46,'75m'!F$5:K$302,6,FALSE)))</f>
        <v>PB7</v>
      </c>
      <c r="I46" s="51">
        <f>IF(B46="",0,IF(ISNA(VLOOKUP(A46,'600m'!F$5:J$302,2,FALSE)),0,VLOOKUP(A46,'600m'!F$5:J$302,2,FALSE)))</f>
        <v>1.4849537037037038E-3</v>
      </c>
      <c r="J46" s="49">
        <f>IF(B46="",0,IF(ISNA(VLOOKUP(A46,'600m'!F$5:J$302,5,FALSE)),0,VLOOKUP(A46,'600m'!F$5:J$302,5,FALSE)))</f>
        <v>61</v>
      </c>
      <c r="K46" s="49" t="str">
        <f>IF(B46="","",IF(ISNA(VLOOKUP(A46,'600m'!F$5:K$302,6,FALSE)),"",VLOOKUP(A46,'600m'!F$5:K$302,6,FALSE)))</f>
        <v>PB3</v>
      </c>
      <c r="L46" s="49">
        <f>IF(B46="","",IF(ISNA(VLOOKUP(A46,LongJump!F$5:G$302,2,FALSE)),"",VLOOKUP(A46,LongJump!F$5:G$302,2,FALSE)))</f>
        <v>3.3</v>
      </c>
      <c r="M46" s="49">
        <f>IF(B46="",0,IF(ISNA(VLOOKUP(A46,LongJump!F$5:J$302,5,FALSE)),0,VLOOKUP(A46,LongJump!F$5:J$302,5,FALSE)))</f>
        <v>46</v>
      </c>
      <c r="N46" s="49" t="str">
        <f>IF(B46="",0,IF(ISNA(VLOOKUP(A46,LongJump!F$5:K$302,6,FALSE)),0,VLOOKUP(A46,LongJump!F$5:K$302,6,FALSE)))</f>
        <v>PB6</v>
      </c>
      <c r="O46" s="49">
        <f>IF(B46="","",IF(ISNA(VLOOKUP(A46,Vortex!F$5:J$302,2,FALSE)),"",VLOOKUP(A46,Vortex!F$5:J$302,2,FALSE)))</f>
        <v>17.190000000000001</v>
      </c>
      <c r="P46" s="49">
        <f>IF(B46="",0,IF(ISNA(VLOOKUP(A46,Vortex!F$5:J$302,5,FALSE)),0,VLOOKUP(A46,Vortex!F$5:J$302,5,FALSE)))</f>
        <v>34</v>
      </c>
      <c r="Q46" s="49">
        <f t="shared" si="4"/>
        <v>193</v>
      </c>
      <c r="R46" s="49">
        <f t="shared" si="5"/>
        <v>3</v>
      </c>
      <c r="S46" s="49">
        <f t="shared" si="6"/>
        <v>24</v>
      </c>
      <c r="T46" s="4"/>
      <c r="U46" s="4"/>
      <c r="V46" s="4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79"/>
      <c r="AJ46"/>
    </row>
    <row r="47" spans="1:36" ht="13.95" customHeight="1">
      <c r="A47" s="49">
        <f>IF(Declarations!B20=0,"",Declarations!B20)</f>
        <v>15</v>
      </c>
      <c r="B47" s="150" t="str">
        <f>IF(ISNA(VLOOKUP(A47,Declarations!B$6:C$185,2,FALSE)),"",IF(VLOOKUP(A47,Declarations!B$6:C$185,2,FALSE)="","",VLOOKUP(A47,Declarations!B$6:C$185,2,FALSE)))</f>
        <v>TOBI AKINLUYI</v>
      </c>
      <c r="C47" s="150" t="str">
        <f>IF(ISNA(VLOOKUP(A47,Declarations!B$6:F$185,5,FALSE)),"",IF(VLOOKUP(A47,Declarations!B$6:F$185,5,FALSE)="","",VLOOKUP(A47,Declarations!B$6:F$185,5,FALSE)))</f>
        <v>Camberley &amp; District AC</v>
      </c>
      <c r="D47" s="150" t="str">
        <f>IF(ISNA(VLOOKUP(A47,Declarations!B$6:F$185,4,FALSE)),"",IF(VLOOKUP(A47,Declarations!B$6:F$185,4,FALSE)="","",VLOOKUP(A47,Declarations!B$6:F$185,4,FALSE)))</f>
        <v>BOYS</v>
      </c>
      <c r="E47" s="150" t="str">
        <f>IF(ISNA(VLOOKUP(A47,Declarations!B$6:D$185,3,FALSE)),"",IF(VLOOKUP(A47,Declarations!B$6:D$185,3,FALSE)="","",VLOOKUP(A47,Declarations!B$6:D$185,3,FALSE)))</f>
        <v>U12</v>
      </c>
      <c r="F47" s="49">
        <f>IF(B47="","",IF(ISNA(VLOOKUP(A47,'75m'!F$5:G$302,2,FALSE)),"",VLOOKUP(A47,'75m'!F$5:G$302,2,FALSE)))</f>
        <v>10.9</v>
      </c>
      <c r="G47" s="49">
        <f>IF(B47="",0,IF(ISNA(VLOOKUP(A47,'75m'!F$5:J$302,5,FALSE)),0,VLOOKUP(A47,'75m'!F$5:J$302,5,FALSE)))</f>
        <v>61</v>
      </c>
      <c r="H47" s="49" t="str">
        <f>IF(B47="","",IF(ISNA(VLOOKUP(A47,'75m'!F$5:K$302,6,FALSE)),"",VLOOKUP(A47,'75m'!F$5:K$302,6,FALSE)))</f>
        <v>PB9</v>
      </c>
      <c r="I47" s="51">
        <f>IF(B47="",0,IF(ISNA(VLOOKUP(A47,'600m'!F$5:J$302,2,FALSE)),0,VLOOKUP(A47,'600m'!F$5:J$302,2,FALSE)))</f>
        <v>1.7604166666666666E-3</v>
      </c>
      <c r="J47" s="49">
        <f>IF(B47="",0,IF(ISNA(VLOOKUP(A47,'600m'!F$5:J$302,5,FALSE)),0,VLOOKUP(A47,'600m'!F$5:J$302,5,FALSE)))</f>
        <v>37</v>
      </c>
      <c r="K47" s="49" t="str">
        <f>IF(B47="","",IF(ISNA(VLOOKUP(A47,'600m'!F$5:K$302,6,FALSE)),"",VLOOKUP(A47,'600m'!F$5:K$302,6,FALSE)))</f>
        <v/>
      </c>
      <c r="L47" s="49">
        <f>IF(B47="","",IF(ISNA(VLOOKUP(A47,LongJump!F$5:G$302,2,FALSE)),"",VLOOKUP(A47,LongJump!F$5:G$302,2,FALSE)))</f>
        <v>3.07</v>
      </c>
      <c r="M47" s="49">
        <f>IF(B47="",0,IF(ISNA(VLOOKUP(A47,LongJump!F$5:J$302,5,FALSE)),0,VLOOKUP(A47,LongJump!F$5:J$302,5,FALSE)))</f>
        <v>39</v>
      </c>
      <c r="N47" s="49" t="str">
        <f>IF(B47="",0,IF(ISNA(VLOOKUP(A47,LongJump!F$5:K$302,6,FALSE)),0,VLOOKUP(A47,LongJump!F$5:K$302,6,FALSE)))</f>
        <v>PB5</v>
      </c>
      <c r="O47" s="49">
        <f>IF(B47="","",IF(ISNA(VLOOKUP(A47,Vortex!F$5:J$302,2,FALSE)),"",VLOOKUP(A47,Vortex!F$5:J$302,2,FALSE)))</f>
        <v>15.01</v>
      </c>
      <c r="P47" s="49">
        <f>IF(B47="",0,IF(ISNA(VLOOKUP(A47,Vortex!F$5:J$302,5,FALSE)),0,VLOOKUP(A47,Vortex!F$5:J$302,5,FALSE)))</f>
        <v>30</v>
      </c>
      <c r="Q47" s="49">
        <f t="shared" si="4"/>
        <v>167</v>
      </c>
      <c r="R47" s="49">
        <f t="shared" si="5"/>
        <v>6</v>
      </c>
      <c r="S47" s="49">
        <f t="shared" si="6"/>
        <v>36</v>
      </c>
      <c r="T47" s="4"/>
      <c r="U47" s="4"/>
      <c r="V47" s="4"/>
      <c r="X47" s="247"/>
      <c r="Y47" s="247"/>
      <c r="Z47" s="247"/>
      <c r="AA47" s="247"/>
      <c r="AB47" s="247"/>
      <c r="AC47" s="247"/>
      <c r="AD47" s="247"/>
      <c r="AE47" s="247"/>
      <c r="AF47" s="247"/>
      <c r="AG47" s="247"/>
      <c r="AH47" s="247"/>
      <c r="AI47" s="279"/>
      <c r="AJ47"/>
    </row>
    <row r="48" spans="1:36" ht="13.95" customHeight="1">
      <c r="A48" s="49">
        <f>IF(Declarations!B21=0,"",Declarations!B21)</f>
        <v>16</v>
      </c>
      <c r="B48" s="150" t="str">
        <f>IF(ISNA(VLOOKUP(A48,Declarations!B$6:C$185,2,FALSE)),"",IF(VLOOKUP(A48,Declarations!B$6:C$185,2,FALSE)="","",VLOOKUP(A48,Declarations!B$6:C$185,2,FALSE)))</f>
        <v>RAFI PAYNE</v>
      </c>
      <c r="C48" s="150" t="str">
        <f>IF(ISNA(VLOOKUP(A48,Declarations!B$6:F$185,5,FALSE)),"",IF(VLOOKUP(A48,Declarations!B$6:F$185,5,FALSE)="","",VLOOKUP(A48,Declarations!B$6:F$185,5,FALSE)))</f>
        <v>Camberley &amp; District AC</v>
      </c>
      <c r="D48" s="150" t="str">
        <f>IF(ISNA(VLOOKUP(A48,Declarations!B$6:F$185,4,FALSE)),"",IF(VLOOKUP(A48,Declarations!B$6:F$185,4,FALSE)="","",VLOOKUP(A48,Declarations!B$6:F$185,4,FALSE)))</f>
        <v>BOYS</v>
      </c>
      <c r="E48" s="150" t="str">
        <f>IF(ISNA(VLOOKUP(A48,Declarations!B$6:D$185,3,FALSE)),"",IF(VLOOKUP(A48,Declarations!B$6:D$185,3,FALSE)="","",VLOOKUP(A48,Declarations!B$6:D$185,3,FALSE)))</f>
        <v>U12</v>
      </c>
      <c r="F48" s="49">
        <f>IF(B48="","",IF(ISNA(VLOOKUP(A48,'75m'!F$5:G$302,2,FALSE)),"",VLOOKUP(A48,'75m'!F$5:G$302,2,FALSE)))</f>
        <v>12.6</v>
      </c>
      <c r="G48" s="49">
        <f>IF(B48="",0,IF(ISNA(VLOOKUP(A48,'75m'!F$5:J$302,5,FALSE)),0,VLOOKUP(A48,'75m'!F$5:J$302,5,FALSE)))</f>
        <v>44</v>
      </c>
      <c r="H48" s="49" t="str">
        <f>IF(B48="","",IF(ISNA(VLOOKUP(A48,'75m'!F$5:K$302,6,FALSE)),"",VLOOKUP(A48,'75m'!F$5:K$302,6,FALSE)))</f>
        <v>PB5</v>
      </c>
      <c r="I48" s="51">
        <f>IF(B48="",0,IF(ISNA(VLOOKUP(A48,'600m'!F$5:J$302,2,FALSE)),0,VLOOKUP(A48,'600m'!F$5:J$302,2,FALSE)))</f>
        <v>1.4583333333333334E-3</v>
      </c>
      <c r="J48" s="49">
        <f>IF(B48="",0,IF(ISNA(VLOOKUP(A48,'600m'!F$5:J$302,5,FALSE)),0,VLOOKUP(A48,'600m'!F$5:J$302,5,FALSE)))</f>
        <v>64</v>
      </c>
      <c r="K48" s="49" t="str">
        <f>IF(B48="","",IF(ISNA(VLOOKUP(A48,'600m'!F$5:K$302,6,FALSE)),"",VLOOKUP(A48,'600m'!F$5:K$302,6,FALSE)))</f>
        <v>PB3</v>
      </c>
      <c r="L48" s="49">
        <f>IF(B48="","",IF(ISNA(VLOOKUP(A48,LongJump!F$5:G$302,2,FALSE)),"",VLOOKUP(A48,LongJump!F$5:G$302,2,FALSE)))</f>
        <v>3.21</v>
      </c>
      <c r="M48" s="49">
        <f>IF(B48="",0,IF(ISNA(VLOOKUP(A48,LongJump!F$5:J$302,5,FALSE)),0,VLOOKUP(A48,LongJump!F$5:J$302,5,FALSE)))</f>
        <v>43</v>
      </c>
      <c r="N48" s="49" t="str">
        <f>IF(B48="",0,IF(ISNA(VLOOKUP(A48,LongJump!F$5:K$302,6,FALSE)),0,VLOOKUP(A48,LongJump!F$5:K$302,6,FALSE)))</f>
        <v>PB5</v>
      </c>
      <c r="O48" s="49">
        <f>IF(B48="","",IF(ISNA(VLOOKUP(A48,Vortex!F$5:J$302,2,FALSE)),"",VLOOKUP(A48,Vortex!F$5:J$302,2,FALSE)))</f>
        <v>21.25</v>
      </c>
      <c r="P48" s="49">
        <f>IF(B48="",0,IF(ISNA(VLOOKUP(A48,Vortex!F$5:J$302,5,FALSE)),0,VLOOKUP(A48,Vortex!F$5:J$302,5,FALSE)))</f>
        <v>42</v>
      </c>
      <c r="Q48" s="49">
        <f t="shared" si="4"/>
        <v>193</v>
      </c>
      <c r="R48" s="49">
        <f t="shared" si="5"/>
        <v>3</v>
      </c>
      <c r="S48" s="49">
        <f t="shared" si="6"/>
        <v>24</v>
      </c>
      <c r="T48" s="4"/>
      <c r="U48" s="4"/>
      <c r="V48" s="4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79"/>
      <c r="AJ48"/>
    </row>
    <row r="49" spans="1:39" ht="13.95" customHeight="1">
      <c r="A49" s="49">
        <f>IF(Declarations!B22=0,"",Declarations!B22)</f>
        <v>17</v>
      </c>
      <c r="B49" s="150" t="str">
        <f>IF(ISNA(VLOOKUP(A49,Declarations!B$6:C$185,2,FALSE)),"",IF(VLOOKUP(A49,Declarations!B$6:C$185,2,FALSE)="","",VLOOKUP(A49,Declarations!B$6:C$185,2,FALSE)))</f>
        <v>FELIX POWERS</v>
      </c>
      <c r="C49" s="150" t="str">
        <f>IF(ISNA(VLOOKUP(A49,Declarations!B$6:F$185,5,FALSE)),"",IF(VLOOKUP(A49,Declarations!B$6:F$185,5,FALSE)="","",VLOOKUP(A49,Declarations!B$6:F$185,5,FALSE)))</f>
        <v>Camberley &amp; District AC</v>
      </c>
      <c r="D49" s="150" t="str">
        <f>IF(ISNA(VLOOKUP(A49,Declarations!B$6:F$185,4,FALSE)),"",IF(VLOOKUP(A49,Declarations!B$6:F$185,4,FALSE)="","",VLOOKUP(A49,Declarations!B$6:F$185,4,FALSE)))</f>
        <v>BOYS</v>
      </c>
      <c r="E49" s="150" t="str">
        <f>IF(ISNA(VLOOKUP(A49,Declarations!B$6:D$185,3,FALSE)),"",IF(VLOOKUP(A49,Declarations!B$6:D$185,3,FALSE)="","",VLOOKUP(A49,Declarations!B$6:D$185,3,FALSE)))</f>
        <v>U12</v>
      </c>
      <c r="F49" s="49">
        <f>IF(B49="","",IF(ISNA(VLOOKUP(A49,'75m'!F$5:G$302,2,FALSE)),"",VLOOKUP(A49,'75m'!F$5:G$302,2,FALSE)))</f>
        <v>12.8</v>
      </c>
      <c r="G49" s="49">
        <f>IF(B49="",0,IF(ISNA(VLOOKUP(A49,'75m'!F$5:J$302,5,FALSE)),0,VLOOKUP(A49,'75m'!F$5:J$302,5,FALSE)))</f>
        <v>42</v>
      </c>
      <c r="H49" s="49" t="str">
        <f>IF(B49="","",IF(ISNA(VLOOKUP(A49,'75m'!F$5:K$302,6,FALSE)),"",VLOOKUP(A49,'75m'!F$5:K$302,6,FALSE)))</f>
        <v>PB5</v>
      </c>
      <c r="I49" s="51">
        <f>IF(B49="",0,IF(ISNA(VLOOKUP(A49,'600m'!F$5:J$302,2,FALSE)),0,VLOOKUP(A49,'600m'!F$5:J$302,2,FALSE)))</f>
        <v>1.6319444444444445E-3</v>
      </c>
      <c r="J49" s="49">
        <f>IF(B49="",0,IF(ISNA(VLOOKUP(A49,'600m'!F$5:J$302,5,FALSE)),0,VLOOKUP(A49,'600m'!F$5:J$302,5,FALSE)))</f>
        <v>49</v>
      </c>
      <c r="K49" s="49" t="str">
        <f>IF(B49="","",IF(ISNA(VLOOKUP(A49,'600m'!F$5:K$302,6,FALSE)),"",VLOOKUP(A49,'600m'!F$5:K$302,6,FALSE)))</f>
        <v>PB1</v>
      </c>
      <c r="L49" s="49">
        <f>IF(B49="","",IF(ISNA(VLOOKUP(A49,LongJump!F$5:G$302,2,FALSE)),"",VLOOKUP(A49,LongJump!F$5:G$302,2,FALSE)))</f>
        <v>2.72</v>
      </c>
      <c r="M49" s="49">
        <f>IF(B49="",0,IF(ISNA(VLOOKUP(A49,LongJump!F$5:J$302,5,FALSE)),0,VLOOKUP(A49,LongJump!F$5:J$302,5,FALSE)))</f>
        <v>27</v>
      </c>
      <c r="N49" s="49" t="str">
        <f>IF(B49="",0,IF(ISNA(VLOOKUP(A49,LongJump!F$5:K$302,6,FALSE)),0,VLOOKUP(A49,LongJump!F$5:K$302,6,FALSE)))</f>
        <v>PB3</v>
      </c>
      <c r="O49" s="49">
        <f>IF(B49="","",IF(ISNA(VLOOKUP(A49,Vortex!F$5:J$302,2,FALSE)),"",VLOOKUP(A49,Vortex!F$5:J$302,2,FALSE)))</f>
        <v>22.11</v>
      </c>
      <c r="P49" s="49">
        <f>IF(B49="",0,IF(ISNA(VLOOKUP(A49,Vortex!F$5:J$302,5,FALSE)),0,VLOOKUP(A49,Vortex!F$5:J$302,5,FALSE)))</f>
        <v>44</v>
      </c>
      <c r="Q49" s="49">
        <f t="shared" si="4"/>
        <v>162</v>
      </c>
      <c r="R49" s="49">
        <f t="shared" si="5"/>
        <v>7</v>
      </c>
      <c r="S49" s="49">
        <f t="shared" si="6"/>
        <v>37</v>
      </c>
      <c r="T49" s="4"/>
      <c r="U49" s="4"/>
      <c r="V49" s="4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79"/>
      <c r="AJ49"/>
    </row>
    <row r="50" spans="1:39" ht="13.95" customHeight="1">
      <c r="A50" s="49">
        <f>IF(Declarations!B23=0,"",Declarations!B23)</f>
        <v>18</v>
      </c>
      <c r="B50" s="150" t="str">
        <f>IF(ISNA(VLOOKUP(A50,Declarations!B$6:C$185,2,FALSE)),"",IF(VLOOKUP(A50,Declarations!B$6:C$185,2,FALSE)="","",VLOOKUP(A50,Declarations!B$6:C$185,2,FALSE)))</f>
        <v>CADEN LUCAS</v>
      </c>
      <c r="C50" s="150" t="str">
        <f>IF(ISNA(VLOOKUP(A50,Declarations!B$6:F$185,5,FALSE)),"",IF(VLOOKUP(A50,Declarations!B$6:F$185,5,FALSE)="","",VLOOKUP(A50,Declarations!B$6:F$185,5,FALSE)))</f>
        <v>Camberley &amp; District AC</v>
      </c>
      <c r="D50" s="150" t="str">
        <f>IF(ISNA(VLOOKUP(A50,Declarations!B$6:F$185,4,FALSE)),"",IF(VLOOKUP(A50,Declarations!B$6:F$185,4,FALSE)="","",VLOOKUP(A50,Declarations!B$6:F$185,4,FALSE)))</f>
        <v>BOYS</v>
      </c>
      <c r="E50" s="150" t="str">
        <f>IF(ISNA(VLOOKUP(A50,Declarations!B$6:D$185,3,FALSE)),"",IF(VLOOKUP(A50,Declarations!B$6:D$185,3,FALSE)="","",VLOOKUP(A50,Declarations!B$6:D$185,3,FALSE)))</f>
        <v>U12</v>
      </c>
      <c r="F50" s="49">
        <f>IF(B50="","",IF(ISNA(VLOOKUP(A50,'75m'!F$5:G$302,2,FALSE)),"",VLOOKUP(A50,'75m'!F$5:G$302,2,FALSE)))</f>
        <v>13.7</v>
      </c>
      <c r="G50" s="49">
        <f>IF(B50="",0,IF(ISNA(VLOOKUP(A50,'75m'!F$5:J$302,5,FALSE)),0,VLOOKUP(A50,'75m'!F$5:J$302,5,FALSE)))</f>
        <v>33</v>
      </c>
      <c r="H50" s="49" t="str">
        <f>IF(B50="","",IF(ISNA(VLOOKUP(A50,'75m'!F$5:K$302,6,FALSE)),"",VLOOKUP(A50,'75m'!F$5:K$302,6,FALSE)))</f>
        <v>PB3</v>
      </c>
      <c r="I50" s="51">
        <f>IF(B50="",0,IF(ISNA(VLOOKUP(A50,'600m'!F$5:J$302,2,FALSE)),0,VLOOKUP(A50,'600m'!F$5:J$302,2,FALSE)))</f>
        <v>1.8692129629629629E-3</v>
      </c>
      <c r="J50" s="49">
        <f>IF(B50="",0,IF(ISNA(VLOOKUP(A50,'600m'!F$5:J$302,5,FALSE)),0,VLOOKUP(A50,'600m'!F$5:J$302,5,FALSE)))</f>
        <v>28</v>
      </c>
      <c r="K50" s="49" t="str">
        <f>IF(B50="","",IF(ISNA(VLOOKUP(A50,'600m'!F$5:K$302,6,FALSE)),"",VLOOKUP(A50,'600m'!F$5:K$302,6,FALSE)))</f>
        <v/>
      </c>
      <c r="L50" s="49">
        <f>IF(B50="","",IF(ISNA(VLOOKUP(A50,LongJump!F$5:G$302,2,FALSE)),"",VLOOKUP(A50,LongJump!F$5:G$302,2,FALSE)))</f>
        <v>2.72</v>
      </c>
      <c r="M50" s="49">
        <f>IF(B50="",0,IF(ISNA(VLOOKUP(A50,LongJump!F$5:J$302,5,FALSE)),0,VLOOKUP(A50,LongJump!F$5:J$302,5,FALSE)))</f>
        <v>27</v>
      </c>
      <c r="N50" s="49" t="str">
        <f>IF(B50="",0,IF(ISNA(VLOOKUP(A50,LongJump!F$5:K$302,6,FALSE)),0,VLOOKUP(A50,LongJump!F$5:K$302,6,FALSE)))</f>
        <v>PB3</v>
      </c>
      <c r="O50" s="49">
        <f>IF(B50="","",IF(ISNA(VLOOKUP(A50,Vortex!F$5:J$302,2,FALSE)),"",VLOOKUP(A50,Vortex!F$5:J$302,2,FALSE)))</f>
        <v>18.940000000000001</v>
      </c>
      <c r="P50" s="49">
        <f>IF(B50="",0,IF(ISNA(VLOOKUP(A50,Vortex!F$5:J$302,5,FALSE)),0,VLOOKUP(A50,Vortex!F$5:J$302,5,FALSE)))</f>
        <v>37</v>
      </c>
      <c r="Q50" s="49">
        <f t="shared" si="4"/>
        <v>125</v>
      </c>
      <c r="R50" s="49">
        <f t="shared" si="5"/>
        <v>8</v>
      </c>
      <c r="S50" s="49">
        <f t="shared" si="6"/>
        <v>43</v>
      </c>
      <c r="T50" s="4"/>
      <c r="U50" s="4"/>
      <c r="V50" s="4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279"/>
      <c r="AJ50"/>
    </row>
    <row r="51" spans="1:39" ht="13.95" customHeight="1">
      <c r="A51" s="49">
        <f>IF(Declarations!B24=0,"",Declarations!B24)</f>
        <v>19</v>
      </c>
      <c r="B51" s="150" t="str">
        <f>IF(ISNA(VLOOKUP(A51,Declarations!B$6:C$185,2,FALSE)),"",IF(VLOOKUP(A51,Declarations!B$6:C$185,2,FALSE)="","",VLOOKUP(A51,Declarations!B$6:C$185,2,FALSE)))</f>
        <v/>
      </c>
      <c r="C51" s="150" t="str">
        <f>IF(ISNA(VLOOKUP(A51,Declarations!B$6:F$185,5,FALSE)),"",IF(VLOOKUP(A51,Declarations!B$6:F$185,5,FALSE)="","",VLOOKUP(A51,Declarations!B$6:F$185,5,FALSE)))</f>
        <v>Camberley &amp; District AC</v>
      </c>
      <c r="D51" s="150" t="str">
        <f>IF(ISNA(VLOOKUP(A51,Declarations!B$6:F$185,4,FALSE)),"",IF(VLOOKUP(A51,Declarations!B$6:F$185,4,FALSE)="","",VLOOKUP(A51,Declarations!B$6:F$185,4,FALSE)))</f>
        <v>BOYS</v>
      </c>
      <c r="E51" s="150" t="str">
        <f>IF(ISNA(VLOOKUP(A51,Declarations!B$6:D$185,3,FALSE)),"",IF(VLOOKUP(A51,Declarations!B$6:D$185,3,FALSE)="","",VLOOKUP(A51,Declarations!B$6:D$185,3,FALSE)))</f>
        <v>U12</v>
      </c>
      <c r="F51" s="49" t="str">
        <f>IF(B51="","",IF(ISNA(VLOOKUP(A51,'75m'!F$5:G$302,2,FALSE)),"",VLOOKUP(A51,'75m'!F$5:G$302,2,FALSE)))</f>
        <v/>
      </c>
      <c r="G51" s="49">
        <f>IF(B51="",0,IF(ISNA(VLOOKUP(A51,'75m'!F$5:J$302,5,FALSE)),0,VLOOKUP(A51,'75m'!F$5:J$302,5,FALSE)))</f>
        <v>0</v>
      </c>
      <c r="H51" s="49" t="str">
        <f>IF(B51="","",IF(ISNA(VLOOKUP(A51,'75m'!F$5:K$302,6,FALSE)),"",VLOOKUP(A51,'75m'!F$5:K$302,6,FALSE)))</f>
        <v/>
      </c>
      <c r="I51" s="51">
        <f>IF(B51="",0,IF(ISNA(VLOOKUP(A51,'600m'!F$5:J$302,2,FALSE)),0,VLOOKUP(A51,'600m'!F$5:J$302,2,FALSE)))</f>
        <v>0</v>
      </c>
      <c r="J51" s="49">
        <f>IF(B51="",0,IF(ISNA(VLOOKUP(A51,'600m'!F$5:J$302,5,FALSE)),0,VLOOKUP(A51,'600m'!F$5:J$302,5,FALSE)))</f>
        <v>0</v>
      </c>
      <c r="K51" s="49" t="str">
        <f>IF(B51="","",IF(ISNA(VLOOKUP(A51,'600m'!F$5:K$302,6,FALSE)),"",VLOOKUP(A51,'600m'!F$5:K$302,6,FALSE)))</f>
        <v/>
      </c>
      <c r="L51" s="49" t="str">
        <f>IF(B51="","",IF(ISNA(VLOOKUP(A51,LongJump!F$5:G$302,2,FALSE)),"",VLOOKUP(A51,LongJump!F$5:G$302,2,FALSE)))</f>
        <v/>
      </c>
      <c r="M51" s="49">
        <f>IF(B51="",0,IF(ISNA(VLOOKUP(A51,LongJump!F$5:J$302,5,FALSE)),0,VLOOKUP(A51,LongJump!F$5:J$302,5,FALSE)))</f>
        <v>0</v>
      </c>
      <c r="N51" s="49">
        <f>IF(B51="",0,IF(ISNA(VLOOKUP(A51,LongJump!F$5:K$302,6,FALSE)),0,VLOOKUP(A51,LongJump!F$5:K$302,6,FALSE)))</f>
        <v>0</v>
      </c>
      <c r="O51" s="49" t="str">
        <f>IF(B51="","",IF(ISNA(VLOOKUP(A51,Vortex!F$5:J$302,2,FALSE)),"",VLOOKUP(A51,Vortex!F$5:J$302,2,FALSE)))</f>
        <v/>
      </c>
      <c r="P51" s="49">
        <f>IF(B51="",0,IF(ISNA(VLOOKUP(A51,Vortex!F$5:J$302,5,FALSE)),0,VLOOKUP(A51,Vortex!F$5:J$302,5,FALSE)))</f>
        <v>0</v>
      </c>
      <c r="Q51" s="49">
        <f t="shared" si="4"/>
        <v>0</v>
      </c>
      <c r="R51" s="49" t="str">
        <f t="shared" si="5"/>
        <v/>
      </c>
      <c r="S51" s="49" t="str">
        <f t="shared" si="6"/>
        <v/>
      </c>
      <c r="T51" s="4"/>
      <c r="U51" s="4"/>
      <c r="V51" s="4"/>
      <c r="X51" s="247"/>
      <c r="Y51" s="247"/>
      <c r="Z51" s="247"/>
      <c r="AA51" s="247"/>
      <c r="AB51" s="247"/>
      <c r="AC51" s="247"/>
      <c r="AD51" s="247"/>
      <c r="AE51" s="247"/>
      <c r="AF51" s="247"/>
      <c r="AG51" s="247"/>
      <c r="AH51" s="247"/>
      <c r="AI51" s="279"/>
      <c r="AJ51"/>
    </row>
    <row r="52" spans="1:39" ht="13.95" customHeight="1">
      <c r="A52" s="49">
        <f>IF(Declarations!B25=0,"",Declarations!B25)</f>
        <v>20</v>
      </c>
      <c r="B52" s="150" t="str">
        <f>IF(ISNA(VLOOKUP(A52,Declarations!B$6:C$185,2,FALSE)),"",IF(VLOOKUP(A52,Declarations!B$6:C$185,2,FALSE)="","",VLOOKUP(A52,Declarations!B$6:C$185,2,FALSE)))</f>
        <v/>
      </c>
      <c r="C52" s="150" t="str">
        <f>IF(ISNA(VLOOKUP(A52,Declarations!B$6:F$185,5,FALSE)),"",IF(VLOOKUP(A52,Declarations!B$6:F$185,5,FALSE)="","",VLOOKUP(A52,Declarations!B$6:F$185,5,FALSE)))</f>
        <v>Camberley &amp; District AC</v>
      </c>
      <c r="D52" s="150" t="str">
        <f>IF(ISNA(VLOOKUP(A52,Declarations!B$6:F$185,4,FALSE)),"",IF(VLOOKUP(A52,Declarations!B$6:F$185,4,FALSE)="","",VLOOKUP(A52,Declarations!B$6:F$185,4,FALSE)))</f>
        <v>BOYS</v>
      </c>
      <c r="E52" s="150" t="str">
        <f>IF(ISNA(VLOOKUP(A52,Declarations!B$6:D$185,3,FALSE)),"",IF(VLOOKUP(A52,Declarations!B$6:D$185,3,FALSE)="","",VLOOKUP(A52,Declarations!B$6:D$185,3,FALSE)))</f>
        <v>U12</v>
      </c>
      <c r="F52" s="49" t="str">
        <f>IF(B52="","",IF(ISNA(VLOOKUP(A52,'75m'!F$5:G$302,2,FALSE)),"",VLOOKUP(A52,'75m'!F$5:G$302,2,FALSE)))</f>
        <v/>
      </c>
      <c r="G52" s="49">
        <f>IF(B52="",0,IF(ISNA(VLOOKUP(A52,'75m'!F$5:J$302,5,FALSE)),0,VLOOKUP(A52,'75m'!F$5:J$302,5,FALSE)))</f>
        <v>0</v>
      </c>
      <c r="H52" s="49" t="str">
        <f>IF(B52="","",IF(ISNA(VLOOKUP(A52,'75m'!F$5:K$302,6,FALSE)),"",VLOOKUP(A52,'75m'!F$5:K$302,6,FALSE)))</f>
        <v/>
      </c>
      <c r="I52" s="51">
        <f>IF(B52="",0,IF(ISNA(VLOOKUP(A52,'600m'!F$5:J$302,2,FALSE)),0,VLOOKUP(A52,'600m'!F$5:J$302,2,FALSE)))</f>
        <v>0</v>
      </c>
      <c r="J52" s="49">
        <f>IF(B52="",0,IF(ISNA(VLOOKUP(A52,'600m'!F$5:J$302,5,FALSE)),0,VLOOKUP(A52,'600m'!F$5:J$302,5,FALSE)))</f>
        <v>0</v>
      </c>
      <c r="K52" s="49" t="str">
        <f>IF(B52="","",IF(ISNA(VLOOKUP(A52,'600m'!F$5:K$302,6,FALSE)),"",VLOOKUP(A52,'600m'!F$5:K$302,6,FALSE)))</f>
        <v/>
      </c>
      <c r="L52" s="49" t="str">
        <f>IF(B52="","",IF(ISNA(VLOOKUP(A52,LongJump!F$5:G$302,2,FALSE)),"",VLOOKUP(A52,LongJump!F$5:G$302,2,FALSE)))</f>
        <v/>
      </c>
      <c r="M52" s="49">
        <f>IF(B52="",0,IF(ISNA(VLOOKUP(A52,LongJump!F$5:J$302,5,FALSE)),0,VLOOKUP(A52,LongJump!F$5:J$302,5,FALSE)))</f>
        <v>0</v>
      </c>
      <c r="N52" s="49">
        <f>IF(B52="",0,IF(ISNA(VLOOKUP(A52,LongJump!F$5:K$302,6,FALSE)),0,VLOOKUP(A52,LongJump!F$5:K$302,6,FALSE)))</f>
        <v>0</v>
      </c>
      <c r="O52" s="49" t="str">
        <f>IF(B52="","",IF(ISNA(VLOOKUP(A52,Vortex!F$5:J$302,2,FALSE)),"",VLOOKUP(A52,Vortex!F$5:J$302,2,FALSE)))</f>
        <v/>
      </c>
      <c r="P52" s="49">
        <f>IF(B52="",0,IF(ISNA(VLOOKUP(A52,Vortex!F$5:J$302,5,FALSE)),0,VLOOKUP(A52,Vortex!F$5:J$302,5,FALSE)))</f>
        <v>0</v>
      </c>
      <c r="Q52" s="49">
        <f t="shared" si="4"/>
        <v>0</v>
      </c>
      <c r="R52" s="49" t="str">
        <f t="shared" si="5"/>
        <v/>
      </c>
      <c r="S52" s="49" t="str">
        <f t="shared" si="6"/>
        <v/>
      </c>
      <c r="T52" s="4"/>
      <c r="U52" s="4"/>
      <c r="V52" s="4"/>
      <c r="X52" s="247"/>
      <c r="Y52" s="247"/>
      <c r="Z52" s="247"/>
      <c r="AA52" s="247"/>
      <c r="AB52" s="247"/>
      <c r="AC52" s="247"/>
      <c r="AD52" s="247"/>
      <c r="AE52" s="247"/>
      <c r="AF52" s="247"/>
      <c r="AG52" s="247"/>
      <c r="AH52" s="247"/>
      <c r="AI52" s="279"/>
      <c r="AJ52"/>
    </row>
    <row r="53" spans="1:39" ht="13.95" customHeight="1">
      <c r="A53" s="49">
        <f>IF(Declarations!B26=0,"",Declarations!B26)</f>
        <v>21</v>
      </c>
      <c r="B53" s="150" t="str">
        <f>IF(ISNA(VLOOKUP(A53,Declarations!B$6:C$185,2,FALSE)),"",IF(VLOOKUP(A53,Declarations!B$6:C$185,2,FALSE)="","",VLOOKUP(A53,Declarations!B$6:C$185,2,FALSE)))</f>
        <v>ELISE ABDELLI</v>
      </c>
      <c r="C53" s="150" t="str">
        <f>IF(ISNA(VLOOKUP(A53,Declarations!B$6:F$185,5,FALSE)),"",IF(VLOOKUP(A53,Declarations!B$6:F$185,5,FALSE)="","",VLOOKUP(A53,Declarations!B$6:F$185,5,FALSE)))</f>
        <v>Woking AC</v>
      </c>
      <c r="D53" s="150" t="str">
        <f>IF(ISNA(VLOOKUP(A53,Declarations!B$6:F$185,4,FALSE)),"",IF(VLOOKUP(A53,Declarations!B$6:F$185,4,FALSE)="","",VLOOKUP(A53,Declarations!B$6:F$185,4,FALSE)))</f>
        <v>GIRLS</v>
      </c>
      <c r="E53" s="150" t="str">
        <f>IF(ISNA(VLOOKUP(A53,Declarations!B$6:D$185,3,FALSE)),"",IF(VLOOKUP(A53,Declarations!B$6:D$185,3,FALSE)="","",VLOOKUP(A53,Declarations!B$6:D$185,3,FALSE)))</f>
        <v>U12</v>
      </c>
      <c r="F53" s="49">
        <f>IF(B53="","",IF(ISNA(VLOOKUP(A53,'75m'!F$5:G$302,2,FALSE)),"",VLOOKUP(A53,'75m'!F$5:G$302,2,FALSE)))</f>
        <v>11.8</v>
      </c>
      <c r="G53" s="49">
        <f>IF(B53="",0,IF(ISNA(VLOOKUP(A53,'75m'!F$5:J$302,5,FALSE)),0,VLOOKUP(A53,'75m'!F$5:J$302,5,FALSE)))</f>
        <v>52</v>
      </c>
      <c r="H53" s="49" t="str">
        <f>IF(B53="","",IF(ISNA(VLOOKUP(A53,'75m'!F$5:K$302,6,FALSE)),"",VLOOKUP(A53,'75m'!F$5:K$302,6,FALSE)))</f>
        <v>PB8</v>
      </c>
      <c r="I53" s="51">
        <f>IF(B53="",0,IF(ISNA(VLOOKUP(A53,'600m'!F$5:J$302,2,FALSE)),0,VLOOKUP(A53,'600m'!F$5:J$302,2,FALSE)))</f>
        <v>1.4826388888888888E-3</v>
      </c>
      <c r="J53" s="49">
        <f>IF(B53="",0,IF(ISNA(VLOOKUP(A53,'600m'!F$5:J$302,5,FALSE)),0,VLOOKUP(A53,'600m'!F$5:J$302,5,FALSE)))</f>
        <v>61</v>
      </c>
      <c r="K53" s="49" t="str">
        <f>IF(B53="","",IF(ISNA(VLOOKUP(A53,'600m'!F$5:K$302,6,FALSE)),"",VLOOKUP(A53,'600m'!F$5:K$302,6,FALSE)))</f>
        <v>PB4</v>
      </c>
      <c r="L53" s="49">
        <f>IF(B53="","",IF(ISNA(VLOOKUP(A53,LongJump!F$5:G$302,2,FALSE)),"",VLOOKUP(A53,LongJump!F$5:G$302,2,FALSE)))</f>
        <v>3.79</v>
      </c>
      <c r="M53" s="49">
        <f>IF(B53="",0,IF(ISNA(VLOOKUP(A53,LongJump!F$5:J$302,5,FALSE)),0,VLOOKUP(A53,LongJump!F$5:J$302,5,FALSE)))</f>
        <v>63</v>
      </c>
      <c r="N53" s="49" t="str">
        <f>IF(B53="",0,IF(ISNA(VLOOKUP(A53,LongJump!F$5:K$302,6,FALSE)),0,VLOOKUP(A53,LongJump!F$5:K$302,6,FALSE)))</f>
        <v>PB9</v>
      </c>
      <c r="O53" s="49">
        <f>IF(B53="","",IF(ISNA(VLOOKUP(A53,Vortex!F$5:J$302,2,FALSE)),"",VLOOKUP(A53,Vortex!F$5:J$302,2,FALSE)))</f>
        <v>22.76</v>
      </c>
      <c r="P53" s="49">
        <f>IF(B53="",0,IF(ISNA(VLOOKUP(A53,Vortex!F$5:J$302,5,FALSE)),0,VLOOKUP(A53,Vortex!F$5:J$302,5,FALSE)))</f>
        <v>45</v>
      </c>
      <c r="Q53" s="49">
        <f t="shared" si="4"/>
        <v>221</v>
      </c>
      <c r="R53" s="49">
        <f t="shared" si="5"/>
        <v>2</v>
      </c>
      <c r="S53" s="49">
        <f t="shared" si="6"/>
        <v>5</v>
      </c>
      <c r="T53" s="4"/>
      <c r="U53" s="4"/>
      <c r="V53" s="4"/>
      <c r="X53" s="247"/>
      <c r="Y53" s="247"/>
      <c r="Z53" s="247"/>
      <c r="AA53" s="247"/>
      <c r="AB53" s="247"/>
      <c r="AC53" s="247"/>
      <c r="AD53" s="247"/>
      <c r="AE53" s="247"/>
      <c r="AF53" s="247"/>
      <c r="AG53" s="247"/>
      <c r="AH53" s="247"/>
      <c r="AI53" s="279"/>
      <c r="AJ53"/>
    </row>
    <row r="54" spans="1:39" ht="13.95" customHeight="1">
      <c r="A54" s="49">
        <f>IF(Declarations!B27=0,"",Declarations!B27)</f>
        <v>22</v>
      </c>
      <c r="B54" s="150" t="str">
        <f>IF(ISNA(VLOOKUP(A54,Declarations!B$6:C$185,2,FALSE)),"",IF(VLOOKUP(A54,Declarations!B$6:C$185,2,FALSE)="","",VLOOKUP(A54,Declarations!B$6:C$185,2,FALSE)))</f>
        <v>FRANKIE ICETON</v>
      </c>
      <c r="C54" s="150" t="str">
        <f>IF(ISNA(VLOOKUP(A54,Declarations!B$6:F$185,5,FALSE)),"",IF(VLOOKUP(A54,Declarations!B$6:F$185,5,FALSE)="","",VLOOKUP(A54,Declarations!B$6:F$185,5,FALSE)))</f>
        <v>Woking AC</v>
      </c>
      <c r="D54" s="150" t="str">
        <f>IF(ISNA(VLOOKUP(A54,Declarations!B$6:F$185,4,FALSE)),"",IF(VLOOKUP(A54,Declarations!B$6:F$185,4,FALSE)="","",VLOOKUP(A54,Declarations!B$6:F$185,4,FALSE)))</f>
        <v>GIRLS</v>
      </c>
      <c r="E54" s="150" t="str">
        <f>IF(ISNA(VLOOKUP(A54,Declarations!B$6:D$185,3,FALSE)),"",IF(VLOOKUP(A54,Declarations!B$6:D$185,3,FALSE)="","",VLOOKUP(A54,Declarations!B$6:D$185,3,FALSE)))</f>
        <v>U12</v>
      </c>
      <c r="F54" s="49">
        <f>IF(B54="","",IF(ISNA(VLOOKUP(A54,'75m'!F$5:G$302,2,FALSE)),"",VLOOKUP(A54,'75m'!F$5:G$302,2,FALSE)))</f>
        <v>12.6</v>
      </c>
      <c r="G54" s="49">
        <f>IF(B54="",0,IF(ISNA(VLOOKUP(A54,'75m'!F$5:J$302,5,FALSE)),0,VLOOKUP(A54,'75m'!F$5:J$302,5,FALSE)))</f>
        <v>44</v>
      </c>
      <c r="H54" s="49" t="str">
        <f>IF(B54="","",IF(ISNA(VLOOKUP(A54,'75m'!F$5:K$302,6,FALSE)),"",VLOOKUP(A54,'75m'!F$5:K$302,6,FALSE)))</f>
        <v>PB6</v>
      </c>
      <c r="I54" s="51">
        <f>IF(B54="",0,IF(ISNA(VLOOKUP(A54,'600m'!F$5:J$302,2,FALSE)),0,VLOOKUP(A54,'600m'!F$5:J$302,2,FALSE)))</f>
        <v>1.8333333333333333E-3</v>
      </c>
      <c r="J54" s="49">
        <f>IF(B54="",0,IF(ISNA(VLOOKUP(A54,'600m'!F$5:J$302,5,FALSE)),0,VLOOKUP(A54,'600m'!F$5:J$302,5,FALSE)))</f>
        <v>31</v>
      </c>
      <c r="K54" s="49" t="str">
        <f>IF(B54="","",IF(ISNA(VLOOKUP(A54,'600m'!F$5:K$302,6,FALSE)),"",VLOOKUP(A54,'600m'!F$5:K$302,6,FALSE)))</f>
        <v/>
      </c>
      <c r="L54" s="49">
        <f>IF(B54="","",IF(ISNA(VLOOKUP(A54,LongJump!F$5:G$302,2,FALSE)),"",VLOOKUP(A54,LongJump!F$5:G$302,2,FALSE)))</f>
        <v>3.29</v>
      </c>
      <c r="M54" s="49">
        <f>IF(B54="",0,IF(ISNA(VLOOKUP(A54,LongJump!F$5:J$302,5,FALSE)),0,VLOOKUP(A54,LongJump!F$5:J$302,5,FALSE)))</f>
        <v>46</v>
      </c>
      <c r="N54" s="49" t="str">
        <f>IF(B54="",0,IF(ISNA(VLOOKUP(A54,LongJump!F$5:K$302,6,FALSE)),0,VLOOKUP(A54,LongJump!F$5:K$302,6,FALSE)))</f>
        <v>PB7</v>
      </c>
      <c r="O54" s="49">
        <f>IF(B54="","",IF(ISNA(VLOOKUP(A54,Vortex!F$5:J$302,2,FALSE)),"",VLOOKUP(A54,Vortex!F$5:J$302,2,FALSE)))</f>
        <v>21.31</v>
      </c>
      <c r="P54" s="49">
        <f>IF(B54="",0,IF(ISNA(VLOOKUP(A54,Vortex!F$5:J$302,5,FALSE)),0,VLOOKUP(A54,Vortex!F$5:J$302,5,FALSE)))</f>
        <v>42</v>
      </c>
      <c r="Q54" s="49">
        <f t="shared" si="4"/>
        <v>163</v>
      </c>
      <c r="R54" s="49">
        <f t="shared" si="5"/>
        <v>4</v>
      </c>
      <c r="S54" s="49">
        <f t="shared" si="6"/>
        <v>28</v>
      </c>
      <c r="T54" s="4"/>
      <c r="U54" s="4"/>
      <c r="V54" s="4"/>
      <c r="W54" s="1"/>
      <c r="X54" s="247"/>
      <c r="Y54" s="247"/>
      <c r="Z54" s="247"/>
      <c r="AA54" s="247"/>
      <c r="AB54" s="247"/>
      <c r="AC54" s="247"/>
      <c r="AD54" s="247"/>
      <c r="AE54" s="247"/>
      <c r="AF54" s="247"/>
      <c r="AG54" s="247"/>
      <c r="AH54" s="247"/>
      <c r="AI54" s="279"/>
      <c r="AJ54"/>
    </row>
    <row r="55" spans="1:39" ht="13.95" customHeight="1">
      <c r="A55" s="49">
        <f>IF(Declarations!B28=0,"",Declarations!B28)</f>
        <v>23</v>
      </c>
      <c r="B55" s="150" t="str">
        <f>IF(ISNA(VLOOKUP(A55,Declarations!B$6:C$185,2,FALSE)),"",IF(VLOOKUP(A55,Declarations!B$6:C$185,2,FALSE)="","",VLOOKUP(A55,Declarations!B$6:C$185,2,FALSE)))</f>
        <v>ALIYAH KENNAUGH</v>
      </c>
      <c r="C55" s="150" t="str">
        <f>IF(ISNA(VLOOKUP(A55,Declarations!B$6:F$185,5,FALSE)),"",IF(VLOOKUP(A55,Declarations!B$6:F$185,5,FALSE)="","",VLOOKUP(A55,Declarations!B$6:F$185,5,FALSE)))</f>
        <v>Woking AC</v>
      </c>
      <c r="D55" s="150" t="str">
        <f>IF(ISNA(VLOOKUP(A55,Declarations!B$6:F$185,4,FALSE)),"",IF(VLOOKUP(A55,Declarations!B$6:F$185,4,FALSE)="","",VLOOKUP(A55,Declarations!B$6:F$185,4,FALSE)))</f>
        <v>GIRLS</v>
      </c>
      <c r="E55" s="150" t="str">
        <f>IF(ISNA(VLOOKUP(A55,Declarations!B$6:D$185,3,FALSE)),"",IF(VLOOKUP(A55,Declarations!B$6:D$185,3,FALSE)="","",VLOOKUP(A55,Declarations!B$6:D$185,3,FALSE)))</f>
        <v>U12</v>
      </c>
      <c r="F55" s="49">
        <f>IF(B55="","",IF(ISNA(VLOOKUP(A55,'75m'!F$5:G$302,2,FALSE)),"",VLOOKUP(A55,'75m'!F$5:G$302,2,FALSE)))</f>
        <v>12.2</v>
      </c>
      <c r="G55" s="49">
        <f>IF(B55="",0,IF(ISNA(VLOOKUP(A55,'75m'!F$5:J$302,5,FALSE)),0,VLOOKUP(A55,'75m'!F$5:J$302,5,FALSE)))</f>
        <v>48</v>
      </c>
      <c r="H55" s="49" t="str">
        <f>IF(B55="","",IF(ISNA(VLOOKUP(A55,'75m'!F$5:K$302,6,FALSE)),"",VLOOKUP(A55,'75m'!F$5:K$302,6,FALSE)))</f>
        <v>PB7</v>
      </c>
      <c r="I55" s="51">
        <f>IF(B55="",0,IF(ISNA(VLOOKUP(A55,'600m'!F$5:J$302,2,FALSE)),0,VLOOKUP(A55,'600m'!F$5:J$302,2,FALSE)))</f>
        <v>1.5393518518518519E-3</v>
      </c>
      <c r="J55" s="49">
        <f>IF(B55="",0,IF(ISNA(VLOOKUP(A55,'600m'!F$5:J$302,5,FALSE)),0,VLOOKUP(A55,'600m'!F$5:J$302,5,FALSE)))</f>
        <v>57</v>
      </c>
      <c r="K55" s="49" t="str">
        <f>IF(B55="","",IF(ISNA(VLOOKUP(A55,'600m'!F$5:K$302,6,FALSE)),"",VLOOKUP(A55,'600m'!F$5:K$302,6,FALSE)))</f>
        <v>PB3</v>
      </c>
      <c r="L55" s="49">
        <f>IF(B55="","",IF(ISNA(VLOOKUP(A55,LongJump!F$5:G$302,2,FALSE)),"",VLOOKUP(A55,LongJump!F$5:G$302,2,FALSE)))</f>
        <v>3.11</v>
      </c>
      <c r="M55" s="49">
        <f>IF(B55="",0,IF(ISNA(VLOOKUP(A55,LongJump!F$5:J$302,5,FALSE)),0,VLOOKUP(A55,LongJump!F$5:J$302,5,FALSE)))</f>
        <v>40</v>
      </c>
      <c r="N55" s="49" t="str">
        <f>IF(B55="",0,IF(ISNA(VLOOKUP(A55,LongJump!F$5:K$302,6,FALSE)),0,VLOOKUP(A55,LongJump!F$5:K$302,6,FALSE)))</f>
        <v>PB6</v>
      </c>
      <c r="O55" s="49">
        <f>IF(B55="","",IF(ISNA(VLOOKUP(A55,Vortex!F$5:J$302,2,FALSE)),"",VLOOKUP(A55,Vortex!F$5:J$302,2,FALSE)))</f>
        <v>15.48</v>
      </c>
      <c r="P55" s="49">
        <f>IF(B55="",0,IF(ISNA(VLOOKUP(A55,Vortex!F$5:J$302,5,FALSE)),0,VLOOKUP(A55,Vortex!F$5:J$302,5,FALSE)))</f>
        <v>30</v>
      </c>
      <c r="Q55" s="49">
        <f t="shared" si="4"/>
        <v>175</v>
      </c>
      <c r="R55" s="49">
        <f t="shared" si="5"/>
        <v>3</v>
      </c>
      <c r="S55" s="49">
        <f t="shared" si="6"/>
        <v>20</v>
      </c>
      <c r="T55" s="4"/>
      <c r="U55" s="4"/>
      <c r="V55" s="4"/>
      <c r="W55" s="38"/>
      <c r="X55" s="247"/>
      <c r="Y55" s="247"/>
      <c r="Z55" s="247"/>
      <c r="AA55" s="247"/>
      <c r="AB55" s="247"/>
      <c r="AC55" s="247"/>
      <c r="AD55" s="247"/>
      <c r="AE55" s="247"/>
      <c r="AF55" s="247"/>
      <c r="AG55" s="247"/>
      <c r="AH55" s="247"/>
      <c r="AI55" s="279"/>
      <c r="AJ55"/>
    </row>
    <row r="56" spans="1:39" ht="13.95" customHeight="1">
      <c r="A56" s="49">
        <f>IF(Declarations!B29=0,"",Declarations!B29)</f>
        <v>24</v>
      </c>
      <c r="B56" s="150" t="str">
        <f>IF(ISNA(VLOOKUP(A56,Declarations!B$6:C$185,2,FALSE)),"",IF(VLOOKUP(A56,Declarations!B$6:C$185,2,FALSE)="","",VLOOKUP(A56,Declarations!B$6:C$185,2,FALSE)))</f>
        <v>ELIN PERERA</v>
      </c>
      <c r="C56" s="150" t="str">
        <f>IF(ISNA(VLOOKUP(A56,Declarations!B$6:F$185,5,FALSE)),"",IF(VLOOKUP(A56,Declarations!B$6:F$185,5,FALSE)="","",VLOOKUP(A56,Declarations!B$6:F$185,5,FALSE)))</f>
        <v>Woking AC</v>
      </c>
      <c r="D56" s="150" t="str">
        <f>IF(ISNA(VLOOKUP(A56,Declarations!B$6:F$185,4,FALSE)),"",IF(VLOOKUP(A56,Declarations!B$6:F$185,4,FALSE)="","",VLOOKUP(A56,Declarations!B$6:F$185,4,FALSE)))</f>
        <v>GIRLS</v>
      </c>
      <c r="E56" s="150" t="str">
        <f>IF(ISNA(VLOOKUP(A56,Declarations!B$6:D$185,3,FALSE)),"",IF(VLOOKUP(A56,Declarations!B$6:D$185,3,FALSE)="","",VLOOKUP(A56,Declarations!B$6:D$185,3,FALSE)))</f>
        <v>U12</v>
      </c>
      <c r="F56" s="49">
        <f>IF(B56="","",IF(ISNA(VLOOKUP(A56,'75m'!F$5:G$302,2,FALSE)),"",VLOOKUP(A56,'75m'!F$5:G$302,2,FALSE)))</f>
        <v>12.4</v>
      </c>
      <c r="G56" s="49">
        <f>IF(B56="",0,IF(ISNA(VLOOKUP(A56,'75m'!F$5:J$302,5,FALSE)),0,VLOOKUP(A56,'75m'!F$5:J$302,5,FALSE)))</f>
        <v>46</v>
      </c>
      <c r="H56" s="49" t="str">
        <f>IF(B56="","",IF(ISNA(VLOOKUP(A56,'75m'!F$5:K$302,6,FALSE)),"",VLOOKUP(A56,'75m'!F$5:K$302,6,FALSE)))</f>
        <v>PB7</v>
      </c>
      <c r="I56" s="51">
        <f>IF(B56="",0,IF(ISNA(VLOOKUP(A56,'600m'!F$5:J$302,2,FALSE)),0,VLOOKUP(A56,'600m'!F$5:J$302,2,FALSE)))</f>
        <v>1.5208333333333335E-3</v>
      </c>
      <c r="J56" s="49">
        <f>IF(B56="",0,IF(ISNA(VLOOKUP(A56,'600m'!F$5:J$302,5,FALSE)),0,VLOOKUP(A56,'600m'!F$5:J$302,5,FALSE)))</f>
        <v>58</v>
      </c>
      <c r="K56" s="49" t="str">
        <f>IF(B56="","",IF(ISNA(VLOOKUP(A56,'600m'!F$5:K$302,6,FALSE)),"",VLOOKUP(A56,'600m'!F$5:K$302,6,FALSE)))</f>
        <v>PB3</v>
      </c>
      <c r="L56" s="49" t="str">
        <f>IF(B56="","",IF(ISNA(VLOOKUP(A56,LongJump!F$5:G$302,2,FALSE)),"",VLOOKUP(A56,LongJump!F$5:G$302,2,FALSE)))</f>
        <v/>
      </c>
      <c r="M56" s="49">
        <f>IF(B56="",0,IF(ISNA(VLOOKUP(A56,LongJump!F$5:J$302,5,FALSE)),0,VLOOKUP(A56,LongJump!F$5:J$302,5,FALSE)))</f>
        <v>0</v>
      </c>
      <c r="N56" s="49">
        <f>IF(B56="",0,IF(ISNA(VLOOKUP(A56,LongJump!F$5:K$302,6,FALSE)),0,VLOOKUP(A56,LongJump!F$5:K$302,6,FALSE)))</f>
        <v>0</v>
      </c>
      <c r="O56" s="49">
        <f>IF(B56="","",IF(ISNA(VLOOKUP(A56,Vortex!F$5:J$302,2,FALSE)),"",VLOOKUP(A56,Vortex!F$5:J$302,2,FALSE)))</f>
        <v>16.940000000000001</v>
      </c>
      <c r="P56" s="49">
        <f>IF(B56="",0,IF(ISNA(VLOOKUP(A56,Vortex!F$5:J$302,5,FALSE)),0,VLOOKUP(A56,Vortex!F$5:J$302,5,FALSE)))</f>
        <v>33</v>
      </c>
      <c r="Q56" s="49">
        <f t="shared" si="4"/>
        <v>137</v>
      </c>
      <c r="R56" s="49">
        <f t="shared" si="5"/>
        <v>6</v>
      </c>
      <c r="S56" s="49">
        <f t="shared" si="6"/>
        <v>41</v>
      </c>
      <c r="T56" s="4"/>
      <c r="U56" s="4"/>
      <c r="V56" s="4"/>
      <c r="W56" s="38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79"/>
      <c r="AJ56"/>
    </row>
    <row r="57" spans="1:39" ht="13.95" customHeight="1">
      <c r="A57" s="49">
        <f>IF(Declarations!B30=0,"",Declarations!B30)</f>
        <v>25</v>
      </c>
      <c r="B57" s="150" t="str">
        <f>IF(ISNA(VLOOKUP(A57,Declarations!B$6:C$185,2,FALSE)),"",IF(VLOOKUP(A57,Declarations!B$6:C$185,2,FALSE)="","",VLOOKUP(A57,Declarations!B$6:C$185,2,FALSE)))</f>
        <v>LILY COPP</v>
      </c>
      <c r="C57" s="150" t="str">
        <f>IF(ISNA(VLOOKUP(A57,Declarations!B$6:F$185,5,FALSE)),"",IF(VLOOKUP(A57,Declarations!B$6:F$185,5,FALSE)="","",VLOOKUP(A57,Declarations!B$6:F$185,5,FALSE)))</f>
        <v>Woking AC</v>
      </c>
      <c r="D57" s="150" t="str">
        <f>IF(ISNA(VLOOKUP(A57,Declarations!B$6:F$185,4,FALSE)),"",IF(VLOOKUP(A57,Declarations!B$6:F$185,4,FALSE)="","",VLOOKUP(A57,Declarations!B$6:F$185,4,FALSE)))</f>
        <v>GIRLS</v>
      </c>
      <c r="E57" s="150" t="str">
        <f>IF(ISNA(VLOOKUP(A57,Declarations!B$6:D$185,3,FALSE)),"",IF(VLOOKUP(A57,Declarations!B$6:D$185,3,FALSE)="","",VLOOKUP(A57,Declarations!B$6:D$185,3,FALSE)))</f>
        <v>U12</v>
      </c>
      <c r="F57" s="49">
        <f>IF(B57="","",IF(ISNA(VLOOKUP(A57,'75m'!F$5:G$302,2,FALSE)),"",VLOOKUP(A57,'75m'!F$5:G$302,2,FALSE)))</f>
        <v>13.5</v>
      </c>
      <c r="G57" s="49">
        <f>IF(B57="",0,IF(ISNA(VLOOKUP(A57,'75m'!F$5:J$302,5,FALSE)),0,VLOOKUP(A57,'75m'!F$5:J$302,5,FALSE)))</f>
        <v>35</v>
      </c>
      <c r="H57" s="49" t="str">
        <f>IF(B57="","",IF(ISNA(VLOOKUP(A57,'75m'!F$5:K$302,6,FALSE)),"",VLOOKUP(A57,'75m'!F$5:K$302,6,FALSE)))</f>
        <v>PB5</v>
      </c>
      <c r="I57" s="51">
        <f>IF(B57="",0,IF(ISNA(VLOOKUP(A57,'600m'!F$5:J$302,2,FALSE)),0,VLOOKUP(A57,'600m'!F$5:J$302,2,FALSE)))</f>
        <v>1.6064814814814815E-3</v>
      </c>
      <c r="J57" s="49">
        <f>IF(B57="",0,IF(ISNA(VLOOKUP(A57,'600m'!F$5:J$302,5,FALSE)),0,VLOOKUP(A57,'600m'!F$5:J$302,5,FALSE)))</f>
        <v>51</v>
      </c>
      <c r="K57" s="49" t="str">
        <f>IF(B57="","",IF(ISNA(VLOOKUP(A57,'600m'!F$5:K$302,6,FALSE)),"",VLOOKUP(A57,'600m'!F$5:K$302,6,FALSE)))</f>
        <v>PB2</v>
      </c>
      <c r="L57" s="49">
        <f>IF(B57="","",IF(ISNA(VLOOKUP(A57,LongJump!F$5:G$302,2,FALSE)),"",VLOOKUP(A57,LongJump!F$5:G$302,2,FALSE)))</f>
        <v>2.38</v>
      </c>
      <c r="M57" s="49">
        <f>IF(B57="",0,IF(ISNA(VLOOKUP(A57,LongJump!F$5:J$302,5,FALSE)),0,VLOOKUP(A57,LongJump!F$5:J$302,5,FALSE)))</f>
        <v>16</v>
      </c>
      <c r="N57" s="49" t="str">
        <f>IF(B57="",0,IF(ISNA(VLOOKUP(A57,LongJump!F$5:K$302,6,FALSE)),0,VLOOKUP(A57,LongJump!F$5:K$302,6,FALSE)))</f>
        <v>PB3</v>
      </c>
      <c r="O57" s="49">
        <f>IF(B57="","",IF(ISNA(VLOOKUP(A57,Vortex!F$5:J$302,2,FALSE)),"",VLOOKUP(A57,Vortex!F$5:J$302,2,FALSE)))</f>
        <v>12.8</v>
      </c>
      <c r="P57" s="49">
        <f>IF(B57="",0,IF(ISNA(VLOOKUP(A57,Vortex!F$5:J$302,5,FALSE)),0,VLOOKUP(A57,Vortex!F$5:J$302,5,FALSE)))</f>
        <v>25</v>
      </c>
      <c r="Q57" s="49">
        <f t="shared" si="4"/>
        <v>127</v>
      </c>
      <c r="R57" s="49">
        <f t="shared" si="5"/>
        <v>7</v>
      </c>
      <c r="S57" s="49">
        <f t="shared" si="6"/>
        <v>42</v>
      </c>
      <c r="T57" s="4"/>
      <c r="U57" s="4"/>
      <c r="V57" s="4"/>
      <c r="W57" s="38"/>
      <c r="X57" s="247"/>
      <c r="Y57" s="247"/>
      <c r="Z57" s="247"/>
      <c r="AA57" s="247"/>
      <c r="AB57" s="247"/>
      <c r="AC57" s="247"/>
      <c r="AD57" s="247"/>
      <c r="AE57" s="247"/>
      <c r="AF57" s="247"/>
      <c r="AG57" s="247"/>
      <c r="AH57" s="247"/>
      <c r="AI57" s="279"/>
      <c r="AJ57"/>
    </row>
    <row r="58" spans="1:39" ht="13.95" customHeight="1">
      <c r="A58" s="49">
        <f>IF(Declarations!B31=0,"",Declarations!B31)</f>
        <v>26</v>
      </c>
      <c r="B58" s="150" t="str">
        <f>IF(ISNA(VLOOKUP(A58,Declarations!B$6:C$185,2,FALSE)),"",IF(VLOOKUP(A58,Declarations!B$6:C$185,2,FALSE)="","",VLOOKUP(A58,Declarations!B$6:C$185,2,FALSE)))</f>
        <v>EDEN WECKI</v>
      </c>
      <c r="C58" s="150" t="str">
        <f>IF(ISNA(VLOOKUP(A58,Declarations!B$6:F$185,5,FALSE)),"",IF(VLOOKUP(A58,Declarations!B$6:F$185,5,FALSE)="","",VLOOKUP(A58,Declarations!B$6:F$185,5,FALSE)))</f>
        <v>Woking AC</v>
      </c>
      <c r="D58" s="150" t="str">
        <f>IF(ISNA(VLOOKUP(A58,Declarations!B$6:F$185,4,FALSE)),"",IF(VLOOKUP(A58,Declarations!B$6:F$185,4,FALSE)="","",VLOOKUP(A58,Declarations!B$6:F$185,4,FALSE)))</f>
        <v>GIRLS</v>
      </c>
      <c r="E58" s="150" t="str">
        <f>IF(ISNA(VLOOKUP(A58,Declarations!B$6:D$185,3,FALSE)),"",IF(VLOOKUP(A58,Declarations!B$6:D$185,3,FALSE)="","",VLOOKUP(A58,Declarations!B$6:D$185,3,FALSE)))</f>
        <v>U12</v>
      </c>
      <c r="F58" s="49">
        <f>IF(B58="","",IF(ISNA(VLOOKUP(A58,'75m'!F$5:G$302,2,FALSE)),"",VLOOKUP(A58,'75m'!F$5:G$302,2,FALSE)))</f>
        <v>13.3</v>
      </c>
      <c r="G58" s="49">
        <f>IF(B58="",0,IF(ISNA(VLOOKUP(A58,'75m'!F$5:J$302,5,FALSE)),0,VLOOKUP(A58,'75m'!F$5:J$302,5,FALSE)))</f>
        <v>37</v>
      </c>
      <c r="H58" s="49" t="str">
        <f>IF(B58="","",IF(ISNA(VLOOKUP(A58,'75m'!F$5:K$302,6,FALSE)),"",VLOOKUP(A58,'75m'!F$5:K$302,6,FALSE)))</f>
        <v>PB5</v>
      </c>
      <c r="I58" s="51">
        <f>IF(B58="",0,IF(ISNA(VLOOKUP(A58,'600m'!F$5:J$302,2,FALSE)),0,VLOOKUP(A58,'600m'!F$5:J$302,2,FALSE)))</f>
        <v>1.5416666666666664E-3</v>
      </c>
      <c r="J58" s="49">
        <f>IF(B58="",0,IF(ISNA(VLOOKUP(A58,'600m'!F$5:J$302,5,FALSE)),0,VLOOKUP(A58,'600m'!F$5:J$302,5,FALSE)))</f>
        <v>56</v>
      </c>
      <c r="K58" s="49" t="str">
        <f>IF(B58="","",IF(ISNA(VLOOKUP(A58,'600m'!F$5:K$302,6,FALSE)),"",VLOOKUP(A58,'600m'!F$5:K$302,6,FALSE)))</f>
        <v>PB3</v>
      </c>
      <c r="L58" s="49">
        <f>IF(B58="","",IF(ISNA(VLOOKUP(A58,LongJump!F$5:G$302,2,FALSE)),"",VLOOKUP(A58,LongJump!F$5:G$302,2,FALSE)))</f>
        <v>2.66</v>
      </c>
      <c r="M58" s="49">
        <f>IF(B58="",0,IF(ISNA(VLOOKUP(A58,LongJump!F$5:J$302,5,FALSE)),0,VLOOKUP(A58,LongJump!F$5:J$302,5,FALSE)))</f>
        <v>25</v>
      </c>
      <c r="N58" s="49" t="str">
        <f>IF(B58="",0,IF(ISNA(VLOOKUP(A58,LongJump!F$5:K$302,6,FALSE)),0,VLOOKUP(A58,LongJump!F$5:K$302,6,FALSE)))</f>
        <v>PB4</v>
      </c>
      <c r="O58" s="49">
        <f>IF(B58="","",IF(ISNA(VLOOKUP(A58,Vortex!F$5:J$302,2,FALSE)),"",VLOOKUP(A58,Vortex!F$5:J$302,2,FALSE)))</f>
        <v>13.6</v>
      </c>
      <c r="P58" s="49">
        <f>IF(B58="",0,IF(ISNA(VLOOKUP(A58,Vortex!F$5:J$302,5,FALSE)),0,VLOOKUP(A58,Vortex!F$5:J$302,5,FALSE)))</f>
        <v>27</v>
      </c>
      <c r="Q58" s="49">
        <f t="shared" si="4"/>
        <v>145</v>
      </c>
      <c r="R58" s="49">
        <f t="shared" si="5"/>
        <v>5</v>
      </c>
      <c r="S58" s="49">
        <f t="shared" si="6"/>
        <v>38</v>
      </c>
      <c r="T58" s="4"/>
      <c r="U58" s="4"/>
      <c r="V58" s="4"/>
      <c r="W58" s="1"/>
      <c r="X58" s="247"/>
      <c r="Y58" s="247"/>
      <c r="Z58" s="247"/>
      <c r="AA58" s="247"/>
      <c r="AB58" s="247"/>
      <c r="AC58" s="247"/>
      <c r="AD58" s="247"/>
      <c r="AE58" s="247"/>
      <c r="AF58" s="247"/>
      <c r="AG58" s="247"/>
      <c r="AH58" s="247"/>
      <c r="AI58" s="279"/>
      <c r="AJ58"/>
    </row>
    <row r="59" spans="1:39" ht="13.95" customHeight="1">
      <c r="A59" s="49">
        <f>IF(Declarations!B32=0,"",Declarations!B32)</f>
        <v>27</v>
      </c>
      <c r="B59" s="150" t="str">
        <f>IF(ISNA(VLOOKUP(A59,Declarations!B$6:C$185,2,FALSE)),"",IF(VLOOKUP(A59,Declarations!B$6:C$185,2,FALSE)="","",VLOOKUP(A59,Declarations!B$6:C$185,2,FALSE)))</f>
        <v>SOPHIE GBAJOBI</v>
      </c>
      <c r="C59" s="150" t="str">
        <f>IF(ISNA(VLOOKUP(A59,Declarations!B$6:F$185,5,FALSE)),"",IF(VLOOKUP(A59,Declarations!B$6:F$185,5,FALSE)="","",VLOOKUP(A59,Declarations!B$6:F$185,5,FALSE)))</f>
        <v>Woking AC</v>
      </c>
      <c r="D59" s="150" t="str">
        <f>IF(ISNA(VLOOKUP(A59,Declarations!B$6:F$185,4,FALSE)),"",IF(VLOOKUP(A59,Declarations!B$6:F$185,4,FALSE)="","",VLOOKUP(A59,Declarations!B$6:F$185,4,FALSE)))</f>
        <v>GIRLS</v>
      </c>
      <c r="E59" s="150" t="str">
        <f>IF(ISNA(VLOOKUP(A59,Declarations!B$6:D$185,3,FALSE)),"",IF(VLOOKUP(A59,Declarations!B$6:D$185,3,FALSE)="","",VLOOKUP(A59,Declarations!B$6:D$185,3,FALSE)))</f>
        <v>U12</v>
      </c>
      <c r="F59" s="49">
        <f>IF(B59="","",IF(ISNA(VLOOKUP(A59,'75m'!F$5:G$302,2,FALSE)),"",VLOOKUP(A59,'75m'!F$5:G$302,2,FALSE)))</f>
        <v>10.7</v>
      </c>
      <c r="G59" s="49">
        <f>IF(B59="",0,IF(ISNA(VLOOKUP(A59,'75m'!F$5:J$302,5,FALSE)),0,VLOOKUP(A59,'75m'!F$5:J$302,5,FALSE)))</f>
        <v>63</v>
      </c>
      <c r="H59" s="49" t="str">
        <f>IF(B59="","",IF(ISNA(VLOOKUP(A59,'75m'!F$5:K$302,6,FALSE)),"",VLOOKUP(A59,'75m'!F$5:K$302,6,FALSE)))</f>
        <v>PB9</v>
      </c>
      <c r="I59" s="51">
        <f>IF(B59="",0,IF(ISNA(VLOOKUP(A59,'600m'!F$5:J$302,2,FALSE)),0,VLOOKUP(A59,'600m'!F$5:J$302,2,FALSE)))</f>
        <v>1.4861111111111112E-3</v>
      </c>
      <c r="J59" s="49">
        <f>IF(B59="",0,IF(ISNA(VLOOKUP(A59,'600m'!F$5:J$302,5,FALSE)),0,VLOOKUP(A59,'600m'!F$5:J$302,5,FALSE)))</f>
        <v>61</v>
      </c>
      <c r="K59" s="49" t="str">
        <f>IF(B59="","",IF(ISNA(VLOOKUP(A59,'600m'!F$5:K$302,6,FALSE)),"",VLOOKUP(A59,'600m'!F$5:K$302,6,FALSE)))</f>
        <v>PB4</v>
      </c>
      <c r="L59" s="49">
        <f>IF(B59="","",IF(ISNA(VLOOKUP(A59,LongJump!F$5:G$302,2,FALSE)),"",VLOOKUP(A59,LongJump!F$5:G$302,2,FALSE)))</f>
        <v>3.45</v>
      </c>
      <c r="M59" s="49">
        <f>IF(B59="",0,IF(ISNA(VLOOKUP(A59,LongJump!F$5:J$302,5,FALSE)),0,VLOOKUP(A59,LongJump!F$5:J$302,5,FALSE)))</f>
        <v>51</v>
      </c>
      <c r="N59" s="49" t="str">
        <f>IF(B59="",0,IF(ISNA(VLOOKUP(A59,LongJump!F$5:K$302,6,FALSE)),0,VLOOKUP(A59,LongJump!F$5:K$302,6,FALSE)))</f>
        <v>PB7</v>
      </c>
      <c r="O59" s="49">
        <f>IF(B59="","",IF(ISNA(VLOOKUP(A59,Vortex!F$5:J$302,2,FALSE)),"",VLOOKUP(A59,Vortex!F$5:J$302,2,FALSE)))</f>
        <v>24.65</v>
      </c>
      <c r="P59" s="49">
        <f>IF(B59="",0,IF(ISNA(VLOOKUP(A59,Vortex!F$5:J$302,5,FALSE)),0,VLOOKUP(A59,Vortex!F$5:J$302,5,FALSE)))</f>
        <v>49</v>
      </c>
      <c r="Q59" s="49">
        <f t="shared" si="4"/>
        <v>224</v>
      </c>
      <c r="R59" s="49">
        <f t="shared" si="5"/>
        <v>1</v>
      </c>
      <c r="S59" s="49">
        <f t="shared" si="6"/>
        <v>2</v>
      </c>
      <c r="T59" s="4"/>
      <c r="U59" s="4"/>
      <c r="V59" s="4"/>
      <c r="W59" s="38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7"/>
      <c r="AI59" s="279"/>
      <c r="AJ59"/>
    </row>
    <row r="60" spans="1:39" ht="13.95" customHeight="1">
      <c r="A60" s="49">
        <f>IF(Declarations!B33=0,"",Declarations!B33)</f>
        <v>28</v>
      </c>
      <c r="B60" s="150" t="str">
        <f>IF(ISNA(VLOOKUP(A60,Declarations!B$6:C$185,2,FALSE)),"",IF(VLOOKUP(A60,Declarations!B$6:C$185,2,FALSE)="","",VLOOKUP(A60,Declarations!B$6:C$185,2,FALSE)))</f>
        <v>ALANA FOOTE</v>
      </c>
      <c r="C60" s="150" t="str">
        <f>IF(ISNA(VLOOKUP(A60,Declarations!B$6:F$185,5,FALSE)),"",IF(VLOOKUP(A60,Declarations!B$6:F$185,5,FALSE)="","",VLOOKUP(A60,Declarations!B$6:F$185,5,FALSE)))</f>
        <v>Woking AC</v>
      </c>
      <c r="D60" s="150" t="str">
        <f>IF(ISNA(VLOOKUP(A60,Declarations!B$6:F$185,4,FALSE)),"",IF(VLOOKUP(A60,Declarations!B$6:F$185,4,FALSE)="","",VLOOKUP(A60,Declarations!B$6:F$185,4,FALSE)))</f>
        <v>GIRLS</v>
      </c>
      <c r="E60" s="150" t="str">
        <f>IF(ISNA(VLOOKUP(A60,Declarations!B$6:D$185,3,FALSE)),"",IF(VLOOKUP(A60,Declarations!B$6:D$185,3,FALSE)="","",VLOOKUP(A60,Declarations!B$6:D$185,3,FALSE)))</f>
        <v>U12</v>
      </c>
      <c r="F60" s="49" t="str">
        <f>IF(B60="","",IF(ISNA(VLOOKUP(A60,'75m'!F$5:G$302,2,FALSE)),"",VLOOKUP(A60,'75m'!F$5:G$302,2,FALSE)))</f>
        <v/>
      </c>
      <c r="G60" s="49">
        <f>IF(B60="",0,IF(ISNA(VLOOKUP(A60,'75m'!F$5:J$302,5,FALSE)),0,VLOOKUP(A60,'75m'!F$5:J$302,5,FALSE)))</f>
        <v>0</v>
      </c>
      <c r="H60" s="49" t="str">
        <f>IF(B60="","",IF(ISNA(VLOOKUP(A60,'75m'!F$5:K$302,6,FALSE)),"",VLOOKUP(A60,'75m'!F$5:K$302,6,FALSE)))</f>
        <v/>
      </c>
      <c r="I60" s="51">
        <f>IF(B60="",0,IF(ISNA(VLOOKUP(A60,'600m'!F$5:J$302,2,FALSE)),0,VLOOKUP(A60,'600m'!F$5:J$302,2,FALSE)))</f>
        <v>0</v>
      </c>
      <c r="J60" s="49">
        <f>IF(B60="",0,IF(ISNA(VLOOKUP(A60,'600m'!F$5:J$302,5,FALSE)),0,VLOOKUP(A60,'600m'!F$5:J$302,5,FALSE)))</f>
        <v>0</v>
      </c>
      <c r="K60" s="49" t="str">
        <f>IF(B60="","",IF(ISNA(VLOOKUP(A60,'600m'!F$5:K$302,6,FALSE)),"",VLOOKUP(A60,'600m'!F$5:K$302,6,FALSE)))</f>
        <v/>
      </c>
      <c r="L60" s="49" t="str">
        <f>IF(B60="","",IF(ISNA(VLOOKUP(A60,LongJump!F$5:G$302,2,FALSE)),"",VLOOKUP(A60,LongJump!F$5:G$302,2,FALSE)))</f>
        <v/>
      </c>
      <c r="M60" s="49">
        <f>IF(B60="",0,IF(ISNA(VLOOKUP(A60,LongJump!F$5:J$302,5,FALSE)),0,VLOOKUP(A60,LongJump!F$5:J$302,5,FALSE)))</f>
        <v>0</v>
      </c>
      <c r="N60" s="49">
        <f>IF(B60="",0,IF(ISNA(VLOOKUP(A60,LongJump!F$5:K$302,6,FALSE)),0,VLOOKUP(A60,LongJump!F$5:K$302,6,FALSE)))</f>
        <v>0</v>
      </c>
      <c r="O60" s="49" t="str">
        <f>IF(B60="","",IF(ISNA(VLOOKUP(A60,Vortex!F$5:J$302,2,FALSE)),"",VLOOKUP(A60,Vortex!F$5:J$302,2,FALSE)))</f>
        <v/>
      </c>
      <c r="P60" s="49">
        <f>IF(B60="",0,IF(ISNA(VLOOKUP(A60,Vortex!F$5:J$302,5,FALSE)),0,VLOOKUP(A60,Vortex!F$5:J$302,5,FALSE)))</f>
        <v>0</v>
      </c>
      <c r="Q60" s="49">
        <f t="shared" si="4"/>
        <v>0</v>
      </c>
      <c r="R60" s="49" t="str">
        <f t="shared" si="5"/>
        <v/>
      </c>
      <c r="S60" s="49" t="str">
        <f t="shared" si="6"/>
        <v/>
      </c>
      <c r="T60" s="4"/>
      <c r="U60" s="4"/>
      <c r="V60" s="4"/>
      <c r="W60" s="38"/>
      <c r="X60" s="247"/>
      <c r="Y60" s="247"/>
      <c r="Z60" s="247"/>
      <c r="AA60" s="247"/>
      <c r="AB60" s="247"/>
      <c r="AC60" s="247"/>
      <c r="AD60" s="247"/>
      <c r="AE60" s="247"/>
      <c r="AF60" s="247"/>
      <c r="AG60" s="247"/>
      <c r="AH60" s="247"/>
      <c r="AI60" s="279"/>
      <c r="AJ60"/>
    </row>
    <row r="61" spans="1:39" ht="13.95" customHeight="1">
      <c r="A61" s="49">
        <f>IF(Declarations!B34=0,"",Declarations!B34)</f>
        <v>29</v>
      </c>
      <c r="B61" s="150" t="str">
        <f>IF(ISNA(VLOOKUP(A61,Declarations!B$6:C$185,2,FALSE)),"",IF(VLOOKUP(A61,Declarations!B$6:C$185,2,FALSE)="","",VLOOKUP(A61,Declarations!B$6:C$185,2,FALSE)))</f>
        <v>KATIE TAYLOR</v>
      </c>
      <c r="C61" s="150" t="str">
        <f>IF(ISNA(VLOOKUP(A61,Declarations!B$6:F$185,5,FALSE)),"",IF(VLOOKUP(A61,Declarations!B$6:F$185,5,FALSE)="","",VLOOKUP(A61,Declarations!B$6:F$185,5,FALSE)))</f>
        <v>Woking AC</v>
      </c>
      <c r="D61" s="150" t="str">
        <f>IF(ISNA(VLOOKUP(A61,Declarations!B$6:F$185,4,FALSE)),"",IF(VLOOKUP(A61,Declarations!B$6:F$185,4,FALSE)="","",VLOOKUP(A61,Declarations!B$6:F$185,4,FALSE)))</f>
        <v>GIRLS</v>
      </c>
      <c r="E61" s="150" t="str">
        <f>IF(ISNA(VLOOKUP(A61,Declarations!B$6:D$185,3,FALSE)),"",IF(VLOOKUP(A61,Declarations!B$6:D$185,3,FALSE)="","",VLOOKUP(A61,Declarations!B$6:D$185,3,FALSE)))</f>
        <v>U12</v>
      </c>
      <c r="F61" s="49">
        <f>IF(B61="","",IF(ISNA(VLOOKUP(A61,'75m'!F$5:G$302,2,FALSE)),"",VLOOKUP(A61,'75m'!F$5:G$302,2,FALSE)))</f>
        <v>14</v>
      </c>
      <c r="G61" s="49">
        <f>IF(B61="",0,IF(ISNA(VLOOKUP(A61,'75m'!F$5:J$302,5,FALSE)),0,VLOOKUP(A61,'75m'!F$5:J$302,5,FALSE)))</f>
        <v>30</v>
      </c>
      <c r="H61" s="49" t="str">
        <f>IF(B61="","",IF(ISNA(VLOOKUP(A61,'75m'!F$5:K$302,6,FALSE)),"",VLOOKUP(A61,'75m'!F$5:K$302,6,FALSE)))</f>
        <v>PB4</v>
      </c>
      <c r="I61" s="51">
        <f>IF(B61="",0,IF(ISNA(VLOOKUP(A61,'600m'!F$5:J$302,2,FALSE)),0,VLOOKUP(A61,'600m'!F$5:J$302,2,FALSE)))</f>
        <v>0</v>
      </c>
      <c r="J61" s="49">
        <f>IF(B61="",0,IF(ISNA(VLOOKUP(A61,'600m'!F$5:J$302,5,FALSE)),0,VLOOKUP(A61,'600m'!F$5:J$302,5,FALSE)))</f>
        <v>0</v>
      </c>
      <c r="K61" s="49" t="str">
        <f>IF(B61="","",IF(ISNA(VLOOKUP(A61,'600m'!F$5:K$302,6,FALSE)),"",VLOOKUP(A61,'600m'!F$5:K$302,6,FALSE)))</f>
        <v/>
      </c>
      <c r="L61" s="49">
        <f>IF(B61="","",IF(ISNA(VLOOKUP(A61,LongJump!F$5:G$302,2,FALSE)),"",VLOOKUP(A61,LongJump!F$5:G$302,2,FALSE)))</f>
        <v>2.31</v>
      </c>
      <c r="M61" s="49">
        <f>IF(B61="",0,IF(ISNA(VLOOKUP(A61,LongJump!F$5:J$302,5,FALSE)),0,VLOOKUP(A61,LongJump!F$5:J$302,5,FALSE)))</f>
        <v>13</v>
      </c>
      <c r="N61" s="49" t="str">
        <f>IF(B61="",0,IF(ISNA(VLOOKUP(A61,LongJump!F$5:K$302,6,FALSE)),0,VLOOKUP(A61,LongJump!F$5:K$302,6,FALSE)))</f>
        <v>PB3</v>
      </c>
      <c r="O61" s="49" t="str">
        <f>IF(B61="","",IF(ISNA(VLOOKUP(A61,Vortex!F$5:J$302,2,FALSE)),"",VLOOKUP(A61,Vortex!F$5:J$302,2,FALSE)))</f>
        <v/>
      </c>
      <c r="P61" s="49">
        <f>IF(B61="",0,IF(ISNA(VLOOKUP(A61,Vortex!F$5:J$302,5,FALSE)),0,VLOOKUP(A61,Vortex!F$5:J$302,5,FALSE)))</f>
        <v>0</v>
      </c>
      <c r="Q61" s="49">
        <f t="shared" si="4"/>
        <v>43</v>
      </c>
      <c r="R61" s="49">
        <f t="shared" si="5"/>
        <v>8</v>
      </c>
      <c r="S61" s="49">
        <f t="shared" si="6"/>
        <v>46</v>
      </c>
      <c r="T61" s="4"/>
      <c r="U61" s="4"/>
      <c r="V61" s="4"/>
      <c r="W61" s="38"/>
      <c r="X61" s="247"/>
      <c r="Y61" s="247"/>
      <c r="Z61" s="247"/>
      <c r="AA61" s="247"/>
      <c r="AB61" s="247"/>
      <c r="AC61" s="247"/>
      <c r="AD61" s="247"/>
      <c r="AE61" s="247"/>
      <c r="AF61" s="247"/>
      <c r="AG61" s="247"/>
      <c r="AH61" s="247"/>
      <c r="AI61" s="279"/>
      <c r="AJ61"/>
    </row>
    <row r="62" spans="1:39" ht="13.95" customHeight="1">
      <c r="A62" s="49">
        <f>IF(Declarations!B35=0,"",Declarations!B35)</f>
        <v>30</v>
      </c>
      <c r="B62" s="150" t="str">
        <f>IF(ISNA(VLOOKUP(A62,Declarations!B$6:C$185,2,FALSE)),"",IF(VLOOKUP(A62,Declarations!B$6:C$185,2,FALSE)="","",VLOOKUP(A62,Declarations!B$6:C$185,2,FALSE)))</f>
        <v/>
      </c>
      <c r="C62" s="150" t="str">
        <f>IF(ISNA(VLOOKUP(A62,Declarations!B$6:F$185,5,FALSE)),"",IF(VLOOKUP(A62,Declarations!B$6:F$185,5,FALSE)="","",VLOOKUP(A62,Declarations!B$6:F$185,5,FALSE)))</f>
        <v>Woking AC</v>
      </c>
      <c r="D62" s="150" t="str">
        <f>IF(ISNA(VLOOKUP(A62,Declarations!B$6:F$185,4,FALSE)),"",IF(VLOOKUP(A62,Declarations!B$6:F$185,4,FALSE)="","",VLOOKUP(A62,Declarations!B$6:F$185,4,FALSE)))</f>
        <v>GIRLS</v>
      </c>
      <c r="E62" s="150" t="str">
        <f>IF(ISNA(VLOOKUP(A62,Declarations!B$6:D$185,3,FALSE)),"",IF(VLOOKUP(A62,Declarations!B$6:D$185,3,FALSE)="","",VLOOKUP(A62,Declarations!B$6:D$185,3,FALSE)))</f>
        <v>U12</v>
      </c>
      <c r="F62" s="49" t="str">
        <f>IF(B62="","",IF(ISNA(VLOOKUP(A62,'75m'!F$5:G$302,2,FALSE)),"",VLOOKUP(A62,'75m'!F$5:G$302,2,FALSE)))</f>
        <v/>
      </c>
      <c r="G62" s="49">
        <f>IF(B62="",0,IF(ISNA(VLOOKUP(A62,'75m'!F$5:J$302,5,FALSE)),0,VLOOKUP(A62,'75m'!F$5:J$302,5,FALSE)))</f>
        <v>0</v>
      </c>
      <c r="H62" s="49" t="str">
        <f>IF(B62="","",IF(ISNA(VLOOKUP(A62,'75m'!F$5:K$302,6,FALSE)),"",VLOOKUP(A62,'75m'!F$5:K$302,6,FALSE)))</f>
        <v/>
      </c>
      <c r="I62" s="51">
        <f>IF(B62="",0,IF(ISNA(VLOOKUP(A62,'600m'!F$5:J$302,2,FALSE)),0,VLOOKUP(A62,'600m'!F$5:J$302,2,FALSE)))</f>
        <v>0</v>
      </c>
      <c r="J62" s="49">
        <f>IF(B62="",0,IF(ISNA(VLOOKUP(A62,'600m'!F$5:J$302,5,FALSE)),0,VLOOKUP(A62,'600m'!F$5:J$302,5,FALSE)))</f>
        <v>0</v>
      </c>
      <c r="K62" s="49" t="str">
        <f>IF(B62="","",IF(ISNA(VLOOKUP(A62,'600m'!F$5:K$302,6,FALSE)),"",VLOOKUP(A62,'600m'!F$5:K$302,6,FALSE)))</f>
        <v/>
      </c>
      <c r="L62" s="49" t="str">
        <f>IF(B62="","",IF(ISNA(VLOOKUP(A62,LongJump!F$5:G$302,2,FALSE)),"",VLOOKUP(A62,LongJump!F$5:G$302,2,FALSE)))</f>
        <v/>
      </c>
      <c r="M62" s="49">
        <f>IF(B62="",0,IF(ISNA(VLOOKUP(A62,LongJump!F$5:J$302,5,FALSE)),0,VLOOKUP(A62,LongJump!F$5:J$302,5,FALSE)))</f>
        <v>0</v>
      </c>
      <c r="N62" s="49">
        <f>IF(B62="",0,IF(ISNA(VLOOKUP(A62,LongJump!F$5:K$302,6,FALSE)),0,VLOOKUP(A62,LongJump!F$5:K$302,6,FALSE)))</f>
        <v>0</v>
      </c>
      <c r="O62" s="49" t="str">
        <f>IF(B62="","",IF(ISNA(VLOOKUP(A62,Vortex!F$5:J$302,2,FALSE)),"",VLOOKUP(A62,Vortex!F$5:J$302,2,FALSE)))</f>
        <v/>
      </c>
      <c r="P62" s="49">
        <f>IF(B62="",0,IF(ISNA(VLOOKUP(A62,Vortex!F$5:J$302,5,FALSE)),0,VLOOKUP(A62,Vortex!F$5:J$302,5,FALSE)))</f>
        <v>0</v>
      </c>
      <c r="Q62" s="49">
        <f t="shared" si="4"/>
        <v>0</v>
      </c>
      <c r="R62" s="49" t="str">
        <f t="shared" si="5"/>
        <v/>
      </c>
      <c r="S62" s="49" t="str">
        <f t="shared" si="6"/>
        <v/>
      </c>
      <c r="T62" s="4"/>
      <c r="U62" s="4"/>
      <c r="V62" s="4"/>
      <c r="W62" s="38"/>
      <c r="X62" s="247"/>
      <c r="Y62" s="247"/>
      <c r="Z62" s="247"/>
      <c r="AA62" s="247"/>
      <c r="AB62" s="247"/>
      <c r="AC62" s="247"/>
      <c r="AD62" s="247"/>
      <c r="AE62" s="247"/>
      <c r="AF62" s="247"/>
      <c r="AG62" s="247"/>
      <c r="AH62" s="247"/>
      <c r="AI62" s="279"/>
      <c r="AK62" s="9"/>
      <c r="AL62" s="9"/>
      <c r="AM62" s="9"/>
    </row>
    <row r="63" spans="1:39" ht="13.95" customHeight="1">
      <c r="A63" s="49">
        <f>IF(Declarations!B36=0,"",Declarations!B36)</f>
        <v>31</v>
      </c>
      <c r="B63" s="150" t="str">
        <f>IF(ISNA(VLOOKUP(A63,Declarations!B$6:C$185,2,FALSE)),"",IF(VLOOKUP(A63,Declarations!B$6:C$185,2,FALSE)="","",VLOOKUP(A63,Declarations!B$6:C$185,2,FALSE)))</f>
        <v>OLI THOMPSON</v>
      </c>
      <c r="C63" s="150" t="str">
        <f>IF(ISNA(VLOOKUP(A63,Declarations!B$6:F$185,5,FALSE)),"",IF(VLOOKUP(A63,Declarations!B$6:F$185,5,FALSE)="","",VLOOKUP(A63,Declarations!B$6:F$185,5,FALSE)))</f>
        <v>Woking AC</v>
      </c>
      <c r="D63" s="150" t="str">
        <f>IF(ISNA(VLOOKUP(A63,Declarations!B$6:F$185,4,FALSE)),"",IF(VLOOKUP(A63,Declarations!B$6:F$185,4,FALSE)="","",VLOOKUP(A63,Declarations!B$6:F$185,4,FALSE)))</f>
        <v>BOYS</v>
      </c>
      <c r="E63" s="150" t="str">
        <f>IF(ISNA(VLOOKUP(A63,Declarations!B$6:D$185,3,FALSE)),"",IF(VLOOKUP(A63,Declarations!B$6:D$185,3,FALSE)="","",VLOOKUP(A63,Declarations!B$6:D$185,3,FALSE)))</f>
        <v>U12</v>
      </c>
      <c r="F63" s="49">
        <f>IF(B63="","",IF(ISNA(VLOOKUP(A63,'75m'!F$5:G$302,2,FALSE)),"",VLOOKUP(A63,'75m'!F$5:G$302,2,FALSE)))</f>
        <v>12.8</v>
      </c>
      <c r="G63" s="49">
        <f>IF(B63="",0,IF(ISNA(VLOOKUP(A63,'75m'!F$5:J$302,5,FALSE)),0,VLOOKUP(A63,'75m'!F$5:J$302,5,FALSE)))</f>
        <v>42</v>
      </c>
      <c r="H63" s="49" t="str">
        <f>IF(B63="","",IF(ISNA(VLOOKUP(A63,'75m'!F$5:K$302,6,FALSE)),"",VLOOKUP(A63,'75m'!F$5:K$302,6,FALSE)))</f>
        <v>PB5</v>
      </c>
      <c r="I63" s="51">
        <f>IF(B63="",0,IF(ISNA(VLOOKUP(A63,'600m'!F$5:J$302,2,FALSE)),0,VLOOKUP(A63,'600m'!F$5:J$302,2,FALSE)))</f>
        <v>1.4074074074074073E-3</v>
      </c>
      <c r="J63" s="49">
        <f>IF(B63="",0,IF(ISNA(VLOOKUP(A63,'600m'!F$5:J$302,5,FALSE)),0,VLOOKUP(A63,'600m'!F$5:J$302,5,FALSE)))</f>
        <v>68</v>
      </c>
      <c r="K63" s="49" t="str">
        <f>IF(B63="","",IF(ISNA(VLOOKUP(A63,'600m'!F$5:K$302,6,FALSE)),"",VLOOKUP(A63,'600m'!F$5:K$302,6,FALSE)))</f>
        <v>PB4</v>
      </c>
      <c r="L63" s="49">
        <f>IF(B63="","",IF(ISNA(VLOOKUP(A63,LongJump!F$5:G$302,2,FALSE)),"",VLOOKUP(A63,LongJump!F$5:G$302,2,FALSE)))</f>
        <v>3.06</v>
      </c>
      <c r="M63" s="49">
        <f>IF(B63="",0,IF(ISNA(VLOOKUP(A63,LongJump!F$5:J$302,5,FALSE)),0,VLOOKUP(A63,LongJump!F$5:J$302,5,FALSE)))</f>
        <v>38</v>
      </c>
      <c r="N63" s="49" t="str">
        <f>IF(B63="",0,IF(ISNA(VLOOKUP(A63,LongJump!F$5:K$302,6,FALSE)),0,VLOOKUP(A63,LongJump!F$5:K$302,6,FALSE)))</f>
        <v>PB5</v>
      </c>
      <c r="O63" s="49">
        <f>IF(B63="","",IF(ISNA(VLOOKUP(A63,Vortex!F$5:J$302,2,FALSE)),"",VLOOKUP(A63,Vortex!F$5:J$302,2,FALSE)))</f>
        <v>30.85</v>
      </c>
      <c r="P63" s="49">
        <f>IF(B63="",0,IF(ISNA(VLOOKUP(A63,Vortex!F$5:J$302,5,FALSE)),0,VLOOKUP(A63,Vortex!F$5:J$302,5,FALSE)))</f>
        <v>61</v>
      </c>
      <c r="Q63" s="49">
        <f t="shared" si="4"/>
        <v>209</v>
      </c>
      <c r="R63" s="49">
        <f t="shared" si="5"/>
        <v>7</v>
      </c>
      <c r="S63" s="49">
        <f t="shared" si="6"/>
        <v>18</v>
      </c>
      <c r="T63" s="4"/>
      <c r="U63" s="4"/>
      <c r="V63" s="4"/>
      <c r="W63" s="38"/>
      <c r="X63" s="247"/>
      <c r="Y63" s="247"/>
      <c r="Z63" s="247"/>
      <c r="AA63" s="247"/>
      <c r="AB63" s="247"/>
      <c r="AC63" s="247"/>
      <c r="AD63" s="247"/>
      <c r="AE63" s="247"/>
      <c r="AF63" s="247"/>
      <c r="AG63" s="247"/>
      <c r="AH63" s="247"/>
      <c r="AI63" s="280"/>
      <c r="AJ63"/>
    </row>
    <row r="64" spans="1:39" ht="13.95" customHeight="1">
      <c r="A64" s="49">
        <f>IF(Declarations!B37=0,"",Declarations!B37)</f>
        <v>32</v>
      </c>
      <c r="B64" s="150" t="str">
        <f>IF(ISNA(VLOOKUP(A64,Declarations!B$6:C$185,2,FALSE)),"",IF(VLOOKUP(A64,Declarations!B$6:C$185,2,FALSE)="","",VLOOKUP(A64,Declarations!B$6:C$185,2,FALSE)))</f>
        <v>ISAAC HUTCHISON</v>
      </c>
      <c r="C64" s="150" t="str">
        <f>IF(ISNA(VLOOKUP(A64,Declarations!B$6:F$185,5,FALSE)),"",IF(VLOOKUP(A64,Declarations!B$6:F$185,5,FALSE)="","",VLOOKUP(A64,Declarations!B$6:F$185,5,FALSE)))</f>
        <v>Woking AC</v>
      </c>
      <c r="D64" s="150" t="str">
        <f>IF(ISNA(VLOOKUP(A64,Declarations!B$6:F$185,4,FALSE)),"",IF(VLOOKUP(A64,Declarations!B$6:F$185,4,FALSE)="","",VLOOKUP(A64,Declarations!B$6:F$185,4,FALSE)))</f>
        <v>BOYS</v>
      </c>
      <c r="E64" s="150" t="str">
        <f>IF(ISNA(VLOOKUP(A64,Declarations!B$6:D$185,3,FALSE)),"",IF(VLOOKUP(A64,Declarations!B$6:D$185,3,FALSE)="","",VLOOKUP(A64,Declarations!B$6:D$185,3,FALSE)))</f>
        <v>U12</v>
      </c>
      <c r="F64" s="49">
        <f>IF(B64="","",IF(ISNA(VLOOKUP(A64,'75m'!F$5:G$302,2,FALSE)),"",VLOOKUP(A64,'75m'!F$5:G$302,2,FALSE)))</f>
        <v>11.8</v>
      </c>
      <c r="G64" s="49">
        <f>IF(B64="",0,IF(ISNA(VLOOKUP(A64,'75m'!F$5:J$302,5,FALSE)),0,VLOOKUP(A64,'75m'!F$5:J$302,5,FALSE)))</f>
        <v>52</v>
      </c>
      <c r="H64" s="49" t="str">
        <f>IF(B64="","",IF(ISNA(VLOOKUP(A64,'75m'!F$5:K$302,6,FALSE)),"",VLOOKUP(A64,'75m'!F$5:K$302,6,FALSE)))</f>
        <v>PB7</v>
      </c>
      <c r="I64" s="51">
        <f>IF(B64="",0,IF(ISNA(VLOOKUP(A64,'600m'!F$5:J$302,2,FALSE)),0,VLOOKUP(A64,'600m'!F$5:J$302,2,FALSE)))</f>
        <v>1.5312500000000001E-3</v>
      </c>
      <c r="J64" s="49">
        <f>IF(B64="",0,IF(ISNA(VLOOKUP(A64,'600m'!F$5:J$302,5,FALSE)),0,VLOOKUP(A64,'600m'!F$5:J$302,5,FALSE)))</f>
        <v>57</v>
      </c>
      <c r="K64" s="49" t="str">
        <f>IF(B64="","",IF(ISNA(VLOOKUP(A64,'600m'!F$5:K$302,6,FALSE)),"",VLOOKUP(A64,'600m'!F$5:K$302,6,FALSE)))</f>
        <v>PB2</v>
      </c>
      <c r="L64" s="49">
        <f>IF(B64="","",IF(ISNA(VLOOKUP(A64,LongJump!F$5:G$302,2,FALSE)),"",VLOOKUP(A64,LongJump!F$5:G$302,2,FALSE)))</f>
        <v>3.01</v>
      </c>
      <c r="M64" s="49">
        <f>IF(B64="",0,IF(ISNA(VLOOKUP(A64,LongJump!F$5:J$302,5,FALSE)),0,VLOOKUP(A64,LongJump!F$5:J$302,5,FALSE)))</f>
        <v>37</v>
      </c>
      <c r="N64" s="49" t="str">
        <f>IF(B64="",0,IF(ISNA(VLOOKUP(A64,LongJump!F$5:K$302,6,FALSE)),0,VLOOKUP(A64,LongJump!F$5:K$302,6,FALSE)))</f>
        <v>PB5</v>
      </c>
      <c r="O64" s="49">
        <f>IF(B64="","",IF(ISNA(VLOOKUP(A64,Vortex!F$5:J$302,2,FALSE)),"",VLOOKUP(A64,Vortex!F$5:J$302,2,FALSE)))</f>
        <v>22.53</v>
      </c>
      <c r="P64" s="49">
        <f>IF(B64="",0,IF(ISNA(VLOOKUP(A64,Vortex!F$5:J$302,5,FALSE)),0,VLOOKUP(A64,Vortex!F$5:J$302,5,FALSE)))</f>
        <v>45</v>
      </c>
      <c r="Q64" s="49">
        <f t="shared" si="4"/>
        <v>191</v>
      </c>
      <c r="R64" s="49">
        <f t="shared" si="5"/>
        <v>9</v>
      </c>
      <c r="S64" s="49">
        <f t="shared" si="6"/>
        <v>26</v>
      </c>
      <c r="T64" s="4"/>
      <c r="U64" s="4"/>
      <c r="V64" s="4"/>
      <c r="W64" s="38"/>
      <c r="X64" s="247"/>
      <c r="Y64" s="247"/>
      <c r="Z64" s="247"/>
      <c r="AA64" s="247"/>
      <c r="AB64" s="247"/>
      <c r="AC64" s="247"/>
      <c r="AD64" s="247"/>
      <c r="AE64" s="247"/>
      <c r="AF64" s="247"/>
      <c r="AG64" s="247"/>
      <c r="AH64" s="247"/>
      <c r="AI64" s="280"/>
      <c r="AJ64"/>
    </row>
    <row r="65" spans="1:36" ht="13.95" customHeight="1">
      <c r="A65" s="49">
        <f>IF(Declarations!B38=0,"",Declarations!B38)</f>
        <v>33</v>
      </c>
      <c r="B65" s="150" t="str">
        <f>IF(ISNA(VLOOKUP(A65,Declarations!B$6:C$185,2,FALSE)),"",IF(VLOOKUP(A65,Declarations!B$6:C$185,2,FALSE)="","",VLOOKUP(A65,Declarations!B$6:C$185,2,FALSE)))</f>
        <v>WILLIAM PEARCE</v>
      </c>
      <c r="C65" s="150" t="str">
        <f>IF(ISNA(VLOOKUP(A65,Declarations!B$6:F$185,5,FALSE)),"",IF(VLOOKUP(A65,Declarations!B$6:F$185,5,FALSE)="","",VLOOKUP(A65,Declarations!B$6:F$185,5,FALSE)))</f>
        <v>Woking AC</v>
      </c>
      <c r="D65" s="150" t="str">
        <f>IF(ISNA(VLOOKUP(A65,Declarations!B$6:F$185,4,FALSE)),"",IF(VLOOKUP(A65,Declarations!B$6:F$185,4,FALSE)="","",VLOOKUP(A65,Declarations!B$6:F$185,4,FALSE)))</f>
        <v>BOYS</v>
      </c>
      <c r="E65" s="150" t="str">
        <f>IF(ISNA(VLOOKUP(A65,Declarations!B$6:D$185,3,FALSE)),"",IF(VLOOKUP(A65,Declarations!B$6:D$185,3,FALSE)="","",VLOOKUP(A65,Declarations!B$6:D$185,3,FALSE)))</f>
        <v>U12</v>
      </c>
      <c r="F65" s="49">
        <f>IF(B65="","",IF(ISNA(VLOOKUP(A65,'75m'!F$5:G$302,2,FALSE)),"",VLOOKUP(A65,'75m'!F$5:G$302,2,FALSE)))</f>
        <v>11.2</v>
      </c>
      <c r="G65" s="49">
        <f>IF(B65="",0,IF(ISNA(VLOOKUP(A65,'75m'!F$5:J$302,5,FALSE)),0,VLOOKUP(A65,'75m'!F$5:J$302,5,FALSE)))</f>
        <v>58</v>
      </c>
      <c r="H65" s="49" t="str">
        <f>IF(B65="","",IF(ISNA(VLOOKUP(A65,'75m'!F$5:K$302,6,FALSE)),"",VLOOKUP(A65,'75m'!F$5:K$302,6,FALSE)))</f>
        <v>PB9</v>
      </c>
      <c r="I65" s="51">
        <f>IF(B65="",0,IF(ISNA(VLOOKUP(A65,'600m'!F$5:J$302,2,FALSE)),0,VLOOKUP(A65,'600m'!F$5:J$302,2,FALSE)))</f>
        <v>1.2893518518518519E-3</v>
      </c>
      <c r="J65" s="49">
        <f>IF(B65="",0,IF(ISNA(VLOOKUP(A65,'600m'!F$5:J$302,5,FALSE)),0,VLOOKUP(A65,'600m'!F$5:J$302,5,FALSE)))</f>
        <v>78</v>
      </c>
      <c r="K65" s="49" t="str">
        <f>IF(B65="","",IF(ISNA(VLOOKUP(A65,'600m'!F$5:K$302,6,FALSE)),"",VLOOKUP(A65,'600m'!F$5:K$302,6,FALSE)))</f>
        <v>PB7</v>
      </c>
      <c r="L65" s="49">
        <f>IF(B65="","",IF(ISNA(VLOOKUP(A65,LongJump!F$5:G$302,2,FALSE)),"",VLOOKUP(A65,LongJump!F$5:G$302,2,FALSE)))</f>
        <v>3.79</v>
      </c>
      <c r="M65" s="49">
        <f>IF(B65="",0,IF(ISNA(VLOOKUP(A65,LongJump!F$5:J$302,5,FALSE)),0,VLOOKUP(A65,LongJump!F$5:J$302,5,FALSE)))</f>
        <v>63</v>
      </c>
      <c r="N65" s="49" t="str">
        <f>IF(B65="",0,IF(ISNA(VLOOKUP(A65,LongJump!F$5:K$302,6,FALSE)),0,VLOOKUP(A65,LongJump!F$5:K$302,6,FALSE)))</f>
        <v>PB8</v>
      </c>
      <c r="O65" s="49">
        <f>IF(B65="","",IF(ISNA(VLOOKUP(A65,Vortex!F$5:J$302,2,FALSE)),"",VLOOKUP(A65,Vortex!F$5:J$302,2,FALSE)))</f>
        <v>45.44</v>
      </c>
      <c r="P65" s="49">
        <f>IF(B65="",0,IF(ISNA(VLOOKUP(A65,Vortex!F$5:J$302,5,FALSE)),0,VLOOKUP(A65,Vortex!F$5:J$302,5,FALSE)))</f>
        <v>90</v>
      </c>
      <c r="Q65" s="49">
        <f t="shared" si="4"/>
        <v>289</v>
      </c>
      <c r="R65" s="49">
        <f t="shared" si="5"/>
        <v>1</v>
      </c>
      <c r="S65" s="49">
        <f t="shared" si="6"/>
        <v>1</v>
      </c>
      <c r="T65" s="4"/>
      <c r="U65" s="4"/>
      <c r="V65" s="4"/>
      <c r="W65" s="38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  <c r="AI65" s="280"/>
      <c r="AJ65"/>
    </row>
    <row r="66" spans="1:36" ht="13.95" customHeight="1">
      <c r="A66" s="49">
        <f>IF(Declarations!B39=0,"",Declarations!B39)</f>
        <v>34</v>
      </c>
      <c r="B66" s="150" t="str">
        <f>IF(ISNA(VLOOKUP(A66,Declarations!B$6:C$185,2,FALSE)),"",IF(VLOOKUP(A66,Declarations!B$6:C$185,2,FALSE)="","",VLOOKUP(A66,Declarations!B$6:C$185,2,FALSE)))</f>
        <v>LOUIS MASON</v>
      </c>
      <c r="C66" s="150" t="str">
        <f>IF(ISNA(VLOOKUP(A66,Declarations!B$6:F$185,5,FALSE)),"",IF(VLOOKUP(A66,Declarations!B$6:F$185,5,FALSE)="","",VLOOKUP(A66,Declarations!B$6:F$185,5,FALSE)))</f>
        <v>Woking AC</v>
      </c>
      <c r="D66" s="150" t="str">
        <f>IF(ISNA(VLOOKUP(A66,Declarations!B$6:F$185,4,FALSE)),"",IF(VLOOKUP(A66,Declarations!B$6:F$185,4,FALSE)="","",VLOOKUP(A66,Declarations!B$6:F$185,4,FALSE)))</f>
        <v>BOYS</v>
      </c>
      <c r="E66" s="150" t="str">
        <f>IF(ISNA(VLOOKUP(A66,Declarations!B$6:D$185,3,FALSE)),"",IF(VLOOKUP(A66,Declarations!B$6:D$185,3,FALSE)="","",VLOOKUP(A66,Declarations!B$6:D$185,3,FALSE)))</f>
        <v>U12</v>
      </c>
      <c r="F66" s="49">
        <f>IF(B66="","",IF(ISNA(VLOOKUP(A66,'75m'!F$5:G$302,2,FALSE)),"",VLOOKUP(A66,'75m'!F$5:G$302,2,FALSE)))</f>
        <v>11.6</v>
      </c>
      <c r="G66" s="49">
        <f>IF(B66="",0,IF(ISNA(VLOOKUP(A66,'75m'!F$5:J$302,5,FALSE)),0,VLOOKUP(A66,'75m'!F$5:J$302,5,FALSE)))</f>
        <v>54</v>
      </c>
      <c r="H66" s="49" t="str">
        <f>IF(B66="","",IF(ISNA(VLOOKUP(A66,'75m'!F$5:K$302,6,FALSE)),"",VLOOKUP(A66,'75m'!F$5:K$302,6,FALSE)))</f>
        <v>PB8</v>
      </c>
      <c r="I66" s="51">
        <f>IF(B66="",0,IF(ISNA(VLOOKUP(A66,'600m'!F$5:J$302,2,FALSE)),0,VLOOKUP(A66,'600m'!F$5:J$302,2,FALSE)))</f>
        <v>1.3888888888888889E-3</v>
      </c>
      <c r="J66" s="49">
        <f>IF(B66="",0,IF(ISNA(VLOOKUP(A66,'600m'!F$5:J$302,5,FALSE)),0,VLOOKUP(A66,'600m'!F$5:J$302,5,FALSE)))</f>
        <v>70</v>
      </c>
      <c r="K66" s="49" t="str">
        <f>IF(B66="","",IF(ISNA(VLOOKUP(A66,'600m'!F$5:K$302,6,FALSE)),"",VLOOKUP(A66,'600m'!F$5:K$302,6,FALSE)))</f>
        <v>PB5</v>
      </c>
      <c r="L66" s="49">
        <f>IF(B66="","",IF(ISNA(VLOOKUP(A66,LongJump!F$5:G$302,2,FALSE)),"",VLOOKUP(A66,LongJump!F$5:G$302,2,FALSE)))</f>
        <v>3.3</v>
      </c>
      <c r="M66" s="49">
        <f>IF(B66="",0,IF(ISNA(VLOOKUP(A66,LongJump!F$5:J$302,5,FALSE)),0,VLOOKUP(A66,LongJump!F$5:J$302,5,FALSE)))</f>
        <v>46</v>
      </c>
      <c r="N66" s="49" t="str">
        <f>IF(B66="",0,IF(ISNA(VLOOKUP(A66,LongJump!F$5:K$302,6,FALSE)),0,VLOOKUP(A66,LongJump!F$5:K$302,6,FALSE)))</f>
        <v>PB6</v>
      </c>
      <c r="O66" s="49">
        <f>IF(B66="","",IF(ISNA(VLOOKUP(A66,Vortex!F$5:J$302,2,FALSE)),"",VLOOKUP(A66,Vortex!F$5:J$302,2,FALSE)))</f>
        <v>32.17</v>
      </c>
      <c r="P66" s="49">
        <f>IF(B66="",0,IF(ISNA(VLOOKUP(A66,Vortex!F$5:J$302,5,FALSE)),0,VLOOKUP(A66,Vortex!F$5:J$302,5,FALSE)))</f>
        <v>64</v>
      </c>
      <c r="Q66" s="49">
        <f t="shared" si="4"/>
        <v>234</v>
      </c>
      <c r="R66" s="49">
        <f t="shared" si="5"/>
        <v>4</v>
      </c>
      <c r="S66" s="49">
        <f t="shared" si="6"/>
        <v>9</v>
      </c>
      <c r="T66" s="4"/>
      <c r="U66" s="4"/>
      <c r="V66" s="4"/>
      <c r="W66" s="38"/>
      <c r="X66" s="247"/>
      <c r="Y66" s="247"/>
      <c r="Z66" s="247"/>
      <c r="AA66" s="247"/>
      <c r="AB66" s="247"/>
      <c r="AC66" s="247"/>
      <c r="AD66" s="247"/>
      <c r="AE66" s="247"/>
      <c r="AF66" s="247"/>
      <c r="AG66" s="247"/>
      <c r="AH66" s="247"/>
      <c r="AI66" s="280"/>
      <c r="AJ66"/>
    </row>
    <row r="67" spans="1:36" ht="13.95" customHeight="1">
      <c r="A67" s="49">
        <f>IF(Declarations!B40=0,"",Declarations!B40)</f>
        <v>35</v>
      </c>
      <c r="B67" s="150" t="str">
        <f>IF(ISNA(VLOOKUP(A67,Declarations!B$6:C$185,2,FALSE)),"",IF(VLOOKUP(A67,Declarations!B$6:C$185,2,FALSE)="","",VLOOKUP(A67,Declarations!B$6:C$185,2,FALSE)))</f>
        <v>MATTHIAS DE PAULA DENS</v>
      </c>
      <c r="C67" s="150" t="str">
        <f>IF(ISNA(VLOOKUP(A67,Declarations!B$6:F$185,5,FALSE)),"",IF(VLOOKUP(A67,Declarations!B$6:F$185,5,FALSE)="","",VLOOKUP(A67,Declarations!B$6:F$185,5,FALSE)))</f>
        <v>Woking AC</v>
      </c>
      <c r="D67" s="150" t="str">
        <f>IF(ISNA(VLOOKUP(A67,Declarations!B$6:F$185,4,FALSE)),"",IF(VLOOKUP(A67,Declarations!B$6:F$185,4,FALSE)="","",VLOOKUP(A67,Declarations!B$6:F$185,4,FALSE)))</f>
        <v>BOYS</v>
      </c>
      <c r="E67" s="150" t="str">
        <f>IF(ISNA(VLOOKUP(A67,Declarations!B$6:D$185,3,FALSE)),"",IF(VLOOKUP(A67,Declarations!B$6:D$185,3,FALSE)="","",VLOOKUP(A67,Declarations!B$6:D$185,3,FALSE)))</f>
        <v>U12</v>
      </c>
      <c r="F67" s="49">
        <f>IF(B67="","",IF(ISNA(VLOOKUP(A67,'75m'!F$5:G$302,2,FALSE)),"",VLOOKUP(A67,'75m'!F$5:G$302,2,FALSE)))</f>
        <v>11</v>
      </c>
      <c r="G67" s="49">
        <f>IF(B67="",0,IF(ISNA(VLOOKUP(A67,'75m'!F$5:J$302,5,FALSE)),0,VLOOKUP(A67,'75m'!F$5:J$302,5,FALSE)))</f>
        <v>60</v>
      </c>
      <c r="H67" s="49" t="str">
        <f>IF(B67="","",IF(ISNA(VLOOKUP(A67,'75m'!F$5:K$302,6,FALSE)),"",VLOOKUP(A67,'75m'!F$5:K$302,6,FALSE)))</f>
        <v>PB9</v>
      </c>
      <c r="I67" s="51">
        <f>IF(B67="",0,IF(ISNA(VLOOKUP(A67,'600m'!F$5:J$302,2,FALSE)),0,VLOOKUP(A67,'600m'!F$5:J$302,2,FALSE)))</f>
        <v>1.4409722222222222E-3</v>
      </c>
      <c r="J67" s="49">
        <f>IF(B67="",0,IF(ISNA(VLOOKUP(A67,'600m'!F$5:J$302,5,FALSE)),0,VLOOKUP(A67,'600m'!F$5:J$302,5,FALSE)))</f>
        <v>65</v>
      </c>
      <c r="K67" s="49" t="str">
        <f>IF(B67="","",IF(ISNA(VLOOKUP(A67,'600m'!F$5:K$302,6,FALSE)),"",VLOOKUP(A67,'600m'!F$5:K$302,6,FALSE)))</f>
        <v>PB4</v>
      </c>
      <c r="L67" s="49">
        <f>IF(B67="","",IF(ISNA(VLOOKUP(A67,LongJump!F$5:G$302,2,FALSE)),"",VLOOKUP(A67,LongJump!F$5:G$302,2,FALSE)))</f>
        <v>3.08</v>
      </c>
      <c r="M67" s="49">
        <f>IF(B67="",0,IF(ISNA(VLOOKUP(A67,LongJump!F$5:J$302,5,FALSE)),0,VLOOKUP(A67,LongJump!F$5:J$302,5,FALSE)))</f>
        <v>39</v>
      </c>
      <c r="N67" s="49" t="str">
        <f>IF(B67="",0,IF(ISNA(VLOOKUP(A67,LongJump!F$5:K$302,6,FALSE)),0,VLOOKUP(A67,LongJump!F$5:K$302,6,FALSE)))</f>
        <v>PB5</v>
      </c>
      <c r="O67" s="49">
        <f>IF(B67="","",IF(ISNA(VLOOKUP(A67,Vortex!F$5:J$302,2,FALSE)),"",VLOOKUP(A67,Vortex!F$5:J$302,2,FALSE)))</f>
        <v>24.79</v>
      </c>
      <c r="P67" s="49">
        <f>IF(B67="",0,IF(ISNA(VLOOKUP(A67,Vortex!F$5:J$302,5,FALSE)),0,VLOOKUP(A67,Vortex!F$5:J$302,5,FALSE)))</f>
        <v>49</v>
      </c>
      <c r="Q67" s="49">
        <f t="shared" si="4"/>
        <v>213</v>
      </c>
      <c r="R67" s="49">
        <f t="shared" si="5"/>
        <v>6</v>
      </c>
      <c r="S67" s="49">
        <f t="shared" si="6"/>
        <v>16</v>
      </c>
      <c r="T67" s="4"/>
      <c r="U67" s="4"/>
      <c r="V67" s="4"/>
      <c r="W67" s="38"/>
      <c r="X67" s="247"/>
      <c r="Y67" s="247"/>
      <c r="Z67" s="247"/>
      <c r="AA67" s="247"/>
      <c r="AB67" s="247"/>
      <c r="AC67" s="247"/>
      <c r="AD67" s="247"/>
      <c r="AE67" s="247"/>
      <c r="AF67" s="247"/>
      <c r="AG67" s="247"/>
      <c r="AH67" s="247"/>
      <c r="AI67" s="279"/>
      <c r="AJ67"/>
    </row>
    <row r="68" spans="1:36" ht="13.95" customHeight="1">
      <c r="A68" s="49">
        <f>IF(Declarations!B41=0,"",Declarations!B41)</f>
        <v>36</v>
      </c>
      <c r="B68" s="150" t="str">
        <f>IF(ISNA(VLOOKUP(A68,Declarations!B$6:C$185,2,FALSE)),"",IF(VLOOKUP(A68,Declarations!B$6:C$185,2,FALSE)="","",VLOOKUP(A68,Declarations!B$6:C$185,2,FALSE)))</f>
        <v>KAI TEGG</v>
      </c>
      <c r="C68" s="150" t="str">
        <f>IF(ISNA(VLOOKUP(A68,Declarations!B$6:F$185,5,FALSE)),"",IF(VLOOKUP(A68,Declarations!B$6:F$185,5,FALSE)="","",VLOOKUP(A68,Declarations!B$6:F$185,5,FALSE)))</f>
        <v>Woking AC</v>
      </c>
      <c r="D68" s="150" t="str">
        <f>IF(ISNA(VLOOKUP(A68,Declarations!B$6:F$185,4,FALSE)),"",IF(VLOOKUP(A68,Declarations!B$6:F$185,4,FALSE)="","",VLOOKUP(A68,Declarations!B$6:F$185,4,FALSE)))</f>
        <v>BOYS</v>
      </c>
      <c r="E68" s="150" t="str">
        <f>IF(ISNA(VLOOKUP(A68,Declarations!B$6:D$185,3,FALSE)),"",IF(VLOOKUP(A68,Declarations!B$6:D$185,3,FALSE)="","",VLOOKUP(A68,Declarations!B$6:D$185,3,FALSE)))</f>
        <v>U12</v>
      </c>
      <c r="F68" s="49">
        <f>IF(B68="","",IF(ISNA(VLOOKUP(A68,'75m'!F$5:G$302,2,FALSE)),"",VLOOKUP(A68,'75m'!F$5:G$302,2,FALSE)))</f>
        <v>11.6</v>
      </c>
      <c r="G68" s="49">
        <f>IF(B68="",0,IF(ISNA(VLOOKUP(A68,'75m'!F$5:J$302,5,FALSE)),0,VLOOKUP(A68,'75m'!F$5:J$302,5,FALSE)))</f>
        <v>54</v>
      </c>
      <c r="H68" s="49" t="str">
        <f>IF(B68="","",IF(ISNA(VLOOKUP(A68,'75m'!F$5:K$302,6,FALSE)),"",VLOOKUP(A68,'75m'!F$5:K$302,6,FALSE)))</f>
        <v>PB8</v>
      </c>
      <c r="I68" s="51">
        <f>IF(B68="",0,IF(ISNA(VLOOKUP(A68,'600m'!F$5:J$302,2,FALSE)),0,VLOOKUP(A68,'600m'!F$5:J$302,2,FALSE)))</f>
        <v>1.2824074074074075E-3</v>
      </c>
      <c r="J68" s="49">
        <f>IF(B68="",0,IF(ISNA(VLOOKUP(A68,'600m'!F$5:J$302,5,FALSE)),0,VLOOKUP(A68,'600m'!F$5:J$302,5,FALSE)))</f>
        <v>79</v>
      </c>
      <c r="K68" s="49" t="str">
        <f>IF(B68="","",IF(ISNA(VLOOKUP(A68,'600m'!F$5:K$302,6,FALSE)),"",VLOOKUP(A68,'600m'!F$5:K$302,6,FALSE)))</f>
        <v>PB7</v>
      </c>
      <c r="L68" s="49">
        <f>IF(B68="","",IF(ISNA(VLOOKUP(A68,LongJump!F$5:G$302,2,FALSE)),"",VLOOKUP(A68,LongJump!F$5:G$302,2,FALSE)))</f>
        <v>3.75</v>
      </c>
      <c r="M68" s="49">
        <f>IF(B68="",0,IF(ISNA(VLOOKUP(A68,LongJump!F$5:J$302,5,FALSE)),0,VLOOKUP(A68,LongJump!F$5:J$302,5,FALSE)))</f>
        <v>61</v>
      </c>
      <c r="N68" s="49" t="str">
        <f>IF(B68="",0,IF(ISNA(VLOOKUP(A68,LongJump!F$5:K$302,6,FALSE)),0,VLOOKUP(A68,LongJump!F$5:K$302,6,FALSE)))</f>
        <v>PB8</v>
      </c>
      <c r="O68" s="49">
        <f>IF(B68="","",IF(ISNA(VLOOKUP(A68,Vortex!F$5:J$302,2,FALSE)),"",VLOOKUP(A68,Vortex!F$5:J$302,2,FALSE)))</f>
        <v>31.26</v>
      </c>
      <c r="P68" s="49">
        <f>IF(B68="",0,IF(ISNA(VLOOKUP(A68,Vortex!F$5:J$302,5,FALSE)),0,VLOOKUP(A68,Vortex!F$5:J$302,5,FALSE)))</f>
        <v>62</v>
      </c>
      <c r="Q68" s="49">
        <f t="shared" si="4"/>
        <v>256</v>
      </c>
      <c r="R68" s="49">
        <f t="shared" si="5"/>
        <v>3</v>
      </c>
      <c r="S68" s="49">
        <f t="shared" si="6"/>
        <v>5</v>
      </c>
      <c r="T68" s="4"/>
      <c r="U68" s="4"/>
      <c r="V68" s="4"/>
      <c r="W68" s="38"/>
      <c r="X68" s="247"/>
      <c r="Y68" s="247"/>
      <c r="Z68" s="247"/>
      <c r="AA68" s="247"/>
      <c r="AB68" s="247"/>
      <c r="AC68" s="247"/>
      <c r="AD68" s="247"/>
      <c r="AE68" s="247"/>
      <c r="AF68" s="247"/>
      <c r="AG68" s="247"/>
      <c r="AH68" s="247"/>
      <c r="AI68" s="279"/>
      <c r="AJ68"/>
    </row>
    <row r="69" spans="1:36" ht="13.95" customHeight="1">
      <c r="A69" s="49">
        <f>IF(Declarations!B42=0,"",Declarations!B42)</f>
        <v>37</v>
      </c>
      <c r="B69" s="150" t="str">
        <f>IF(ISNA(VLOOKUP(A69,Declarations!B$6:C$185,2,FALSE)),"",IF(VLOOKUP(A69,Declarations!B$6:C$185,2,FALSE)="","",VLOOKUP(A69,Declarations!B$6:C$185,2,FALSE)))</f>
        <v>ADAM PRICE</v>
      </c>
      <c r="C69" s="150" t="str">
        <f>IF(ISNA(VLOOKUP(A69,Declarations!B$6:F$185,5,FALSE)),"",IF(VLOOKUP(A69,Declarations!B$6:F$185,5,FALSE)="","",VLOOKUP(A69,Declarations!B$6:F$185,5,FALSE)))</f>
        <v>Woking AC</v>
      </c>
      <c r="D69" s="150" t="str">
        <f>IF(ISNA(VLOOKUP(A69,Declarations!B$6:F$185,4,FALSE)),"",IF(VLOOKUP(A69,Declarations!B$6:F$185,4,FALSE)="","",VLOOKUP(A69,Declarations!B$6:F$185,4,FALSE)))</f>
        <v>BOYS</v>
      </c>
      <c r="E69" s="150" t="str">
        <f>IF(ISNA(VLOOKUP(A69,Declarations!B$6:D$185,3,FALSE)),"",IF(VLOOKUP(A69,Declarations!B$6:D$185,3,FALSE)="","",VLOOKUP(A69,Declarations!B$6:D$185,3,FALSE)))</f>
        <v>U12</v>
      </c>
      <c r="F69" s="49">
        <f>IF(B69="","",IF(ISNA(VLOOKUP(A69,'75m'!F$5:G$302,2,FALSE)),"",VLOOKUP(A69,'75m'!F$5:G$302,2,FALSE)))</f>
        <v>12.2</v>
      </c>
      <c r="G69" s="49">
        <f>IF(B69="",0,IF(ISNA(VLOOKUP(A69,'75m'!F$5:J$302,5,FALSE)),0,VLOOKUP(A69,'75m'!F$5:J$302,5,FALSE)))</f>
        <v>48</v>
      </c>
      <c r="H69" s="49" t="str">
        <f>IF(B69="","",IF(ISNA(VLOOKUP(A69,'75m'!F$5:K$302,6,FALSE)),"",VLOOKUP(A69,'75m'!F$5:K$302,6,FALSE)))</f>
        <v>PB6</v>
      </c>
      <c r="I69" s="51">
        <f>IF(B69="",0,IF(ISNA(VLOOKUP(A69,'600m'!F$5:J$302,2,FALSE)),0,VLOOKUP(A69,'600m'!F$5:J$302,2,FALSE)))</f>
        <v>1.5578703703703703E-3</v>
      </c>
      <c r="J69" s="49">
        <f>IF(B69="",0,IF(ISNA(VLOOKUP(A69,'600m'!F$5:J$302,5,FALSE)),0,VLOOKUP(A69,'600m'!F$5:J$302,5,FALSE)))</f>
        <v>55</v>
      </c>
      <c r="K69" s="49" t="str">
        <f>IF(B69="","",IF(ISNA(VLOOKUP(A69,'600m'!F$5:K$302,6,FALSE)),"",VLOOKUP(A69,'600m'!F$5:K$302,6,FALSE)))</f>
        <v>PB2</v>
      </c>
      <c r="L69" s="49">
        <f>IF(B69="","",IF(ISNA(VLOOKUP(A69,LongJump!F$5:G$302,2,FALSE)),"",VLOOKUP(A69,LongJump!F$5:G$302,2,FALSE)))</f>
        <v>1.52</v>
      </c>
      <c r="M69" s="49">
        <f>IF(B69="",0,IF(ISNA(VLOOKUP(A69,LongJump!F$5:J$302,5,FALSE)),0,VLOOKUP(A69,LongJump!F$5:J$302,5,FALSE)))</f>
        <v>10</v>
      </c>
      <c r="N69" s="49" t="str">
        <f>IF(B69="",0,IF(ISNA(VLOOKUP(A69,LongJump!F$5:K$302,6,FALSE)),0,VLOOKUP(A69,LongJump!F$5:K$302,6,FALSE)))</f>
        <v/>
      </c>
      <c r="O69" s="49">
        <f>IF(B69="","",IF(ISNA(VLOOKUP(A69,Vortex!F$5:J$302,2,FALSE)),"",VLOOKUP(A69,Vortex!F$5:J$302,2,FALSE)))</f>
        <v>23.06</v>
      </c>
      <c r="P69" s="49">
        <f>IF(B69="",0,IF(ISNA(VLOOKUP(A69,Vortex!F$5:J$302,5,FALSE)),0,VLOOKUP(A69,Vortex!F$5:J$302,5,FALSE)))</f>
        <v>46</v>
      </c>
      <c r="Q69" s="49">
        <f t="shared" si="4"/>
        <v>159</v>
      </c>
      <c r="R69" s="49">
        <f t="shared" si="5"/>
        <v>10</v>
      </c>
      <c r="S69" s="49">
        <f t="shared" si="6"/>
        <v>38</v>
      </c>
      <c r="T69" s="4"/>
      <c r="U69" s="4"/>
      <c r="V69" s="4"/>
      <c r="W69" s="38"/>
      <c r="X69" s="247"/>
      <c r="Y69" s="247"/>
      <c r="Z69" s="247"/>
      <c r="AA69" s="247"/>
      <c r="AB69" s="247"/>
      <c r="AC69" s="247"/>
      <c r="AD69" s="247"/>
      <c r="AE69" s="247"/>
      <c r="AF69" s="247"/>
      <c r="AG69" s="247"/>
      <c r="AH69" s="247"/>
      <c r="AI69" s="279"/>
      <c r="AJ69"/>
    </row>
    <row r="70" spans="1:36" ht="13.95" customHeight="1">
      <c r="A70" s="49">
        <f>IF(Declarations!B43=0,"",Declarations!B43)</f>
        <v>38</v>
      </c>
      <c r="B70" s="150" t="str">
        <f>IF(ISNA(VLOOKUP(A70,Declarations!B$6:C$185,2,FALSE)),"",IF(VLOOKUP(A70,Declarations!B$6:C$185,2,FALSE)="","",VLOOKUP(A70,Declarations!B$6:C$185,2,FALSE)))</f>
        <v>MATTHEW LEWIS</v>
      </c>
      <c r="C70" s="150" t="str">
        <f>IF(ISNA(VLOOKUP(A70,Declarations!B$6:F$185,5,FALSE)),"",IF(VLOOKUP(A70,Declarations!B$6:F$185,5,FALSE)="","",VLOOKUP(A70,Declarations!B$6:F$185,5,FALSE)))</f>
        <v>Woking AC</v>
      </c>
      <c r="D70" s="150" t="str">
        <f>IF(ISNA(VLOOKUP(A70,Declarations!B$6:F$185,4,FALSE)),"",IF(VLOOKUP(A70,Declarations!B$6:F$185,4,FALSE)="","",VLOOKUP(A70,Declarations!B$6:F$185,4,FALSE)))</f>
        <v>BOYS</v>
      </c>
      <c r="E70" s="150" t="str">
        <f>IF(ISNA(VLOOKUP(A70,Declarations!B$6:D$185,3,FALSE)),"",IF(VLOOKUP(A70,Declarations!B$6:D$185,3,FALSE)="","",VLOOKUP(A70,Declarations!B$6:D$185,3,FALSE)))</f>
        <v>U12</v>
      </c>
      <c r="F70" s="49">
        <f>IF(B70="","",IF(ISNA(VLOOKUP(A70,'75m'!F$5:G$302,2,FALSE)),"",VLOOKUP(A70,'75m'!F$5:G$302,2,FALSE)))</f>
        <v>12.9</v>
      </c>
      <c r="G70" s="49">
        <f>IF(B70="",0,IF(ISNA(VLOOKUP(A70,'75m'!F$5:J$302,5,FALSE)),0,VLOOKUP(A70,'75m'!F$5:J$302,5,FALSE)))</f>
        <v>41</v>
      </c>
      <c r="H70" s="49" t="str">
        <f>IF(B70="","",IF(ISNA(VLOOKUP(A70,'75m'!F$5:K$302,6,FALSE)),"",VLOOKUP(A70,'75m'!F$5:K$302,6,FALSE)))</f>
        <v>PB5</v>
      </c>
      <c r="I70" s="51">
        <f>IF(B70="",0,IF(ISNA(VLOOKUP(A70,'600m'!F$5:J$302,2,FALSE)),0,VLOOKUP(A70,'600m'!F$5:J$302,2,FALSE)))</f>
        <v>1.4826388888888888E-3</v>
      </c>
      <c r="J70" s="49">
        <f>IF(B70="",0,IF(ISNA(VLOOKUP(A70,'600m'!F$5:J$302,5,FALSE)),0,VLOOKUP(A70,'600m'!F$5:J$302,5,FALSE)))</f>
        <v>61</v>
      </c>
      <c r="K70" s="49" t="str">
        <f>IF(B70="","",IF(ISNA(VLOOKUP(A70,'600m'!F$5:K$302,6,FALSE)),"",VLOOKUP(A70,'600m'!F$5:K$302,6,FALSE)))</f>
        <v>PB3</v>
      </c>
      <c r="L70" s="49">
        <f>IF(B70="","",IF(ISNA(VLOOKUP(A70,LongJump!F$5:G$302,2,FALSE)),"",VLOOKUP(A70,LongJump!F$5:G$302,2,FALSE)))</f>
        <v>3.07</v>
      </c>
      <c r="M70" s="49">
        <f>IF(B70="",0,IF(ISNA(VLOOKUP(A70,LongJump!F$5:J$302,5,FALSE)),0,VLOOKUP(A70,LongJump!F$5:J$302,5,FALSE)))</f>
        <v>39</v>
      </c>
      <c r="N70" s="49" t="str">
        <f>IF(B70="",0,IF(ISNA(VLOOKUP(A70,LongJump!F$5:K$302,6,FALSE)),0,VLOOKUP(A70,LongJump!F$5:K$302,6,FALSE)))</f>
        <v>PB5</v>
      </c>
      <c r="O70" s="49">
        <f>IF(B70="","",IF(ISNA(VLOOKUP(A70,Vortex!F$5:J$302,2,FALSE)),"",VLOOKUP(A70,Vortex!F$5:J$302,2,FALSE)))</f>
        <v>31.88</v>
      </c>
      <c r="P70" s="49">
        <f>IF(B70="",0,IF(ISNA(VLOOKUP(A70,Vortex!F$5:J$302,5,FALSE)),0,VLOOKUP(A70,Vortex!F$5:J$302,5,FALSE)))</f>
        <v>63</v>
      </c>
      <c r="Q70" s="49">
        <f t="shared" si="4"/>
        <v>204</v>
      </c>
      <c r="R70" s="49">
        <f t="shared" si="5"/>
        <v>8</v>
      </c>
      <c r="S70" s="49">
        <f t="shared" si="6"/>
        <v>22</v>
      </c>
      <c r="T70" s="4"/>
      <c r="U70" s="4"/>
      <c r="V70" s="4"/>
      <c r="W70" s="38"/>
      <c r="X70" s="247"/>
      <c r="Y70" s="247"/>
      <c r="Z70" s="247"/>
      <c r="AA70" s="247"/>
      <c r="AB70" s="247"/>
      <c r="AC70" s="247"/>
      <c r="AD70" s="247"/>
      <c r="AE70" s="247"/>
      <c r="AF70" s="247"/>
      <c r="AG70" s="247"/>
      <c r="AH70" s="247"/>
      <c r="AI70" s="279"/>
      <c r="AJ70"/>
    </row>
    <row r="71" spans="1:36" ht="13.95" customHeight="1">
      <c r="A71" s="49">
        <f>IF(Declarations!B44=0,"",Declarations!B44)</f>
        <v>39</v>
      </c>
      <c r="B71" s="150" t="str">
        <f>IF(ISNA(VLOOKUP(A71,Declarations!B$6:C$185,2,FALSE)),"",IF(VLOOKUP(A71,Declarations!B$6:C$185,2,FALSE)="","",VLOOKUP(A71,Declarations!B$6:C$185,2,FALSE)))</f>
        <v>FREDDIE SMITH</v>
      </c>
      <c r="C71" s="150" t="str">
        <f>IF(ISNA(VLOOKUP(A71,Declarations!B$6:F$185,5,FALSE)),"",IF(VLOOKUP(A71,Declarations!B$6:F$185,5,FALSE)="","",VLOOKUP(A71,Declarations!B$6:F$185,5,FALSE)))</f>
        <v>Woking AC</v>
      </c>
      <c r="D71" s="150" t="str">
        <f>IF(ISNA(VLOOKUP(A71,Declarations!B$6:F$185,4,FALSE)),"",IF(VLOOKUP(A71,Declarations!B$6:F$185,4,FALSE)="","",VLOOKUP(A71,Declarations!B$6:F$185,4,FALSE)))</f>
        <v>BOYS</v>
      </c>
      <c r="E71" s="150" t="str">
        <f>IF(ISNA(VLOOKUP(A71,Declarations!B$6:D$185,3,FALSE)),"",IF(VLOOKUP(A71,Declarations!B$6:D$185,3,FALSE)="","",VLOOKUP(A71,Declarations!B$6:D$185,3,FALSE)))</f>
        <v>U12</v>
      </c>
      <c r="F71" s="49">
        <f>IF(B71="","",IF(ISNA(VLOOKUP(A71,'75m'!F$5:G$302,2,FALSE)),"",VLOOKUP(A71,'75m'!F$5:G$302,2,FALSE)))</f>
        <v>11.8</v>
      </c>
      <c r="G71" s="49">
        <f>IF(B71="",0,IF(ISNA(VLOOKUP(A71,'75m'!F$5:J$302,5,FALSE)),0,VLOOKUP(A71,'75m'!F$5:J$302,5,FALSE)))</f>
        <v>52</v>
      </c>
      <c r="H71" s="49" t="str">
        <f>IF(B71="","",IF(ISNA(VLOOKUP(A71,'75m'!F$5:K$302,6,FALSE)),"",VLOOKUP(A71,'75m'!F$5:K$302,6,FALSE)))</f>
        <v>PB7</v>
      </c>
      <c r="I71" s="51">
        <f>IF(B71="",0,IF(ISNA(VLOOKUP(A71,'600m'!F$5:J$302,2,FALSE)),0,VLOOKUP(A71,'600m'!F$5:J$302,2,FALSE)))</f>
        <v>1.7083333333333332E-3</v>
      </c>
      <c r="J71" s="49">
        <f>IF(B71="",0,IF(ISNA(VLOOKUP(A71,'600m'!F$5:J$302,5,FALSE)),0,VLOOKUP(A71,'600m'!F$5:J$302,5,FALSE)))</f>
        <v>42</v>
      </c>
      <c r="K71" s="49" t="str">
        <f>IF(B71="","",IF(ISNA(VLOOKUP(A71,'600m'!F$5:K$302,6,FALSE)),"",VLOOKUP(A71,'600m'!F$5:K$302,6,FALSE)))</f>
        <v>PB1</v>
      </c>
      <c r="L71" s="49">
        <f>IF(B71="","",IF(ISNA(VLOOKUP(A71,LongJump!F$5:G$302,2,FALSE)),"",VLOOKUP(A71,LongJump!F$5:G$302,2,FALSE)))</f>
        <v>3.67</v>
      </c>
      <c r="M71" s="49">
        <f>IF(B71="",0,IF(ISNA(VLOOKUP(A71,LongJump!F$5:J$302,5,FALSE)),0,VLOOKUP(A71,LongJump!F$5:J$302,5,FALSE)))</f>
        <v>59</v>
      </c>
      <c r="N71" s="49" t="str">
        <f>IF(B71="",0,IF(ISNA(VLOOKUP(A71,LongJump!F$5:K$302,6,FALSE)),0,VLOOKUP(A71,LongJump!F$5:K$302,6,FALSE)))</f>
        <v>PB7</v>
      </c>
      <c r="O71" s="49">
        <f>IF(B71="","",IF(ISNA(VLOOKUP(A71,Vortex!F$5:J$302,2,FALSE)),"",VLOOKUP(A71,Vortex!F$5:J$302,2,FALSE)))</f>
        <v>32.340000000000003</v>
      </c>
      <c r="P71" s="49">
        <f>IF(B71="",0,IF(ISNA(VLOOKUP(A71,Vortex!F$5:J$302,5,FALSE)),0,VLOOKUP(A71,Vortex!F$5:J$302,5,FALSE)))</f>
        <v>64</v>
      </c>
      <c r="Q71" s="49">
        <f t="shared" si="4"/>
        <v>217</v>
      </c>
      <c r="R71" s="49">
        <f t="shared" si="5"/>
        <v>5</v>
      </c>
      <c r="S71" s="49">
        <f t="shared" si="6"/>
        <v>14</v>
      </c>
      <c r="T71" s="4"/>
      <c r="U71" s="4"/>
      <c r="V71" s="4"/>
      <c r="W71" s="38"/>
      <c r="X71" s="247"/>
      <c r="Y71" s="247"/>
      <c r="Z71" s="247"/>
      <c r="AA71" s="247"/>
      <c r="AB71" s="247"/>
      <c r="AC71" s="247"/>
      <c r="AD71" s="247"/>
      <c r="AE71" s="247"/>
      <c r="AF71" s="247"/>
      <c r="AG71" s="247"/>
      <c r="AH71" s="247"/>
      <c r="AI71" s="279"/>
      <c r="AJ71"/>
    </row>
    <row r="72" spans="1:36" ht="13.95" customHeight="1">
      <c r="A72" s="49">
        <f>IF(Declarations!B45=0,"",Declarations!B45)</f>
        <v>40</v>
      </c>
      <c r="B72" s="150" t="str">
        <f>IF(ISNA(VLOOKUP(A72,Declarations!B$6:C$185,2,FALSE)),"",IF(VLOOKUP(A72,Declarations!B$6:C$185,2,FALSE)="","",VLOOKUP(A72,Declarations!B$6:C$185,2,FALSE)))</f>
        <v>OWEN BRAYBOOKE</v>
      </c>
      <c r="C72" s="150" t="str">
        <f>IF(ISNA(VLOOKUP(A72,Declarations!B$6:F$185,5,FALSE)),"",IF(VLOOKUP(A72,Declarations!B$6:F$185,5,FALSE)="","",VLOOKUP(A72,Declarations!B$6:F$185,5,FALSE)))</f>
        <v>Woking AC</v>
      </c>
      <c r="D72" s="150" t="str">
        <f>IF(ISNA(VLOOKUP(A72,Declarations!B$6:F$185,4,FALSE)),"",IF(VLOOKUP(A72,Declarations!B$6:F$185,4,FALSE)="","",VLOOKUP(A72,Declarations!B$6:F$185,4,FALSE)))</f>
        <v>BOYS</v>
      </c>
      <c r="E72" s="150" t="str">
        <f>IF(ISNA(VLOOKUP(A72,Declarations!B$6:D$185,3,FALSE)),"",IF(VLOOKUP(A72,Declarations!B$6:D$185,3,FALSE)="","",VLOOKUP(A72,Declarations!B$6:D$185,3,FALSE)))</f>
        <v>U12</v>
      </c>
      <c r="F72" s="49">
        <f>IF(B72="","",IF(ISNA(VLOOKUP(A72,'75m'!F$5:G$302,2,FALSE)),"",VLOOKUP(A72,'75m'!F$5:G$302,2,FALSE)))</f>
        <v>11.1</v>
      </c>
      <c r="G72" s="49">
        <f>IF(B72="",0,IF(ISNA(VLOOKUP(A72,'75m'!F$5:J$302,5,FALSE)),0,VLOOKUP(A72,'75m'!F$5:J$302,5,FALSE)))</f>
        <v>59</v>
      </c>
      <c r="H72" s="49" t="str">
        <f>IF(B72="","",IF(ISNA(VLOOKUP(A72,'75m'!F$5:K$302,6,FALSE)),"",VLOOKUP(A72,'75m'!F$5:K$302,6,FALSE)))</f>
        <v>PB9</v>
      </c>
      <c r="I72" s="51">
        <f>IF(B72="",0,IF(ISNA(VLOOKUP(A72,'600m'!F$5:J$302,2,FALSE)),0,VLOOKUP(A72,'600m'!F$5:J$302,2,FALSE)))</f>
        <v>1.6226851851851851E-3</v>
      </c>
      <c r="J72" s="49">
        <f>IF(B72="",0,IF(ISNA(VLOOKUP(A72,'600m'!F$5:J$302,5,FALSE)),0,VLOOKUP(A72,'600m'!F$5:J$302,5,FALSE)))</f>
        <v>49</v>
      </c>
      <c r="K72" s="49" t="str">
        <f>IF(B72="","",IF(ISNA(VLOOKUP(A72,'600m'!F$5:K$302,6,FALSE)),"",VLOOKUP(A72,'600m'!F$5:K$302,6,FALSE)))</f>
        <v>PB1</v>
      </c>
      <c r="L72" s="49">
        <f>IF(B72="","",IF(ISNA(VLOOKUP(A72,LongJump!F$5:G$302,2,FALSE)),"",VLOOKUP(A72,LongJump!F$5:G$302,2,FALSE)))</f>
        <v>4.07</v>
      </c>
      <c r="M72" s="49">
        <f>IF(B72="",0,IF(ISNA(VLOOKUP(A72,LongJump!F$5:J$302,5,FALSE)),0,VLOOKUP(A72,LongJump!F$5:J$302,5,FALSE)))</f>
        <v>72</v>
      </c>
      <c r="N72" s="49" t="str">
        <f>IF(B72="",0,IF(ISNA(VLOOKUP(A72,LongJump!F$5:K$302,6,FALSE)),0,VLOOKUP(A72,LongJump!F$5:K$302,6,FALSE)))</f>
        <v>PB9</v>
      </c>
      <c r="O72" s="49">
        <f>IF(B72="","",IF(ISNA(VLOOKUP(A72,Vortex!F$5:J$302,2,FALSE)),"",VLOOKUP(A72,Vortex!F$5:J$302,2,FALSE)))</f>
        <v>38.74</v>
      </c>
      <c r="P72" s="49">
        <f>IF(B72="",0,IF(ISNA(VLOOKUP(A72,Vortex!F$5:J$302,5,FALSE)),0,VLOOKUP(A72,Vortex!F$5:J$302,5,FALSE)))</f>
        <v>77</v>
      </c>
      <c r="Q72" s="49">
        <f t="shared" si="4"/>
        <v>257</v>
      </c>
      <c r="R72" s="49">
        <f t="shared" si="5"/>
        <v>2</v>
      </c>
      <c r="S72" s="49">
        <f t="shared" si="6"/>
        <v>4</v>
      </c>
      <c r="T72" s="4"/>
      <c r="U72" s="4"/>
      <c r="V72" s="4"/>
      <c r="W72" s="38"/>
      <c r="X72" s="247"/>
      <c r="Y72" s="247"/>
      <c r="Z72" s="247"/>
      <c r="AA72" s="247"/>
      <c r="AB72" s="247"/>
      <c r="AC72" s="247"/>
      <c r="AD72" s="247"/>
      <c r="AE72" s="247"/>
      <c r="AF72" s="247"/>
      <c r="AG72" s="247"/>
      <c r="AH72" s="247"/>
      <c r="AI72" s="279"/>
      <c r="AJ72"/>
    </row>
    <row r="73" spans="1:36" ht="13.95" customHeight="1">
      <c r="A73" s="49">
        <f>IF(Declarations!B46=0,"",Declarations!B46)</f>
        <v>41</v>
      </c>
      <c r="B73" s="150" t="str">
        <f>IF(ISNA(VLOOKUP(A73,Declarations!B$6:C$185,2,FALSE)),"",IF(VLOOKUP(A73,Declarations!B$6:C$185,2,FALSE)="","",VLOOKUP(A73,Declarations!B$6:C$185,2,FALSE)))</f>
        <v>KAMILA OLATEJU</v>
      </c>
      <c r="C73" s="150" t="str">
        <f>IF(ISNA(VLOOKUP(A73,Declarations!B$6:F$185,5,FALSE)),"",IF(VLOOKUP(A73,Declarations!B$6:F$185,5,FALSE)="","",VLOOKUP(A73,Declarations!B$6:F$185,5,FALSE)))</f>
        <v>Poole Runners</v>
      </c>
      <c r="D73" s="150" t="str">
        <f>IF(ISNA(VLOOKUP(A73,Declarations!B$6:F$185,4,FALSE)),"",IF(VLOOKUP(A73,Declarations!B$6:F$185,4,FALSE)="","",VLOOKUP(A73,Declarations!B$6:F$185,4,FALSE)))</f>
        <v>GIRLS</v>
      </c>
      <c r="E73" s="150" t="str">
        <f>IF(ISNA(VLOOKUP(A73,Declarations!B$6:D$185,3,FALSE)),"",IF(VLOOKUP(A73,Declarations!B$6:D$185,3,FALSE)="","",VLOOKUP(A73,Declarations!B$6:D$185,3,FALSE)))</f>
        <v>U12</v>
      </c>
      <c r="F73" s="49">
        <f>IF(B73="","",IF(ISNA(VLOOKUP(A73,'75m'!F$5:G$302,2,FALSE)),"",VLOOKUP(A73,'75m'!F$5:G$302,2,FALSE)))</f>
        <v>11.2</v>
      </c>
      <c r="G73" s="49">
        <f>IF(B73="",0,IF(ISNA(VLOOKUP(A73,'75m'!F$5:J$302,5,FALSE)),0,VLOOKUP(A73,'75m'!F$5:J$302,5,FALSE)))</f>
        <v>58</v>
      </c>
      <c r="H73" s="49" t="str">
        <f>IF(B73="","",IF(ISNA(VLOOKUP(A73,'75m'!F$5:K$302,6,FALSE)),"",VLOOKUP(A73,'75m'!F$5:K$302,6,FALSE)))</f>
        <v>PB9</v>
      </c>
      <c r="I73" s="51">
        <f>IF(B73="",0,IF(ISNA(VLOOKUP(A73,'600m'!F$5:J$302,2,FALSE)),0,VLOOKUP(A73,'600m'!F$5:J$302,2,FALSE)))</f>
        <v>1.2986111111111111E-3</v>
      </c>
      <c r="J73" s="49">
        <f>IF(B73="",0,IF(ISNA(VLOOKUP(A73,'600m'!F$5:J$302,5,FALSE)),0,VLOOKUP(A73,'600m'!F$5:J$302,5,FALSE)))</f>
        <v>77</v>
      </c>
      <c r="K73" s="49" t="str">
        <f>IF(B73="","",IF(ISNA(VLOOKUP(A73,'600m'!F$5:K$302,6,FALSE)),"",VLOOKUP(A73,'600m'!F$5:K$302,6,FALSE)))</f>
        <v>PB7</v>
      </c>
      <c r="L73" s="49">
        <f>IF(B73="","",IF(ISNA(VLOOKUP(A73,LongJump!F$5:G$302,2,FALSE)),"",VLOOKUP(A73,LongJump!F$5:G$302,2,FALSE)))</f>
        <v>3.14</v>
      </c>
      <c r="M73" s="49">
        <f>IF(B73="",0,IF(ISNA(VLOOKUP(A73,LongJump!F$5:J$302,5,FALSE)),0,VLOOKUP(A73,LongJump!F$5:J$302,5,FALSE)))</f>
        <v>41</v>
      </c>
      <c r="N73" s="49" t="str">
        <f>IF(B73="",0,IF(ISNA(VLOOKUP(A73,LongJump!F$5:K$302,6,FALSE)),0,VLOOKUP(A73,LongJump!F$5:K$302,6,FALSE)))</f>
        <v>PB6</v>
      </c>
      <c r="O73" s="49">
        <f>IF(B73="","",IF(ISNA(VLOOKUP(A73,Vortex!F$5:J$302,2,FALSE)),"",VLOOKUP(A73,Vortex!F$5:J$302,2,FALSE)))</f>
        <v>16.12</v>
      </c>
      <c r="P73" s="49">
        <f>IF(B73="",0,IF(ISNA(VLOOKUP(A73,Vortex!F$5:J$302,5,FALSE)),0,VLOOKUP(A73,Vortex!F$5:J$302,5,FALSE)))</f>
        <v>32</v>
      </c>
      <c r="Q73" s="49">
        <f t="shared" si="4"/>
        <v>208</v>
      </c>
      <c r="R73" s="49">
        <f t="shared" si="5"/>
        <v>1</v>
      </c>
      <c r="S73" s="49">
        <f t="shared" si="6"/>
        <v>10</v>
      </c>
      <c r="T73" s="4"/>
      <c r="U73" s="4"/>
      <c r="V73" s="4"/>
      <c r="W73" s="38"/>
      <c r="X73" s="9"/>
      <c r="Y73" s="9"/>
      <c r="AI73"/>
      <c r="AJ73"/>
    </row>
    <row r="74" spans="1:36" ht="13.95" customHeight="1">
      <c r="A74" s="49">
        <f>IF(Declarations!B47=0,"",Declarations!B47)</f>
        <v>42</v>
      </c>
      <c r="B74" s="150" t="str">
        <f>IF(ISNA(VLOOKUP(A74,Declarations!B$6:C$185,2,FALSE)),"",IF(VLOOKUP(A74,Declarations!B$6:C$185,2,FALSE)="","",VLOOKUP(A74,Declarations!B$6:C$185,2,FALSE)))</f>
        <v>ROSE NEIL</v>
      </c>
      <c r="C74" s="150" t="str">
        <f>IF(ISNA(VLOOKUP(A74,Declarations!B$6:F$185,5,FALSE)),"",IF(VLOOKUP(A74,Declarations!B$6:F$185,5,FALSE)="","",VLOOKUP(A74,Declarations!B$6:F$185,5,FALSE)))</f>
        <v>Poole Runners</v>
      </c>
      <c r="D74" s="150" t="str">
        <f>IF(ISNA(VLOOKUP(A74,Declarations!B$6:F$185,4,FALSE)),"",IF(VLOOKUP(A74,Declarations!B$6:F$185,4,FALSE)="","",VLOOKUP(A74,Declarations!B$6:F$185,4,FALSE)))</f>
        <v>GIRLS</v>
      </c>
      <c r="E74" s="150" t="str">
        <f>IF(ISNA(VLOOKUP(A74,Declarations!B$6:D$185,3,FALSE)),"",IF(VLOOKUP(A74,Declarations!B$6:D$185,3,FALSE)="","",VLOOKUP(A74,Declarations!B$6:D$185,3,FALSE)))</f>
        <v>U12</v>
      </c>
      <c r="F74" s="49">
        <f>IF(B74="","",IF(ISNA(VLOOKUP(A74,'75m'!F$5:G$302,2,FALSE)),"",VLOOKUP(A74,'75m'!F$5:G$302,2,FALSE)))</f>
        <v>11.9</v>
      </c>
      <c r="G74" s="49">
        <f>IF(B74="",0,IF(ISNA(VLOOKUP(A74,'75m'!F$5:J$302,5,FALSE)),0,VLOOKUP(A74,'75m'!F$5:J$302,5,FALSE)))</f>
        <v>51</v>
      </c>
      <c r="H74" s="49" t="str">
        <f>IF(B74="","",IF(ISNA(VLOOKUP(A74,'75m'!F$5:K$302,6,FALSE)),"",VLOOKUP(A74,'75m'!F$5:K$302,6,FALSE)))</f>
        <v>PB8</v>
      </c>
      <c r="I74" s="51">
        <f>IF(B74="",0,IF(ISNA(VLOOKUP(A74,'600m'!F$5:J$302,2,FALSE)),0,VLOOKUP(A74,'600m'!F$5:J$302,2,FALSE)))</f>
        <v>1.7083333333333332E-3</v>
      </c>
      <c r="J74" s="49">
        <f>IF(B74="",0,IF(ISNA(VLOOKUP(A74,'600m'!F$5:J$302,5,FALSE)),0,VLOOKUP(A74,'600m'!F$5:J$302,5,FALSE)))</f>
        <v>42</v>
      </c>
      <c r="K74" s="49" t="str">
        <f>IF(B74="","",IF(ISNA(VLOOKUP(A74,'600m'!F$5:K$302,6,FALSE)),"",VLOOKUP(A74,'600m'!F$5:K$302,6,FALSE)))</f>
        <v>PB1</v>
      </c>
      <c r="L74" s="49">
        <f>IF(B74="","",IF(ISNA(VLOOKUP(A74,LongJump!F$5:G$302,2,FALSE)),"",VLOOKUP(A74,LongJump!F$5:G$302,2,FALSE)))</f>
        <v>2.87</v>
      </c>
      <c r="M74" s="49">
        <f>IF(B74="",0,IF(ISNA(VLOOKUP(A74,LongJump!F$5:J$302,5,FALSE)),0,VLOOKUP(A74,LongJump!F$5:J$302,5,FALSE)))</f>
        <v>32</v>
      </c>
      <c r="N74" s="49" t="str">
        <f>IF(B74="",0,IF(ISNA(VLOOKUP(A74,LongJump!F$5:K$302,6,FALSE)),0,VLOOKUP(A74,LongJump!F$5:K$302,6,FALSE)))</f>
        <v>PB5</v>
      </c>
      <c r="O74" s="49">
        <f>IF(B74="","",IF(ISNA(VLOOKUP(A74,Vortex!F$5:J$302,2,FALSE)),"",VLOOKUP(A74,Vortex!F$5:J$302,2,FALSE)))</f>
        <v>15.83</v>
      </c>
      <c r="P74" s="49">
        <f>IF(B74="",0,IF(ISNA(VLOOKUP(A74,Vortex!F$5:J$302,5,FALSE)),0,VLOOKUP(A74,Vortex!F$5:J$302,5,FALSE)))</f>
        <v>31</v>
      </c>
      <c r="Q74" s="49">
        <f t="shared" si="4"/>
        <v>156</v>
      </c>
      <c r="R74" s="49">
        <f t="shared" si="5"/>
        <v>8</v>
      </c>
      <c r="S74" s="49">
        <f t="shared" si="6"/>
        <v>30</v>
      </c>
      <c r="T74" s="4"/>
      <c r="U74" s="4"/>
      <c r="V74" s="4"/>
      <c r="W74" s="38"/>
      <c r="X74" s="9"/>
      <c r="Y74" s="9"/>
      <c r="AI74"/>
      <c r="AJ74"/>
    </row>
    <row r="75" spans="1:36" ht="13.95" customHeight="1">
      <c r="A75" s="49">
        <f>IF(Declarations!B48=0,"",Declarations!B48)</f>
        <v>43</v>
      </c>
      <c r="B75" s="150" t="str">
        <f>IF(ISNA(VLOOKUP(A75,Declarations!B$6:C$185,2,FALSE)),"",IF(VLOOKUP(A75,Declarations!B$6:C$185,2,FALSE)="","",VLOOKUP(A75,Declarations!B$6:C$185,2,FALSE)))</f>
        <v>DORA DOMA</v>
      </c>
      <c r="C75" s="150" t="str">
        <f>IF(ISNA(VLOOKUP(A75,Declarations!B$6:F$185,5,FALSE)),"",IF(VLOOKUP(A75,Declarations!B$6:F$185,5,FALSE)="","",VLOOKUP(A75,Declarations!B$6:F$185,5,FALSE)))</f>
        <v>Poole Runners</v>
      </c>
      <c r="D75" s="150" t="str">
        <f>IF(ISNA(VLOOKUP(A75,Declarations!B$6:F$185,4,FALSE)),"",IF(VLOOKUP(A75,Declarations!B$6:F$185,4,FALSE)="","",VLOOKUP(A75,Declarations!B$6:F$185,4,FALSE)))</f>
        <v>GIRLS</v>
      </c>
      <c r="E75" s="150" t="str">
        <f>IF(ISNA(VLOOKUP(A75,Declarations!B$6:D$185,3,FALSE)),"",IF(VLOOKUP(A75,Declarations!B$6:D$185,3,FALSE)="","",VLOOKUP(A75,Declarations!B$6:D$185,3,FALSE)))</f>
        <v>U12</v>
      </c>
      <c r="F75" s="49">
        <f>IF(B75="","",IF(ISNA(VLOOKUP(A75,'75m'!F$5:G$302,2,FALSE)),"",VLOOKUP(A75,'75m'!F$5:G$302,2,FALSE)))</f>
        <v>12.2</v>
      </c>
      <c r="G75" s="49">
        <f>IF(B75="",0,IF(ISNA(VLOOKUP(A75,'75m'!F$5:J$302,5,FALSE)),0,VLOOKUP(A75,'75m'!F$5:J$302,5,FALSE)))</f>
        <v>48</v>
      </c>
      <c r="H75" s="49" t="str">
        <f>IF(B75="","",IF(ISNA(VLOOKUP(A75,'75m'!F$5:K$302,6,FALSE)),"",VLOOKUP(A75,'75m'!F$5:K$302,6,FALSE)))</f>
        <v>PB7</v>
      </c>
      <c r="I75" s="51">
        <f>IF(B75="",0,IF(ISNA(VLOOKUP(A75,'600m'!F$5:J$302,2,FALSE)),0,VLOOKUP(A75,'600m'!F$5:J$302,2,FALSE)))</f>
        <v>1.4583333333333334E-3</v>
      </c>
      <c r="J75" s="49">
        <f>IF(B75="",0,IF(ISNA(VLOOKUP(A75,'600m'!F$5:J$302,5,FALSE)),0,VLOOKUP(A75,'600m'!F$5:J$302,5,FALSE)))</f>
        <v>64</v>
      </c>
      <c r="K75" s="49" t="str">
        <f>IF(B75="","",IF(ISNA(VLOOKUP(A75,'600m'!F$5:K$302,6,FALSE)),"",VLOOKUP(A75,'600m'!F$5:K$302,6,FALSE)))</f>
        <v>PB4</v>
      </c>
      <c r="L75" s="49">
        <f>IF(B75="","",IF(ISNA(VLOOKUP(A75,LongJump!F$5:G$302,2,FALSE)),"",VLOOKUP(A75,LongJump!F$5:G$302,2,FALSE)))</f>
        <v>2.85</v>
      </c>
      <c r="M75" s="49">
        <f>IF(B75="",0,IF(ISNA(VLOOKUP(A75,LongJump!F$5:J$302,5,FALSE)),0,VLOOKUP(A75,LongJump!F$5:J$302,5,FALSE)))</f>
        <v>31</v>
      </c>
      <c r="N75" s="49" t="str">
        <f>IF(B75="",0,IF(ISNA(VLOOKUP(A75,LongJump!F$5:K$302,6,FALSE)),0,VLOOKUP(A75,LongJump!F$5:K$302,6,FALSE)))</f>
        <v>PB5</v>
      </c>
      <c r="O75" s="49">
        <f>IF(B75="","",IF(ISNA(VLOOKUP(A75,Vortex!F$5:J$302,2,FALSE)),"",VLOOKUP(A75,Vortex!F$5:J$302,2,FALSE)))</f>
        <v>18.690000000000001</v>
      </c>
      <c r="P75" s="49">
        <f>IF(B75="",0,IF(ISNA(VLOOKUP(A75,Vortex!F$5:J$302,5,FALSE)),0,VLOOKUP(A75,Vortex!F$5:J$302,5,FALSE)))</f>
        <v>37</v>
      </c>
      <c r="Q75" s="49">
        <f t="shared" si="4"/>
        <v>180</v>
      </c>
      <c r="R75" s="49">
        <f t="shared" si="5"/>
        <v>2</v>
      </c>
      <c r="S75" s="49">
        <f t="shared" si="6"/>
        <v>18</v>
      </c>
      <c r="T75" s="4"/>
      <c r="U75" s="4"/>
      <c r="V75" s="4"/>
      <c r="W75" s="38"/>
      <c r="X75" s="9"/>
      <c r="Y75" s="9"/>
      <c r="AI75"/>
      <c r="AJ75"/>
    </row>
    <row r="76" spans="1:36" ht="13.95" customHeight="1">
      <c r="A76" s="49">
        <f>IF(Declarations!B49=0,"",Declarations!B49)</f>
        <v>44</v>
      </c>
      <c r="B76" s="150" t="str">
        <f>IF(ISNA(VLOOKUP(A76,Declarations!B$6:C$185,2,FALSE)),"",IF(VLOOKUP(A76,Declarations!B$6:C$185,2,FALSE)="","",VLOOKUP(A76,Declarations!B$6:C$185,2,FALSE)))</f>
        <v>POLLY WARBOYS</v>
      </c>
      <c r="C76" s="150" t="str">
        <f>IF(ISNA(VLOOKUP(A76,Declarations!B$6:F$185,5,FALSE)),"",IF(VLOOKUP(A76,Declarations!B$6:F$185,5,FALSE)="","",VLOOKUP(A76,Declarations!B$6:F$185,5,FALSE)))</f>
        <v>Poole Runners</v>
      </c>
      <c r="D76" s="150" t="str">
        <f>IF(ISNA(VLOOKUP(A76,Declarations!B$6:F$185,4,FALSE)),"",IF(VLOOKUP(A76,Declarations!B$6:F$185,4,FALSE)="","",VLOOKUP(A76,Declarations!B$6:F$185,4,FALSE)))</f>
        <v>GIRLS</v>
      </c>
      <c r="E76" s="150" t="str">
        <f>IF(ISNA(VLOOKUP(A76,Declarations!B$6:D$185,3,FALSE)),"",IF(VLOOKUP(A76,Declarations!B$6:D$185,3,FALSE)="","",VLOOKUP(A76,Declarations!B$6:D$185,3,FALSE)))</f>
        <v>U12</v>
      </c>
      <c r="F76" s="49">
        <f>IF(B76="","",IF(ISNA(VLOOKUP(A76,'75m'!F$5:G$302,2,FALSE)),"",VLOOKUP(A76,'75m'!F$5:G$302,2,FALSE)))</f>
        <v>13.1</v>
      </c>
      <c r="G76" s="49">
        <f>IF(B76="",0,IF(ISNA(VLOOKUP(A76,'75m'!F$5:J$302,5,FALSE)),0,VLOOKUP(A76,'75m'!F$5:J$302,5,FALSE)))</f>
        <v>39</v>
      </c>
      <c r="H76" s="49" t="str">
        <f>IF(B76="","",IF(ISNA(VLOOKUP(A76,'75m'!F$5:K$302,6,FALSE)),"",VLOOKUP(A76,'75m'!F$5:K$302,6,FALSE)))</f>
        <v>PB5</v>
      </c>
      <c r="I76" s="51">
        <f>IF(B76="",0,IF(ISNA(VLOOKUP(A76,'600m'!F$5:J$302,2,FALSE)),0,VLOOKUP(A76,'600m'!F$5:J$302,2,FALSE)))</f>
        <v>1.6226851851851851E-3</v>
      </c>
      <c r="J76" s="49">
        <f>IF(B76="",0,IF(ISNA(VLOOKUP(A76,'600m'!F$5:J$302,5,FALSE)),0,VLOOKUP(A76,'600m'!F$5:J$302,5,FALSE)))</f>
        <v>49</v>
      </c>
      <c r="K76" s="49" t="str">
        <f>IF(B76="","",IF(ISNA(VLOOKUP(A76,'600m'!F$5:K$302,6,FALSE)),"",VLOOKUP(A76,'600m'!F$5:K$302,6,FALSE)))</f>
        <v>PB2</v>
      </c>
      <c r="L76" s="49">
        <f>IF(B76="","",IF(ISNA(VLOOKUP(A76,LongJump!F$5:G$302,2,FALSE)),"",VLOOKUP(A76,LongJump!F$5:G$302,2,FALSE)))</f>
        <v>2.85</v>
      </c>
      <c r="M76" s="49">
        <f>IF(B76="",0,IF(ISNA(VLOOKUP(A76,LongJump!F$5:J$302,5,FALSE)),0,VLOOKUP(A76,LongJump!F$5:J$302,5,FALSE)))</f>
        <v>31</v>
      </c>
      <c r="N76" s="49" t="str">
        <f>IF(B76="",0,IF(ISNA(VLOOKUP(A76,LongJump!F$5:K$302,6,FALSE)),0,VLOOKUP(A76,LongJump!F$5:K$302,6,FALSE)))</f>
        <v>PB5</v>
      </c>
      <c r="O76" s="49">
        <f>IF(B76="","",IF(ISNA(VLOOKUP(A76,Vortex!F$5:J$302,2,FALSE)),"",VLOOKUP(A76,Vortex!F$5:J$302,2,FALSE)))</f>
        <v>15.5</v>
      </c>
      <c r="P76" s="49">
        <f>IF(B76="",0,IF(ISNA(VLOOKUP(A76,Vortex!F$5:J$302,5,FALSE)),0,VLOOKUP(A76,Vortex!F$5:J$302,5,FALSE)))</f>
        <v>31</v>
      </c>
      <c r="Q76" s="49">
        <f t="shared" si="4"/>
        <v>150</v>
      </c>
      <c r="R76" s="49">
        <f t="shared" si="5"/>
        <v>10</v>
      </c>
      <c r="S76" s="49">
        <f t="shared" si="6"/>
        <v>34</v>
      </c>
      <c r="T76" s="4"/>
      <c r="U76" s="4"/>
      <c r="V76" s="4"/>
      <c r="W76" s="38"/>
      <c r="X76" s="9"/>
      <c r="Y76" s="9"/>
      <c r="AI76"/>
      <c r="AJ76"/>
    </row>
    <row r="77" spans="1:36" ht="13.95" customHeight="1">
      <c r="A77" s="49">
        <f>IF(Declarations!B50=0,"",Declarations!B50)</f>
        <v>45</v>
      </c>
      <c r="B77" s="150" t="str">
        <f>IF(ISNA(VLOOKUP(A77,Declarations!B$6:C$185,2,FALSE)),"",IF(VLOOKUP(A77,Declarations!B$6:C$185,2,FALSE)="","",VLOOKUP(A77,Declarations!B$6:C$185,2,FALSE)))</f>
        <v>VIOLET FULLING</v>
      </c>
      <c r="C77" s="150" t="str">
        <f>IF(ISNA(VLOOKUP(A77,Declarations!B$6:F$185,5,FALSE)),"",IF(VLOOKUP(A77,Declarations!B$6:F$185,5,FALSE)="","",VLOOKUP(A77,Declarations!B$6:F$185,5,FALSE)))</f>
        <v>Poole Runners</v>
      </c>
      <c r="D77" s="150" t="str">
        <f>IF(ISNA(VLOOKUP(A77,Declarations!B$6:F$185,4,FALSE)),"",IF(VLOOKUP(A77,Declarations!B$6:F$185,4,FALSE)="","",VLOOKUP(A77,Declarations!B$6:F$185,4,FALSE)))</f>
        <v>GIRLS</v>
      </c>
      <c r="E77" s="150" t="str">
        <f>IF(ISNA(VLOOKUP(A77,Declarations!B$6:D$185,3,FALSE)),"",IF(VLOOKUP(A77,Declarations!B$6:D$185,3,FALSE)="","",VLOOKUP(A77,Declarations!B$6:D$185,3,FALSE)))</f>
        <v>U12</v>
      </c>
      <c r="F77" s="49">
        <f>IF(B77="","",IF(ISNA(VLOOKUP(A77,'75m'!F$5:G$302,2,FALSE)),"",VLOOKUP(A77,'75m'!F$5:G$302,2,FALSE)))</f>
        <v>12.7</v>
      </c>
      <c r="G77" s="49">
        <f>IF(B77="",0,IF(ISNA(VLOOKUP(A77,'75m'!F$5:J$302,5,FALSE)),0,VLOOKUP(A77,'75m'!F$5:J$302,5,FALSE)))</f>
        <v>43</v>
      </c>
      <c r="H77" s="49" t="str">
        <f>IF(B77="","",IF(ISNA(VLOOKUP(A77,'75m'!F$5:K$302,6,FALSE)),"",VLOOKUP(A77,'75m'!F$5:K$302,6,FALSE)))</f>
        <v>PB6</v>
      </c>
      <c r="I77" s="51">
        <f>IF(B77="",0,IF(ISNA(VLOOKUP(A77,'600m'!F$5:J$302,2,FALSE)),0,VLOOKUP(A77,'600m'!F$5:J$302,2,FALSE)))</f>
        <v>1.502314814814815E-3</v>
      </c>
      <c r="J77" s="49">
        <f>IF(B77="",0,IF(ISNA(VLOOKUP(A77,'600m'!F$5:J$302,5,FALSE)),0,VLOOKUP(A77,'600m'!F$5:J$302,5,FALSE)))</f>
        <v>60</v>
      </c>
      <c r="K77" s="49" t="str">
        <f>IF(B77="","",IF(ISNA(VLOOKUP(A77,'600m'!F$5:K$302,6,FALSE)),"",VLOOKUP(A77,'600m'!F$5:K$302,6,FALSE)))</f>
        <v>PB4</v>
      </c>
      <c r="L77" s="49">
        <f>IF(B77="","",IF(ISNA(VLOOKUP(A77,LongJump!F$5:G$302,2,FALSE)),"",VLOOKUP(A77,LongJump!F$5:G$302,2,FALSE)))</f>
        <v>2.93</v>
      </c>
      <c r="M77" s="49">
        <f>IF(B77="",0,IF(ISNA(VLOOKUP(A77,LongJump!F$5:J$302,5,FALSE)),0,VLOOKUP(A77,LongJump!F$5:J$302,5,FALSE)))</f>
        <v>34</v>
      </c>
      <c r="N77" s="49" t="str">
        <f>IF(B77="",0,IF(ISNA(VLOOKUP(A77,LongJump!F$5:K$302,6,FALSE)),0,VLOOKUP(A77,LongJump!F$5:K$302,6,FALSE)))</f>
        <v>PB5</v>
      </c>
      <c r="O77" s="49">
        <f>IF(B77="","",IF(ISNA(VLOOKUP(A77,Vortex!F$5:J$302,2,FALSE)),"",VLOOKUP(A77,Vortex!F$5:J$302,2,FALSE)))</f>
        <v>19.3</v>
      </c>
      <c r="P77" s="49">
        <f>IF(B77="",0,IF(ISNA(VLOOKUP(A77,Vortex!F$5:J$302,5,FALSE)),0,VLOOKUP(A77,Vortex!F$5:J$302,5,FALSE)))</f>
        <v>38</v>
      </c>
      <c r="Q77" s="49">
        <f t="shared" si="4"/>
        <v>175</v>
      </c>
      <c r="R77" s="49">
        <f t="shared" si="5"/>
        <v>3</v>
      </c>
      <c r="S77" s="49">
        <f t="shared" si="6"/>
        <v>20</v>
      </c>
      <c r="T77" s="4"/>
      <c r="U77" s="4"/>
      <c r="V77" s="4"/>
      <c r="W77" s="38"/>
      <c r="X77" s="9"/>
      <c r="Y77" s="9"/>
      <c r="AI77"/>
      <c r="AJ77"/>
    </row>
    <row r="78" spans="1:36" ht="13.95" customHeight="1">
      <c r="A78" s="49">
        <f>IF(Declarations!B51=0,"",Declarations!B51)</f>
        <v>46</v>
      </c>
      <c r="B78" s="150" t="str">
        <f>IF(ISNA(VLOOKUP(A78,Declarations!B$6:C$185,2,FALSE)),"",IF(VLOOKUP(A78,Declarations!B$6:C$185,2,FALSE)="","",VLOOKUP(A78,Declarations!B$6:C$185,2,FALSE)))</f>
        <v>BROOKE PARRY-DAVIDSON</v>
      </c>
      <c r="C78" s="150" t="str">
        <f>IF(ISNA(VLOOKUP(A78,Declarations!B$6:F$185,5,FALSE)),"",IF(VLOOKUP(A78,Declarations!B$6:F$185,5,FALSE)="","",VLOOKUP(A78,Declarations!B$6:F$185,5,FALSE)))</f>
        <v>Poole Runners</v>
      </c>
      <c r="D78" s="150" t="str">
        <f>IF(ISNA(VLOOKUP(A78,Declarations!B$6:F$185,4,FALSE)),"",IF(VLOOKUP(A78,Declarations!B$6:F$185,4,FALSE)="","",VLOOKUP(A78,Declarations!B$6:F$185,4,FALSE)))</f>
        <v>GIRLS</v>
      </c>
      <c r="E78" s="150" t="str">
        <f>IF(ISNA(VLOOKUP(A78,Declarations!B$6:D$185,3,FALSE)),"",IF(VLOOKUP(A78,Declarations!B$6:D$185,3,FALSE)="","",VLOOKUP(A78,Declarations!B$6:D$185,3,FALSE)))</f>
        <v>U12</v>
      </c>
      <c r="F78" s="49">
        <f>IF(B78="","",IF(ISNA(VLOOKUP(A78,'75m'!F$5:G$302,2,FALSE)),"",VLOOKUP(A78,'75m'!F$5:G$302,2,FALSE)))</f>
        <v>12.3</v>
      </c>
      <c r="G78" s="49">
        <f>IF(B78="",0,IF(ISNA(VLOOKUP(A78,'75m'!F$5:J$302,5,FALSE)),0,VLOOKUP(A78,'75m'!F$5:J$302,5,FALSE)))</f>
        <v>47</v>
      </c>
      <c r="H78" s="49" t="str">
        <f>IF(B78="","",IF(ISNA(VLOOKUP(A78,'75m'!F$5:K$302,6,FALSE)),"",VLOOKUP(A78,'75m'!F$5:K$302,6,FALSE)))</f>
        <v>PB7</v>
      </c>
      <c r="I78" s="51">
        <f>IF(B78="",0,IF(ISNA(VLOOKUP(A78,'600m'!F$5:J$302,2,FALSE)),0,VLOOKUP(A78,'600m'!F$5:J$302,2,FALSE)))</f>
        <v>1.6307870370370371E-3</v>
      </c>
      <c r="J78" s="49">
        <f>IF(B78="",0,IF(ISNA(VLOOKUP(A78,'600m'!F$5:J$302,5,FALSE)),0,VLOOKUP(A78,'600m'!F$5:J$302,5,FALSE)))</f>
        <v>49</v>
      </c>
      <c r="K78" s="49" t="str">
        <f>IF(B78="","",IF(ISNA(VLOOKUP(A78,'600m'!F$5:K$302,6,FALSE)),"",VLOOKUP(A78,'600m'!F$5:K$302,6,FALSE)))</f>
        <v>PB2</v>
      </c>
      <c r="L78" s="49">
        <f>IF(B78="","",IF(ISNA(VLOOKUP(A78,LongJump!F$5:G$302,2,FALSE)),"",VLOOKUP(A78,LongJump!F$5:G$302,2,FALSE)))</f>
        <v>2.44</v>
      </c>
      <c r="M78" s="49">
        <f>IF(B78="",0,IF(ISNA(VLOOKUP(A78,LongJump!F$5:J$302,5,FALSE)),0,VLOOKUP(A78,LongJump!F$5:J$302,5,FALSE)))</f>
        <v>18</v>
      </c>
      <c r="N78" s="49" t="str">
        <f>IF(B78="",0,IF(ISNA(VLOOKUP(A78,LongJump!F$5:K$302,6,FALSE)),0,VLOOKUP(A78,LongJump!F$5:K$302,6,FALSE)))</f>
        <v>PB3</v>
      </c>
      <c r="O78" s="49">
        <f>IF(B78="","",IF(ISNA(VLOOKUP(A78,Vortex!F$5:J$302,2,FALSE)),"",VLOOKUP(A78,Vortex!F$5:J$302,2,FALSE)))</f>
        <v>18.940000000000001</v>
      </c>
      <c r="P78" s="49">
        <f>IF(B78="",0,IF(ISNA(VLOOKUP(A78,Vortex!F$5:J$302,5,FALSE)),0,VLOOKUP(A78,Vortex!F$5:J$302,5,FALSE)))</f>
        <v>37</v>
      </c>
      <c r="Q78" s="49">
        <f t="shared" si="4"/>
        <v>151</v>
      </c>
      <c r="R78" s="49">
        <f t="shared" si="5"/>
        <v>9</v>
      </c>
      <c r="S78" s="49">
        <f t="shared" si="6"/>
        <v>32</v>
      </c>
      <c r="T78" s="4"/>
      <c r="U78" s="4"/>
      <c r="V78" s="4"/>
      <c r="W78" s="38"/>
      <c r="X78" s="9"/>
      <c r="Y78" s="9"/>
      <c r="AI78"/>
      <c r="AJ78"/>
    </row>
    <row r="79" spans="1:36" ht="13.95" customHeight="1">
      <c r="A79" s="49">
        <f>IF(Declarations!B52=0,"",Declarations!B52)</f>
        <v>47</v>
      </c>
      <c r="B79" s="150" t="str">
        <f>IF(ISNA(VLOOKUP(A79,Declarations!B$6:C$185,2,FALSE)),"",IF(VLOOKUP(A79,Declarations!B$6:C$185,2,FALSE)="","",VLOOKUP(A79,Declarations!B$6:C$185,2,FALSE)))</f>
        <v>JESSICA FRANK</v>
      </c>
      <c r="C79" s="150" t="str">
        <f>IF(ISNA(VLOOKUP(A79,Declarations!B$6:F$185,5,FALSE)),"",IF(VLOOKUP(A79,Declarations!B$6:F$185,5,FALSE)="","",VLOOKUP(A79,Declarations!B$6:F$185,5,FALSE)))</f>
        <v>Poole Runners</v>
      </c>
      <c r="D79" s="150" t="str">
        <f>IF(ISNA(VLOOKUP(A79,Declarations!B$6:F$185,4,FALSE)),"",IF(VLOOKUP(A79,Declarations!B$6:F$185,4,FALSE)="","",VLOOKUP(A79,Declarations!B$6:F$185,4,FALSE)))</f>
        <v>GIRLS</v>
      </c>
      <c r="E79" s="150" t="str">
        <f>IF(ISNA(VLOOKUP(A79,Declarations!B$6:D$185,3,FALSE)),"",IF(VLOOKUP(A79,Declarations!B$6:D$185,3,FALSE)="","",VLOOKUP(A79,Declarations!B$6:D$185,3,FALSE)))</f>
        <v>U12</v>
      </c>
      <c r="F79" s="49">
        <f>IF(B79="","",IF(ISNA(VLOOKUP(A79,'75m'!F$5:G$302,2,FALSE)),"",VLOOKUP(A79,'75m'!F$5:G$302,2,FALSE)))</f>
        <v>11.6</v>
      </c>
      <c r="G79" s="49">
        <f>IF(B79="",0,IF(ISNA(VLOOKUP(A79,'75m'!F$5:J$302,5,FALSE)),0,VLOOKUP(A79,'75m'!F$5:J$302,5,FALSE)))</f>
        <v>54</v>
      </c>
      <c r="H79" s="49" t="str">
        <f>IF(B79="","",IF(ISNA(VLOOKUP(A79,'75m'!F$5:K$302,6,FALSE)),"",VLOOKUP(A79,'75m'!F$5:K$302,6,FALSE)))</f>
        <v>PB9</v>
      </c>
      <c r="I79" s="51">
        <f>IF(B79="",0,IF(ISNA(VLOOKUP(A79,'600m'!F$5:J$302,2,FALSE)),0,VLOOKUP(A79,'600m'!F$5:J$302,2,FALSE)))</f>
        <v>1.673611111111111E-3</v>
      </c>
      <c r="J79" s="49">
        <f>IF(B79="",0,IF(ISNA(VLOOKUP(A79,'600m'!F$5:J$302,5,FALSE)),0,VLOOKUP(A79,'600m'!F$5:J$302,5,FALSE)))</f>
        <v>45</v>
      </c>
      <c r="K79" s="49" t="str">
        <f>IF(B79="","",IF(ISNA(VLOOKUP(A79,'600m'!F$5:K$302,6,FALSE)),"",VLOOKUP(A79,'600m'!F$5:K$302,6,FALSE)))</f>
        <v>PB2</v>
      </c>
      <c r="L79" s="49">
        <f>IF(B79="","",IF(ISNA(VLOOKUP(A79,LongJump!F$5:G$302,2,FALSE)),"",VLOOKUP(A79,LongJump!F$5:G$302,2,FALSE)))</f>
        <v>2.83</v>
      </c>
      <c r="M79" s="49">
        <f>IF(B79="",0,IF(ISNA(VLOOKUP(A79,LongJump!F$5:J$302,5,FALSE)),0,VLOOKUP(A79,LongJump!F$5:J$302,5,FALSE)))</f>
        <v>31</v>
      </c>
      <c r="N79" s="49" t="str">
        <f>IF(B79="",0,IF(ISNA(VLOOKUP(A79,LongJump!F$5:K$302,6,FALSE)),0,VLOOKUP(A79,LongJump!F$5:K$302,6,FALSE)))</f>
        <v>PB5</v>
      </c>
      <c r="O79" s="49">
        <f>IF(B79="","",IF(ISNA(VLOOKUP(A79,Vortex!F$5:J$302,2,FALSE)),"",VLOOKUP(A79,Vortex!F$5:J$302,2,FALSE)))</f>
        <v>21.17</v>
      </c>
      <c r="P79" s="49">
        <f>IF(B79="",0,IF(ISNA(VLOOKUP(A79,Vortex!F$5:J$302,5,FALSE)),0,VLOOKUP(A79,Vortex!F$5:J$302,5,FALSE)))</f>
        <v>42</v>
      </c>
      <c r="Q79" s="49">
        <f t="shared" si="4"/>
        <v>172</v>
      </c>
      <c r="R79" s="49">
        <f t="shared" si="5"/>
        <v>5</v>
      </c>
      <c r="S79" s="49">
        <f t="shared" si="6"/>
        <v>24</v>
      </c>
      <c r="T79" s="4"/>
      <c r="U79" s="4"/>
      <c r="V79" s="4"/>
      <c r="W79" s="38"/>
      <c r="X79" s="9"/>
      <c r="Y79" s="9"/>
      <c r="AI79"/>
      <c r="AJ79"/>
    </row>
    <row r="80" spans="1:36" ht="13.95" customHeight="1">
      <c r="A80" s="49">
        <f>IF(Declarations!B53=0,"",Declarations!B53)</f>
        <v>48</v>
      </c>
      <c r="B80" s="150" t="str">
        <f>IF(ISNA(VLOOKUP(A80,Declarations!B$6:C$185,2,FALSE)),"",IF(VLOOKUP(A80,Declarations!B$6:C$185,2,FALSE)="","",VLOOKUP(A80,Declarations!B$6:C$185,2,FALSE)))</f>
        <v>MATILDA COATESMITH</v>
      </c>
      <c r="C80" s="150" t="str">
        <f>IF(ISNA(VLOOKUP(A80,Declarations!B$6:F$185,5,FALSE)),"",IF(VLOOKUP(A80,Declarations!B$6:F$185,5,FALSE)="","",VLOOKUP(A80,Declarations!B$6:F$185,5,FALSE)))</f>
        <v>Poole Runners</v>
      </c>
      <c r="D80" s="150" t="str">
        <f>IF(ISNA(VLOOKUP(A80,Declarations!B$6:F$185,4,FALSE)),"",IF(VLOOKUP(A80,Declarations!B$6:F$185,4,FALSE)="","",VLOOKUP(A80,Declarations!B$6:F$185,4,FALSE)))</f>
        <v>GIRLS</v>
      </c>
      <c r="E80" s="150" t="str">
        <f>IF(ISNA(VLOOKUP(A80,Declarations!B$6:D$185,3,FALSE)),"",IF(VLOOKUP(A80,Declarations!B$6:D$185,3,FALSE)="","",VLOOKUP(A80,Declarations!B$6:D$185,3,FALSE)))</f>
        <v>U12</v>
      </c>
      <c r="F80" s="49">
        <f>IF(B80="","",IF(ISNA(VLOOKUP(A80,'75m'!F$5:G$302,2,FALSE)),"",VLOOKUP(A80,'75m'!F$5:G$302,2,FALSE)))</f>
        <v>11.9</v>
      </c>
      <c r="G80" s="49">
        <f>IF(B80="",0,IF(ISNA(VLOOKUP(A80,'75m'!F$5:J$302,5,FALSE)),0,VLOOKUP(A80,'75m'!F$5:J$302,5,FALSE)))</f>
        <v>51</v>
      </c>
      <c r="H80" s="49" t="str">
        <f>IF(B80="","",IF(ISNA(VLOOKUP(A80,'75m'!F$5:K$302,6,FALSE)),"",VLOOKUP(A80,'75m'!F$5:K$302,6,FALSE)))</f>
        <v>PB8</v>
      </c>
      <c r="I80" s="51">
        <f>IF(B80="",0,IF(ISNA(VLOOKUP(A80,'600m'!F$5:J$302,2,FALSE)),0,VLOOKUP(A80,'600m'!F$5:J$302,2,FALSE)))</f>
        <v>1.6261574074074073E-3</v>
      </c>
      <c r="J80" s="49">
        <f>IF(B80="",0,IF(ISNA(VLOOKUP(A80,'600m'!F$5:J$302,5,FALSE)),0,VLOOKUP(A80,'600m'!F$5:J$302,5,FALSE)))</f>
        <v>49</v>
      </c>
      <c r="K80" s="49" t="str">
        <f>IF(B80="","",IF(ISNA(VLOOKUP(A80,'600m'!F$5:K$302,6,FALSE)),"",VLOOKUP(A80,'600m'!F$5:K$302,6,FALSE)))</f>
        <v>PB2</v>
      </c>
      <c r="L80" s="49">
        <f>IF(B80="","",IF(ISNA(VLOOKUP(A80,LongJump!F$5:G$302,2,FALSE)),"",VLOOKUP(A80,LongJump!F$5:G$302,2,FALSE)))</f>
        <v>3.17</v>
      </c>
      <c r="M80" s="49">
        <f>IF(B80="",0,IF(ISNA(VLOOKUP(A80,LongJump!F$5:J$302,5,FALSE)),0,VLOOKUP(A80,LongJump!F$5:J$302,5,FALSE)))</f>
        <v>42</v>
      </c>
      <c r="N80" s="49" t="str">
        <f>IF(B80="",0,IF(ISNA(VLOOKUP(A80,LongJump!F$5:K$302,6,FALSE)),0,VLOOKUP(A80,LongJump!F$5:K$302,6,FALSE)))</f>
        <v>PB6</v>
      </c>
      <c r="O80" s="49">
        <f>IF(B80="","",IF(ISNA(VLOOKUP(A80,Vortex!F$5:J$302,2,FALSE)),"",VLOOKUP(A80,Vortex!F$5:J$302,2,FALSE)))</f>
        <v>16.86</v>
      </c>
      <c r="P80" s="49">
        <f>IF(B80="",0,IF(ISNA(VLOOKUP(A80,Vortex!F$5:J$302,5,FALSE)),0,VLOOKUP(A80,Vortex!F$5:J$302,5,FALSE)))</f>
        <v>33</v>
      </c>
      <c r="Q80" s="49">
        <f t="shared" si="4"/>
        <v>175</v>
      </c>
      <c r="R80" s="49">
        <f t="shared" si="5"/>
        <v>3</v>
      </c>
      <c r="S80" s="49">
        <f t="shared" si="6"/>
        <v>20</v>
      </c>
      <c r="T80" s="4"/>
      <c r="U80" s="4"/>
      <c r="V80" s="4"/>
      <c r="W80" s="38"/>
      <c r="X80" s="9"/>
      <c r="Y80" s="9"/>
      <c r="AI80"/>
      <c r="AJ80"/>
    </row>
    <row r="81" spans="1:36" ht="13.95" customHeight="1">
      <c r="A81" s="49">
        <f>IF(Declarations!B54=0,"",Declarations!B54)</f>
        <v>49</v>
      </c>
      <c r="B81" s="150" t="str">
        <f>IF(ISNA(VLOOKUP(A81,Declarations!B$6:C$185,2,FALSE)),"",IF(VLOOKUP(A81,Declarations!B$6:C$185,2,FALSE)="","",VLOOKUP(A81,Declarations!B$6:C$185,2,FALSE)))</f>
        <v>IZZY YOUNG</v>
      </c>
      <c r="C81" s="150" t="str">
        <f>IF(ISNA(VLOOKUP(A81,Declarations!B$6:F$185,5,FALSE)),"",IF(VLOOKUP(A81,Declarations!B$6:F$185,5,FALSE)="","",VLOOKUP(A81,Declarations!B$6:F$185,5,FALSE)))</f>
        <v>Poole Runners</v>
      </c>
      <c r="D81" s="150" t="str">
        <f>IF(ISNA(VLOOKUP(A81,Declarations!B$6:F$185,4,FALSE)),"",IF(VLOOKUP(A81,Declarations!B$6:F$185,4,FALSE)="","",VLOOKUP(A81,Declarations!B$6:F$185,4,FALSE)))</f>
        <v>GIRLS</v>
      </c>
      <c r="E81" s="150" t="str">
        <f>IF(ISNA(VLOOKUP(A81,Declarations!B$6:D$185,3,FALSE)),"",IF(VLOOKUP(A81,Declarations!B$6:D$185,3,FALSE)="","",VLOOKUP(A81,Declarations!B$6:D$185,3,FALSE)))</f>
        <v>U12</v>
      </c>
      <c r="F81" s="49">
        <f>IF(B81="","",IF(ISNA(VLOOKUP(A81,'75m'!F$5:G$302,2,FALSE)),"",VLOOKUP(A81,'75m'!F$5:G$302,2,FALSE)))</f>
        <v>12.5</v>
      </c>
      <c r="G81" s="49">
        <f>IF(B81="",0,IF(ISNA(VLOOKUP(A81,'75m'!F$5:J$302,5,FALSE)),0,VLOOKUP(A81,'75m'!F$5:J$302,5,FALSE)))</f>
        <v>45</v>
      </c>
      <c r="H81" s="49" t="str">
        <f>IF(B81="","",IF(ISNA(VLOOKUP(A81,'75m'!F$5:K$302,6,FALSE)),"",VLOOKUP(A81,'75m'!F$5:K$302,6,FALSE)))</f>
        <v>PB7</v>
      </c>
      <c r="I81" s="51">
        <f>IF(B81="",0,IF(ISNA(VLOOKUP(A81,'600m'!F$5:J$302,2,FALSE)),0,VLOOKUP(A81,'600m'!F$5:J$302,2,FALSE)))</f>
        <v>1.707175925925926E-3</v>
      </c>
      <c r="J81" s="49">
        <f>IF(B81="",0,IF(ISNA(VLOOKUP(A81,'600m'!F$5:J$302,5,FALSE)),0,VLOOKUP(A81,'600m'!F$5:J$302,5,FALSE)))</f>
        <v>42</v>
      </c>
      <c r="K81" s="49" t="str">
        <f>IF(B81="","",IF(ISNA(VLOOKUP(A81,'600m'!F$5:K$302,6,FALSE)),"",VLOOKUP(A81,'600m'!F$5:K$302,6,FALSE)))</f>
        <v>PB1</v>
      </c>
      <c r="L81" s="49">
        <f>IF(B81="","",IF(ISNA(VLOOKUP(A81,LongJump!F$5:G$302,2,FALSE)),"",VLOOKUP(A81,LongJump!F$5:G$302,2,FALSE)))</f>
        <v>3.08</v>
      </c>
      <c r="M81" s="49">
        <f>IF(B81="",0,IF(ISNA(VLOOKUP(A81,LongJump!F$5:J$302,5,FALSE)),0,VLOOKUP(A81,LongJump!F$5:J$302,5,FALSE)))</f>
        <v>39</v>
      </c>
      <c r="N81" s="49" t="str">
        <f>IF(B81="",0,IF(ISNA(VLOOKUP(A81,LongJump!F$5:K$302,6,FALSE)),0,VLOOKUP(A81,LongJump!F$5:K$302,6,FALSE)))</f>
        <v>PB6</v>
      </c>
      <c r="O81" s="49">
        <f>IF(B81="","",IF(ISNA(VLOOKUP(A81,Vortex!F$5:J$302,2,FALSE)),"",VLOOKUP(A81,Vortex!F$5:J$302,2,FALSE)))</f>
        <v>19.239999999999998</v>
      </c>
      <c r="P81" s="49">
        <f>IF(B81="",0,IF(ISNA(VLOOKUP(A81,Vortex!F$5:J$302,5,FALSE)),0,VLOOKUP(A81,Vortex!F$5:J$302,5,FALSE)))</f>
        <v>38</v>
      </c>
      <c r="Q81" s="49">
        <f t="shared" si="4"/>
        <v>164</v>
      </c>
      <c r="R81" s="49">
        <f t="shared" si="5"/>
        <v>7</v>
      </c>
      <c r="S81" s="49">
        <f t="shared" si="6"/>
        <v>26</v>
      </c>
      <c r="T81" s="4"/>
      <c r="U81" s="4"/>
      <c r="V81" s="4"/>
      <c r="W81" s="38"/>
      <c r="X81" s="9"/>
      <c r="Y81" s="9"/>
      <c r="AI81"/>
      <c r="AJ81"/>
    </row>
    <row r="82" spans="1:36" ht="13.95" customHeight="1">
      <c r="A82" s="49">
        <f>IF(Declarations!B55=0,"",Declarations!B55)</f>
        <v>50</v>
      </c>
      <c r="B82" s="150" t="str">
        <f>IF(ISNA(VLOOKUP(A82,Declarations!B$6:C$185,2,FALSE)),"",IF(VLOOKUP(A82,Declarations!B$6:C$185,2,FALSE)="","",VLOOKUP(A82,Declarations!B$6:C$185,2,FALSE)))</f>
        <v>WILLA GRAY</v>
      </c>
      <c r="C82" s="150" t="str">
        <f>IF(ISNA(VLOOKUP(A82,Declarations!B$6:F$185,5,FALSE)),"",IF(VLOOKUP(A82,Declarations!B$6:F$185,5,FALSE)="","",VLOOKUP(A82,Declarations!B$6:F$185,5,FALSE)))</f>
        <v>Poole Runners</v>
      </c>
      <c r="D82" s="150" t="str">
        <f>IF(ISNA(VLOOKUP(A82,Declarations!B$6:F$185,4,FALSE)),"",IF(VLOOKUP(A82,Declarations!B$6:F$185,4,FALSE)="","",VLOOKUP(A82,Declarations!B$6:F$185,4,FALSE)))</f>
        <v>GIRLS</v>
      </c>
      <c r="E82" s="150" t="str">
        <f>IF(ISNA(VLOOKUP(A82,Declarations!B$6:D$185,3,FALSE)),"",IF(VLOOKUP(A82,Declarations!B$6:D$185,3,FALSE)="","",VLOOKUP(A82,Declarations!B$6:D$185,3,FALSE)))</f>
        <v>U12</v>
      </c>
      <c r="F82" s="49">
        <f>IF(B82="","",IF(ISNA(VLOOKUP(A82,'75m'!F$5:G$302,2,FALSE)),"",VLOOKUP(A82,'75m'!F$5:G$302,2,FALSE)))</f>
        <v>11.8</v>
      </c>
      <c r="G82" s="49">
        <f>IF(B82="",0,IF(ISNA(VLOOKUP(A82,'75m'!F$5:J$302,5,FALSE)),0,VLOOKUP(A82,'75m'!F$5:J$302,5,FALSE)))</f>
        <v>52</v>
      </c>
      <c r="H82" s="49" t="str">
        <f>IF(B82="","",IF(ISNA(VLOOKUP(A82,'75m'!F$5:K$302,6,FALSE)),"",VLOOKUP(A82,'75m'!F$5:K$302,6,FALSE)))</f>
        <v>PB8</v>
      </c>
      <c r="I82" s="51">
        <f>IF(B82="",0,IF(ISNA(VLOOKUP(A82,'600m'!F$5:J$302,2,FALSE)),0,VLOOKUP(A82,'600m'!F$5:J$302,2,FALSE)))</f>
        <v>1.46875E-3</v>
      </c>
      <c r="J82" s="49">
        <f>IF(B82="",0,IF(ISNA(VLOOKUP(A82,'600m'!F$5:J$302,5,FALSE)),0,VLOOKUP(A82,'600m'!F$5:J$302,5,FALSE)))</f>
        <v>63</v>
      </c>
      <c r="K82" s="49" t="str">
        <f>IF(B82="","",IF(ISNA(VLOOKUP(A82,'600m'!F$5:K$302,6,FALSE)),"",VLOOKUP(A82,'600m'!F$5:K$302,6,FALSE)))</f>
        <v>PB4</v>
      </c>
      <c r="L82" s="49">
        <f>IF(B82="","",IF(ISNA(VLOOKUP(A82,LongJump!F$5:G$302,2,FALSE)),"",VLOOKUP(A82,LongJump!F$5:G$302,2,FALSE)))</f>
        <v>2.79</v>
      </c>
      <c r="M82" s="49">
        <f>IF(B82="",0,IF(ISNA(VLOOKUP(A82,LongJump!F$5:J$302,5,FALSE)),0,VLOOKUP(A82,LongJump!F$5:J$302,5,FALSE)))</f>
        <v>29</v>
      </c>
      <c r="N82" s="49" t="str">
        <f>IF(B82="",0,IF(ISNA(VLOOKUP(A82,LongJump!F$5:K$302,6,FALSE)),0,VLOOKUP(A82,LongJump!F$5:K$302,6,FALSE)))</f>
        <v>PB5</v>
      </c>
      <c r="O82" s="49">
        <f>IF(B82="","",IF(ISNA(VLOOKUP(A82,Vortex!F$5:J$302,2,FALSE)),"",VLOOKUP(A82,Vortex!F$5:J$302,2,FALSE)))</f>
        <v>13.68</v>
      </c>
      <c r="P82" s="49">
        <f>IF(B82="",0,IF(ISNA(VLOOKUP(A82,Vortex!F$5:J$302,5,FALSE)),0,VLOOKUP(A82,Vortex!F$5:J$302,5,FALSE)))</f>
        <v>27</v>
      </c>
      <c r="Q82" s="49">
        <f t="shared" si="4"/>
        <v>171</v>
      </c>
      <c r="R82" s="49">
        <f t="shared" si="5"/>
        <v>6</v>
      </c>
      <c r="S82" s="49">
        <f t="shared" si="6"/>
        <v>25</v>
      </c>
      <c r="T82" s="4"/>
      <c r="U82" s="4"/>
      <c r="V82" s="4"/>
      <c r="W82" s="38"/>
      <c r="X82" s="9"/>
      <c r="Y82" s="9"/>
      <c r="AI82"/>
      <c r="AJ82"/>
    </row>
    <row r="83" spans="1:36" ht="13.95" customHeight="1">
      <c r="A83" s="49">
        <f>IF(Declarations!B56=0,"",Declarations!B56)</f>
        <v>51</v>
      </c>
      <c r="B83" s="150" t="str">
        <f>IF(ISNA(VLOOKUP(A83,Declarations!B$6:C$185,2,FALSE)),"",IF(VLOOKUP(A83,Declarations!B$6:C$185,2,FALSE)="","",VLOOKUP(A83,Declarations!B$6:C$185,2,FALSE)))</f>
        <v>OSCAR CARTWRIGHT</v>
      </c>
      <c r="C83" s="150" t="str">
        <f>IF(ISNA(VLOOKUP(A83,Declarations!B$6:F$185,5,FALSE)),"",IF(VLOOKUP(A83,Declarations!B$6:F$185,5,FALSE)="","",VLOOKUP(A83,Declarations!B$6:F$185,5,FALSE)))</f>
        <v>Poole Runners</v>
      </c>
      <c r="D83" s="150" t="str">
        <f>IF(ISNA(VLOOKUP(A83,Declarations!B$6:F$185,4,FALSE)),"",IF(VLOOKUP(A83,Declarations!B$6:F$185,4,FALSE)="","",VLOOKUP(A83,Declarations!B$6:F$185,4,FALSE)))</f>
        <v>BOYS</v>
      </c>
      <c r="E83" s="150" t="str">
        <f>IF(ISNA(VLOOKUP(A83,Declarations!B$6:D$185,3,FALSE)),"",IF(VLOOKUP(A83,Declarations!B$6:D$185,3,FALSE)="","",VLOOKUP(A83,Declarations!B$6:D$185,3,FALSE)))</f>
        <v>U12</v>
      </c>
      <c r="F83" s="49">
        <f>IF(B83="","",IF(ISNA(VLOOKUP(A83,'75m'!F$5:G$302,2,FALSE)),"",VLOOKUP(A83,'75m'!F$5:G$302,2,FALSE)))</f>
        <v>11.6</v>
      </c>
      <c r="G83" s="49">
        <f>IF(B83="",0,IF(ISNA(VLOOKUP(A83,'75m'!F$5:J$302,5,FALSE)),0,VLOOKUP(A83,'75m'!F$5:J$302,5,FALSE)))</f>
        <v>54</v>
      </c>
      <c r="H83" s="49" t="str">
        <f>IF(B83="","",IF(ISNA(VLOOKUP(A83,'75m'!F$5:K$302,6,FALSE)),"",VLOOKUP(A83,'75m'!F$5:K$302,6,FALSE)))</f>
        <v>PB8</v>
      </c>
      <c r="I83" s="51">
        <f>IF(B83="",0,IF(ISNA(VLOOKUP(A83,'600m'!F$5:J$302,2,FALSE)),0,VLOOKUP(A83,'600m'!F$5:J$302,2,FALSE)))</f>
        <v>1.4386574074074074E-3</v>
      </c>
      <c r="J83" s="49">
        <f>IF(B83="",0,IF(ISNA(VLOOKUP(A83,'600m'!F$5:J$302,5,FALSE)),0,VLOOKUP(A83,'600m'!F$5:J$302,5,FALSE)))</f>
        <v>65</v>
      </c>
      <c r="K83" s="49" t="str">
        <f>IF(B83="","",IF(ISNA(VLOOKUP(A83,'600m'!F$5:K$302,6,FALSE)),"",VLOOKUP(A83,'600m'!F$5:K$302,6,FALSE)))</f>
        <v>PB4</v>
      </c>
      <c r="L83" s="49">
        <f>IF(B83="","",IF(ISNA(VLOOKUP(A83,LongJump!F$5:G$302,2,FALSE)),"",VLOOKUP(A83,LongJump!F$5:G$302,2,FALSE)))</f>
        <v>3.38</v>
      </c>
      <c r="M83" s="49">
        <f>IF(B83="",0,IF(ISNA(VLOOKUP(A83,LongJump!F$5:J$302,5,FALSE)),0,VLOOKUP(A83,LongJump!F$5:J$302,5,FALSE)))</f>
        <v>49</v>
      </c>
      <c r="N83" s="49" t="str">
        <f>IF(B83="",0,IF(ISNA(VLOOKUP(A83,LongJump!F$5:K$302,6,FALSE)),0,VLOOKUP(A83,LongJump!F$5:K$302,6,FALSE)))</f>
        <v>PB6</v>
      </c>
      <c r="O83" s="49">
        <f>IF(B83="","",IF(ISNA(VLOOKUP(A83,Vortex!F$5:J$302,2,FALSE)),"",VLOOKUP(A83,Vortex!F$5:J$302,2,FALSE)))</f>
        <v>28.67</v>
      </c>
      <c r="P83" s="49">
        <f>IF(B83="",0,IF(ISNA(VLOOKUP(A83,Vortex!F$5:J$302,5,FALSE)),0,VLOOKUP(A83,Vortex!F$5:J$302,5,FALSE)))</f>
        <v>57</v>
      </c>
      <c r="Q83" s="49">
        <f t="shared" si="4"/>
        <v>225</v>
      </c>
      <c r="R83" s="49">
        <f t="shared" si="5"/>
        <v>2</v>
      </c>
      <c r="S83" s="49">
        <f t="shared" si="6"/>
        <v>11</v>
      </c>
      <c r="T83" s="4"/>
      <c r="U83" s="4"/>
      <c r="V83" s="4"/>
      <c r="W83" s="38"/>
      <c r="X83" s="9"/>
      <c r="Y83" s="9"/>
      <c r="AI83"/>
      <c r="AJ83"/>
    </row>
    <row r="84" spans="1:36" ht="13.95" customHeight="1">
      <c r="A84" s="49">
        <f>IF(Declarations!B57=0,"",Declarations!B57)</f>
        <v>52</v>
      </c>
      <c r="B84" s="150" t="str">
        <f>IF(ISNA(VLOOKUP(A84,Declarations!B$6:C$185,2,FALSE)),"",IF(VLOOKUP(A84,Declarations!B$6:C$185,2,FALSE)="","",VLOOKUP(A84,Declarations!B$6:C$185,2,FALSE)))</f>
        <v>MARLOWE PEACH</v>
      </c>
      <c r="C84" s="150" t="str">
        <f>IF(ISNA(VLOOKUP(A84,Declarations!B$6:F$185,5,FALSE)),"",IF(VLOOKUP(A84,Declarations!B$6:F$185,5,FALSE)="","",VLOOKUP(A84,Declarations!B$6:F$185,5,FALSE)))</f>
        <v>Poole Runners</v>
      </c>
      <c r="D84" s="150" t="str">
        <f>IF(ISNA(VLOOKUP(A84,Declarations!B$6:F$185,4,FALSE)),"",IF(VLOOKUP(A84,Declarations!B$6:F$185,4,FALSE)="","",VLOOKUP(A84,Declarations!B$6:F$185,4,FALSE)))</f>
        <v>BOYS</v>
      </c>
      <c r="E84" s="150" t="str">
        <f>IF(ISNA(VLOOKUP(A84,Declarations!B$6:D$185,3,FALSE)),"",IF(VLOOKUP(A84,Declarations!B$6:D$185,3,FALSE)="","",VLOOKUP(A84,Declarations!B$6:D$185,3,FALSE)))</f>
        <v>U12</v>
      </c>
      <c r="F84" s="49">
        <f>IF(B84="","",IF(ISNA(VLOOKUP(A84,'75m'!F$5:G$302,2,FALSE)),"",VLOOKUP(A84,'75m'!F$5:G$302,2,FALSE)))</f>
        <v>13.1</v>
      </c>
      <c r="G84" s="49">
        <f>IF(B84="",0,IF(ISNA(VLOOKUP(A84,'75m'!F$5:J$302,5,FALSE)),0,VLOOKUP(A84,'75m'!F$5:J$302,5,FALSE)))</f>
        <v>39</v>
      </c>
      <c r="H84" s="49" t="str">
        <f>IF(B84="","",IF(ISNA(VLOOKUP(A84,'75m'!F$5:K$302,6,FALSE)),"",VLOOKUP(A84,'75m'!F$5:K$302,6,FALSE)))</f>
        <v>PB4</v>
      </c>
      <c r="I84" s="51">
        <f>IF(B84="",0,IF(ISNA(VLOOKUP(A84,'600m'!F$5:J$302,2,FALSE)),0,VLOOKUP(A84,'600m'!F$5:J$302,2,FALSE)))</f>
        <v>1.965277777777778E-3</v>
      </c>
      <c r="J84" s="49">
        <f>IF(B84="",0,IF(ISNA(VLOOKUP(A84,'600m'!F$5:J$302,5,FALSE)),0,VLOOKUP(A84,'600m'!F$5:J$302,5,FALSE)))</f>
        <v>20</v>
      </c>
      <c r="K84" s="49" t="str">
        <f>IF(B84="","",IF(ISNA(VLOOKUP(A84,'600m'!F$5:K$302,6,FALSE)),"",VLOOKUP(A84,'600m'!F$5:K$302,6,FALSE)))</f>
        <v/>
      </c>
      <c r="L84" s="49">
        <f>IF(B84="","",IF(ISNA(VLOOKUP(A84,LongJump!F$5:G$302,2,FALSE)),"",VLOOKUP(A84,LongJump!F$5:G$302,2,FALSE)))</f>
        <v>2.36</v>
      </c>
      <c r="M84" s="49">
        <f>IF(B84="",0,IF(ISNA(VLOOKUP(A84,LongJump!F$5:J$302,5,FALSE)),0,VLOOKUP(A84,LongJump!F$5:J$302,5,FALSE)))</f>
        <v>15</v>
      </c>
      <c r="N84" s="49" t="str">
        <f>IF(B84="",0,IF(ISNA(VLOOKUP(A84,LongJump!F$5:K$302,6,FALSE)),0,VLOOKUP(A84,LongJump!F$5:K$302,6,FALSE)))</f>
        <v>PB2</v>
      </c>
      <c r="O84" s="49">
        <f>IF(B84="","",IF(ISNA(VLOOKUP(A84,Vortex!F$5:J$302,2,FALSE)),"",VLOOKUP(A84,Vortex!F$5:J$302,2,FALSE)))</f>
        <v>11.36</v>
      </c>
      <c r="P84" s="49">
        <f>IF(B84="",0,IF(ISNA(VLOOKUP(A84,Vortex!F$5:J$302,5,FALSE)),0,VLOOKUP(A84,Vortex!F$5:J$302,5,FALSE)))</f>
        <v>22</v>
      </c>
      <c r="Q84" s="49">
        <f t="shared" si="4"/>
        <v>96</v>
      </c>
      <c r="R84" s="49">
        <f t="shared" si="5"/>
        <v>8</v>
      </c>
      <c r="S84" s="49">
        <f t="shared" si="6"/>
        <v>45</v>
      </c>
      <c r="T84" s="4"/>
      <c r="U84" s="4"/>
      <c r="V84" s="4"/>
      <c r="W84" s="38"/>
      <c r="X84" s="9"/>
      <c r="Y84" s="9"/>
      <c r="AI84"/>
      <c r="AJ84"/>
    </row>
    <row r="85" spans="1:36" ht="13.95" customHeight="1">
      <c r="A85" s="49">
        <f>IF(Declarations!B58=0,"",Declarations!B58)</f>
        <v>53</v>
      </c>
      <c r="B85" s="150" t="str">
        <f>IF(ISNA(VLOOKUP(A85,Declarations!B$6:C$185,2,FALSE)),"",IF(VLOOKUP(A85,Declarations!B$6:C$185,2,FALSE)="","",VLOOKUP(A85,Declarations!B$6:C$185,2,FALSE)))</f>
        <v>OAKLEY SHEAN-STEVENS</v>
      </c>
      <c r="C85" s="150" t="str">
        <f>IF(ISNA(VLOOKUP(A85,Declarations!B$6:F$185,5,FALSE)),"",IF(VLOOKUP(A85,Declarations!B$6:F$185,5,FALSE)="","",VLOOKUP(A85,Declarations!B$6:F$185,5,FALSE)))</f>
        <v>Poole Runners</v>
      </c>
      <c r="D85" s="150" t="str">
        <f>IF(ISNA(VLOOKUP(A85,Declarations!B$6:F$185,4,FALSE)),"",IF(VLOOKUP(A85,Declarations!B$6:F$185,4,FALSE)="","",VLOOKUP(A85,Declarations!B$6:F$185,4,FALSE)))</f>
        <v>BOYS</v>
      </c>
      <c r="E85" s="150" t="str">
        <f>IF(ISNA(VLOOKUP(A85,Declarations!B$6:D$185,3,FALSE)),"",IF(VLOOKUP(A85,Declarations!B$6:D$185,3,FALSE)="","",VLOOKUP(A85,Declarations!B$6:D$185,3,FALSE)))</f>
        <v>U12</v>
      </c>
      <c r="F85" s="49">
        <f>IF(B85="","",IF(ISNA(VLOOKUP(A85,'75m'!F$5:G$302,2,FALSE)),"",VLOOKUP(A85,'75m'!F$5:G$302,2,FALSE)))</f>
        <v>12.8</v>
      </c>
      <c r="G85" s="49">
        <f>IF(B85="",0,IF(ISNA(VLOOKUP(A85,'75m'!F$5:J$302,5,FALSE)),0,VLOOKUP(A85,'75m'!F$5:J$302,5,FALSE)))</f>
        <v>42</v>
      </c>
      <c r="H85" s="49" t="str">
        <f>IF(B85="","",IF(ISNA(VLOOKUP(A85,'75m'!F$5:K$302,6,FALSE)),"",VLOOKUP(A85,'75m'!F$5:K$302,6,FALSE)))</f>
        <v>PB5</v>
      </c>
      <c r="I85" s="51">
        <f>IF(B85="",0,IF(ISNA(VLOOKUP(A85,'600m'!F$5:J$302,2,FALSE)),0,VLOOKUP(A85,'600m'!F$5:J$302,2,FALSE)))</f>
        <v>1.646990740740741E-3</v>
      </c>
      <c r="J85" s="49">
        <f>IF(B85="",0,IF(ISNA(VLOOKUP(A85,'600m'!F$5:J$302,5,FALSE)),0,VLOOKUP(A85,'600m'!F$5:J$302,5,FALSE)))</f>
        <v>47</v>
      </c>
      <c r="K85" s="49" t="str">
        <f>IF(B85="","",IF(ISNA(VLOOKUP(A85,'600m'!F$5:K$302,6,FALSE)),"",VLOOKUP(A85,'600m'!F$5:K$302,6,FALSE)))</f>
        <v>PB1</v>
      </c>
      <c r="L85" s="49">
        <f>IF(B85="","",IF(ISNA(VLOOKUP(A85,LongJump!F$5:G$302,2,FALSE)),"",VLOOKUP(A85,LongJump!F$5:G$302,2,FALSE)))</f>
        <v>3.27</v>
      </c>
      <c r="M85" s="49">
        <f>IF(B85="",0,IF(ISNA(VLOOKUP(A85,LongJump!F$5:J$302,5,FALSE)),0,VLOOKUP(A85,LongJump!F$5:J$302,5,FALSE)))</f>
        <v>45</v>
      </c>
      <c r="N85" s="49" t="str">
        <f>IF(B85="",0,IF(ISNA(VLOOKUP(A85,LongJump!F$5:K$302,6,FALSE)),0,VLOOKUP(A85,LongJump!F$5:K$302,6,FALSE)))</f>
        <v>PB6</v>
      </c>
      <c r="O85" s="49">
        <f>IF(B85="","",IF(ISNA(VLOOKUP(A85,Vortex!F$5:J$302,2,FALSE)),"",VLOOKUP(A85,Vortex!F$5:J$302,2,FALSE)))</f>
        <v>20.63</v>
      </c>
      <c r="P85" s="49">
        <f>IF(B85="",0,IF(ISNA(VLOOKUP(A85,Vortex!F$5:J$302,5,FALSE)),0,VLOOKUP(A85,Vortex!F$5:J$302,5,FALSE)))</f>
        <v>41</v>
      </c>
      <c r="Q85" s="49">
        <f t="shared" si="4"/>
        <v>175</v>
      </c>
      <c r="R85" s="49">
        <f t="shared" si="5"/>
        <v>6</v>
      </c>
      <c r="S85" s="49">
        <f t="shared" si="6"/>
        <v>32</v>
      </c>
      <c r="T85" s="4"/>
      <c r="U85" s="4"/>
      <c r="V85" s="4"/>
      <c r="W85" s="38"/>
      <c r="X85" s="9"/>
      <c r="Y85" s="9"/>
      <c r="AI85"/>
      <c r="AJ85"/>
    </row>
    <row r="86" spans="1:36" ht="13.95" customHeight="1">
      <c r="A86" s="49">
        <f>IF(Declarations!B59=0,"",Declarations!B59)</f>
        <v>54</v>
      </c>
      <c r="B86" s="150" t="str">
        <f>IF(ISNA(VLOOKUP(A86,Declarations!B$6:C$185,2,FALSE)),"",IF(VLOOKUP(A86,Declarations!B$6:C$185,2,FALSE)="","",VLOOKUP(A86,Declarations!B$6:C$185,2,FALSE)))</f>
        <v>FERGUS STANNING</v>
      </c>
      <c r="C86" s="150" t="str">
        <f>IF(ISNA(VLOOKUP(A86,Declarations!B$6:F$185,5,FALSE)),"",IF(VLOOKUP(A86,Declarations!B$6:F$185,5,FALSE)="","",VLOOKUP(A86,Declarations!B$6:F$185,5,FALSE)))</f>
        <v>Poole Runners</v>
      </c>
      <c r="D86" s="150" t="str">
        <f>IF(ISNA(VLOOKUP(A86,Declarations!B$6:F$185,4,FALSE)),"",IF(VLOOKUP(A86,Declarations!B$6:F$185,4,FALSE)="","",VLOOKUP(A86,Declarations!B$6:F$185,4,FALSE)))</f>
        <v>BOYS</v>
      </c>
      <c r="E86" s="150" t="str">
        <f>IF(ISNA(VLOOKUP(A86,Declarations!B$6:D$185,3,FALSE)),"",IF(VLOOKUP(A86,Declarations!B$6:D$185,3,FALSE)="","",VLOOKUP(A86,Declarations!B$6:D$185,3,FALSE)))</f>
        <v>U12</v>
      </c>
      <c r="F86" s="49">
        <f>IF(B86="","",IF(ISNA(VLOOKUP(A86,'75m'!F$5:G$302,2,FALSE)),"",VLOOKUP(A86,'75m'!F$5:G$302,2,FALSE)))</f>
        <v>13</v>
      </c>
      <c r="G86" s="49">
        <f>IF(B86="",0,IF(ISNA(VLOOKUP(A86,'75m'!F$5:J$302,5,FALSE)),0,VLOOKUP(A86,'75m'!F$5:J$302,5,FALSE)))</f>
        <v>40</v>
      </c>
      <c r="H86" s="49" t="str">
        <f>IF(B86="","",IF(ISNA(VLOOKUP(A86,'75m'!F$5:K$302,6,FALSE)),"",VLOOKUP(A86,'75m'!F$5:K$302,6,FALSE)))</f>
        <v>PB5</v>
      </c>
      <c r="I86" s="51">
        <f>IF(B86="",0,IF(ISNA(VLOOKUP(A86,'600m'!F$5:J$302,2,FALSE)),0,VLOOKUP(A86,'600m'!F$5:J$302,2,FALSE)))</f>
        <v>1.4803240740740742E-3</v>
      </c>
      <c r="J86" s="49">
        <f>IF(B86="",0,IF(ISNA(VLOOKUP(A86,'600m'!F$5:J$302,5,FALSE)),0,VLOOKUP(A86,'600m'!F$5:J$302,5,FALSE)))</f>
        <v>62</v>
      </c>
      <c r="K86" s="49" t="str">
        <f>IF(B86="","",IF(ISNA(VLOOKUP(A86,'600m'!F$5:K$302,6,FALSE)),"",VLOOKUP(A86,'600m'!F$5:K$302,6,FALSE)))</f>
        <v>PB3</v>
      </c>
      <c r="L86" s="49">
        <f>IF(B86="","",IF(ISNA(VLOOKUP(A86,LongJump!F$5:G$302,2,FALSE)),"",VLOOKUP(A86,LongJump!F$5:G$302,2,FALSE)))</f>
        <v>3.09</v>
      </c>
      <c r="M86" s="49">
        <f>IF(B86="",0,IF(ISNA(VLOOKUP(A86,LongJump!F$5:J$302,5,FALSE)),0,VLOOKUP(A86,LongJump!F$5:J$302,5,FALSE)))</f>
        <v>39</v>
      </c>
      <c r="N86" s="49" t="str">
        <f>IF(B86="",0,IF(ISNA(VLOOKUP(A86,LongJump!F$5:K$302,6,FALSE)),0,VLOOKUP(A86,LongJump!F$5:K$302,6,FALSE)))</f>
        <v>PB5</v>
      </c>
      <c r="O86" s="49">
        <f>IF(B86="","",IF(ISNA(VLOOKUP(A86,Vortex!F$5:J$302,2,FALSE)),"",VLOOKUP(A86,Vortex!F$5:J$302,2,FALSE)))</f>
        <v>25.15</v>
      </c>
      <c r="P86" s="49">
        <f>IF(B86="",0,IF(ISNA(VLOOKUP(A86,Vortex!F$5:J$302,5,FALSE)),0,VLOOKUP(A86,Vortex!F$5:J$302,5,FALSE)))</f>
        <v>50</v>
      </c>
      <c r="Q86" s="49">
        <f t="shared" si="4"/>
        <v>191</v>
      </c>
      <c r="R86" s="49">
        <f t="shared" si="5"/>
        <v>4</v>
      </c>
      <c r="S86" s="49">
        <f t="shared" si="6"/>
        <v>26</v>
      </c>
      <c r="T86" s="38"/>
      <c r="X86" s="9"/>
      <c r="Y86" s="9"/>
      <c r="AI86"/>
      <c r="AJ86"/>
    </row>
    <row r="87" spans="1:36" ht="13.95" customHeight="1">
      <c r="A87" s="49">
        <f>IF(Declarations!B60=0,"",Declarations!B60)</f>
        <v>55</v>
      </c>
      <c r="B87" s="150" t="str">
        <f>IF(ISNA(VLOOKUP(A87,Declarations!B$6:C$185,2,FALSE)),"",IF(VLOOKUP(A87,Declarations!B$6:C$185,2,FALSE)="","",VLOOKUP(A87,Declarations!B$6:C$185,2,FALSE)))</f>
        <v>BERTIE LEIGH</v>
      </c>
      <c r="C87" s="150" t="str">
        <f>IF(ISNA(VLOOKUP(A87,Declarations!B$6:F$185,5,FALSE)),"",IF(VLOOKUP(A87,Declarations!B$6:F$185,5,FALSE)="","",VLOOKUP(A87,Declarations!B$6:F$185,5,FALSE)))</f>
        <v>Poole Runners</v>
      </c>
      <c r="D87" s="150" t="str">
        <f>IF(ISNA(VLOOKUP(A87,Declarations!B$6:F$185,4,FALSE)),"",IF(VLOOKUP(A87,Declarations!B$6:F$185,4,FALSE)="","",VLOOKUP(A87,Declarations!B$6:F$185,4,FALSE)))</f>
        <v>BOYS</v>
      </c>
      <c r="E87" s="150" t="str">
        <f>IF(ISNA(VLOOKUP(A87,Declarations!B$6:D$185,3,FALSE)),"",IF(VLOOKUP(A87,Declarations!B$6:D$185,3,FALSE)="","",VLOOKUP(A87,Declarations!B$6:D$185,3,FALSE)))</f>
        <v>U12</v>
      </c>
      <c r="F87" s="49">
        <f>IF(B87="","",IF(ISNA(VLOOKUP(A87,'75m'!F$5:G$302,2,FALSE)),"",VLOOKUP(A87,'75m'!F$5:G$302,2,FALSE)))</f>
        <v>13.1</v>
      </c>
      <c r="G87" s="49">
        <f>IF(B87="",0,IF(ISNA(VLOOKUP(A87,'75m'!F$5:J$302,5,FALSE)),0,VLOOKUP(A87,'75m'!F$5:J$302,5,FALSE)))</f>
        <v>39</v>
      </c>
      <c r="H87" s="49" t="str">
        <f>IF(B87="","",IF(ISNA(VLOOKUP(A87,'75m'!F$5:K$302,6,FALSE)),"",VLOOKUP(A87,'75m'!F$5:K$302,6,FALSE)))</f>
        <v>PB4</v>
      </c>
      <c r="I87" s="51">
        <f>IF(B87="",0,IF(ISNA(VLOOKUP(A87,'600m'!F$5:J$302,2,FALSE)),0,VLOOKUP(A87,'600m'!F$5:J$302,2,FALSE)))</f>
        <v>1.5729166666666667E-3</v>
      </c>
      <c r="J87" s="49">
        <f>IF(B87="",0,IF(ISNA(VLOOKUP(A87,'600m'!F$5:J$302,5,FALSE)),0,VLOOKUP(A87,'600m'!F$5:J$302,5,FALSE)))</f>
        <v>54</v>
      </c>
      <c r="K87" s="49" t="str">
        <f>IF(B87="","",IF(ISNA(VLOOKUP(A87,'600m'!F$5:K$302,6,FALSE)),"",VLOOKUP(A87,'600m'!F$5:K$302,6,FALSE)))</f>
        <v>PB2</v>
      </c>
      <c r="L87" s="49">
        <f>IF(B87="","",IF(ISNA(VLOOKUP(A87,LongJump!F$5:G$302,2,FALSE)),"",VLOOKUP(A87,LongJump!F$5:G$302,2,FALSE)))</f>
        <v>3.13</v>
      </c>
      <c r="M87" s="49">
        <f>IF(B87="",0,IF(ISNA(VLOOKUP(A87,LongJump!F$5:J$302,5,FALSE)),0,VLOOKUP(A87,LongJump!F$5:J$302,5,FALSE)))</f>
        <v>41</v>
      </c>
      <c r="N87" s="49" t="str">
        <f>IF(B87="",0,IF(ISNA(VLOOKUP(A87,LongJump!F$5:K$302,6,FALSE)),0,VLOOKUP(A87,LongJump!F$5:K$302,6,FALSE)))</f>
        <v>PB5</v>
      </c>
      <c r="O87" s="49">
        <f>IF(B87="","",IF(ISNA(VLOOKUP(A87,Vortex!F$5:J$302,2,FALSE)),"",VLOOKUP(A87,Vortex!F$5:J$302,2,FALSE)))</f>
        <v>24.11</v>
      </c>
      <c r="P87" s="49">
        <f>IF(B87="",0,IF(ISNA(VLOOKUP(A87,Vortex!F$5:J$302,5,FALSE)),0,VLOOKUP(A87,Vortex!F$5:J$302,5,FALSE)))</f>
        <v>48</v>
      </c>
      <c r="Q87" s="49">
        <f t="shared" si="4"/>
        <v>182</v>
      </c>
      <c r="R87" s="49">
        <f t="shared" si="5"/>
        <v>5</v>
      </c>
      <c r="S87" s="49">
        <f t="shared" si="6"/>
        <v>30</v>
      </c>
      <c r="T87" s="38"/>
      <c r="X87" s="9"/>
      <c r="Y87" s="9"/>
      <c r="AI87"/>
      <c r="AJ87"/>
    </row>
    <row r="88" spans="1:36" ht="13.95" customHeight="1">
      <c r="A88" s="49">
        <f>IF(Declarations!B61=0,"",Declarations!B61)</f>
        <v>56</v>
      </c>
      <c r="B88" s="150" t="str">
        <f>IF(ISNA(VLOOKUP(A88,Declarations!B$6:C$185,2,FALSE)),"",IF(VLOOKUP(A88,Declarations!B$6:C$185,2,FALSE)="","",VLOOKUP(A88,Declarations!B$6:C$185,2,FALSE)))</f>
        <v>LEO AMEY</v>
      </c>
      <c r="C88" s="150" t="str">
        <f>IF(ISNA(VLOOKUP(A88,Declarations!B$6:F$185,5,FALSE)),"",IF(VLOOKUP(A88,Declarations!B$6:F$185,5,FALSE)="","",VLOOKUP(A88,Declarations!B$6:F$185,5,FALSE)))</f>
        <v>Poole Runners</v>
      </c>
      <c r="D88" s="150" t="str">
        <f>IF(ISNA(VLOOKUP(A88,Declarations!B$6:F$185,4,FALSE)),"",IF(VLOOKUP(A88,Declarations!B$6:F$185,4,FALSE)="","",VLOOKUP(A88,Declarations!B$6:F$185,4,FALSE)))</f>
        <v>BOYS</v>
      </c>
      <c r="E88" s="150" t="str">
        <f>IF(ISNA(VLOOKUP(A88,Declarations!B$6:D$185,3,FALSE)),"",IF(VLOOKUP(A88,Declarations!B$6:D$185,3,FALSE)="","",VLOOKUP(A88,Declarations!B$6:D$185,3,FALSE)))</f>
        <v>U12</v>
      </c>
      <c r="F88" s="49">
        <f>IF(B88="","",IF(ISNA(VLOOKUP(A88,'75m'!F$5:G$302,2,FALSE)),"",VLOOKUP(A88,'75m'!F$5:G$302,2,FALSE)))</f>
        <v>12</v>
      </c>
      <c r="G88" s="49">
        <f>IF(B88="",0,IF(ISNA(VLOOKUP(A88,'75m'!F$5:J$302,5,FALSE)),0,VLOOKUP(A88,'75m'!F$5:J$302,5,FALSE)))</f>
        <v>50</v>
      </c>
      <c r="H88" s="49" t="str">
        <f>IF(B88="","",IF(ISNA(VLOOKUP(A88,'75m'!F$5:K$302,6,FALSE)),"",VLOOKUP(A88,'75m'!F$5:K$302,6,FALSE)))</f>
        <v>PB7</v>
      </c>
      <c r="I88" s="51">
        <f>IF(B88="",0,IF(ISNA(VLOOKUP(A88,'600m'!F$5:J$302,2,FALSE)),0,VLOOKUP(A88,'600m'!F$5:J$302,2,FALSE)))</f>
        <v>1.4872685185185186E-3</v>
      </c>
      <c r="J88" s="49">
        <f>IF(B88="",0,IF(ISNA(VLOOKUP(A88,'600m'!F$5:J$302,5,FALSE)),0,VLOOKUP(A88,'600m'!F$5:J$302,5,FALSE)))</f>
        <v>61</v>
      </c>
      <c r="K88" s="49" t="str">
        <f>IF(B88="","",IF(ISNA(VLOOKUP(A88,'600m'!F$5:K$302,6,FALSE)),"",VLOOKUP(A88,'600m'!F$5:K$302,6,FALSE)))</f>
        <v>PB3</v>
      </c>
      <c r="L88" s="49">
        <f>IF(B88="","",IF(ISNA(VLOOKUP(A88,LongJump!F$5:G$302,2,FALSE)),"",VLOOKUP(A88,LongJump!F$5:G$302,2,FALSE)))</f>
        <v>3.37</v>
      </c>
      <c r="M88" s="49">
        <f>IF(B88="",0,IF(ISNA(VLOOKUP(A88,LongJump!F$5:J$302,5,FALSE)),0,VLOOKUP(A88,LongJump!F$5:J$302,5,FALSE)))</f>
        <v>49</v>
      </c>
      <c r="N88" s="49" t="str">
        <f>IF(B88="",0,IF(ISNA(VLOOKUP(A88,LongJump!F$5:K$302,6,FALSE)),0,VLOOKUP(A88,LongJump!F$5:K$302,6,FALSE)))</f>
        <v>PB6</v>
      </c>
      <c r="O88" s="49">
        <f>IF(B88="","",IF(ISNA(VLOOKUP(A88,Vortex!F$5:J$302,2,FALSE)),"",VLOOKUP(A88,Vortex!F$5:J$302,2,FALSE)))</f>
        <v>33.67</v>
      </c>
      <c r="P88" s="49">
        <f>IF(B88="",0,IF(ISNA(VLOOKUP(A88,Vortex!F$5:J$302,5,FALSE)),0,VLOOKUP(A88,Vortex!F$5:J$302,5,FALSE)))</f>
        <v>67</v>
      </c>
      <c r="Q88" s="49">
        <f t="shared" si="4"/>
        <v>227</v>
      </c>
      <c r="R88" s="49">
        <f t="shared" si="5"/>
        <v>1</v>
      </c>
      <c r="S88" s="49">
        <f t="shared" si="6"/>
        <v>10</v>
      </c>
      <c r="T88" s="38"/>
      <c r="X88" s="9"/>
      <c r="Y88" s="9"/>
      <c r="AI88"/>
      <c r="AJ88"/>
    </row>
    <row r="89" spans="1:36" ht="13.95" customHeight="1">
      <c r="A89" s="49">
        <f>IF(Declarations!B62=0,"",Declarations!B62)</f>
        <v>57</v>
      </c>
      <c r="B89" s="150" t="str">
        <f>IF(ISNA(VLOOKUP(A89,Declarations!B$6:C$185,2,FALSE)),"",IF(VLOOKUP(A89,Declarations!B$6:C$185,2,FALSE)="","",VLOOKUP(A89,Declarations!B$6:C$185,2,FALSE)))</f>
        <v>SAM SUCKLING</v>
      </c>
      <c r="C89" s="150" t="str">
        <f>IF(ISNA(VLOOKUP(A89,Declarations!B$6:F$185,5,FALSE)),"",IF(VLOOKUP(A89,Declarations!B$6:F$185,5,FALSE)="","",VLOOKUP(A89,Declarations!B$6:F$185,5,FALSE)))</f>
        <v>Poole Runners</v>
      </c>
      <c r="D89" s="150" t="str">
        <f>IF(ISNA(VLOOKUP(A89,Declarations!B$6:F$185,4,FALSE)),"",IF(VLOOKUP(A89,Declarations!B$6:F$185,4,FALSE)="","",VLOOKUP(A89,Declarations!B$6:F$185,4,FALSE)))</f>
        <v>BOYS</v>
      </c>
      <c r="E89" s="150" t="str">
        <f>IF(ISNA(VLOOKUP(A89,Declarations!B$6:D$185,3,FALSE)),"",IF(VLOOKUP(A89,Declarations!B$6:D$185,3,FALSE)="","",VLOOKUP(A89,Declarations!B$6:D$185,3,FALSE)))</f>
        <v>U12</v>
      </c>
      <c r="F89" s="49">
        <f>IF(B89="","",IF(ISNA(VLOOKUP(A89,'75m'!F$5:G$302,2,FALSE)),"",VLOOKUP(A89,'75m'!F$5:G$302,2,FALSE)))</f>
        <v>13.1</v>
      </c>
      <c r="G89" s="49">
        <f>IF(B89="",0,IF(ISNA(VLOOKUP(A89,'75m'!F$5:J$302,5,FALSE)),0,VLOOKUP(A89,'75m'!F$5:J$302,5,FALSE)))</f>
        <v>39</v>
      </c>
      <c r="H89" s="49" t="str">
        <f>IF(B89="","",IF(ISNA(VLOOKUP(A89,'75m'!F$5:K$302,6,FALSE)),"",VLOOKUP(A89,'75m'!F$5:K$302,6,FALSE)))</f>
        <v>PB4</v>
      </c>
      <c r="I89" s="51">
        <f>IF(B89="",0,IF(ISNA(VLOOKUP(A89,'600m'!F$5:J$302,2,FALSE)),0,VLOOKUP(A89,'600m'!F$5:J$302,2,FALSE)))</f>
        <v>1.5671296296296297E-3</v>
      </c>
      <c r="J89" s="49">
        <f>IF(B89="",0,IF(ISNA(VLOOKUP(A89,'600m'!F$5:J$302,5,FALSE)),0,VLOOKUP(A89,'600m'!F$5:J$302,5,FALSE)))</f>
        <v>54</v>
      </c>
      <c r="K89" s="49" t="str">
        <f>IF(B89="","",IF(ISNA(VLOOKUP(A89,'600m'!F$5:K$302,6,FALSE)),"",VLOOKUP(A89,'600m'!F$5:K$302,6,FALSE)))</f>
        <v>PB2</v>
      </c>
      <c r="L89" s="49">
        <f>IF(B89="","",IF(ISNA(VLOOKUP(A89,LongJump!F$5:G$302,2,FALSE)),"",VLOOKUP(A89,LongJump!F$5:G$302,2,FALSE)))</f>
        <v>2.3199999999999998</v>
      </c>
      <c r="M89" s="49">
        <f>IF(B89="",0,IF(ISNA(VLOOKUP(A89,LongJump!F$5:J$302,5,FALSE)),0,VLOOKUP(A89,LongJump!F$5:J$302,5,FALSE)))</f>
        <v>14</v>
      </c>
      <c r="N89" s="49" t="str">
        <f>IF(B89="",0,IF(ISNA(VLOOKUP(A89,LongJump!F$5:K$302,6,FALSE)),0,VLOOKUP(A89,LongJump!F$5:K$302,6,FALSE)))</f>
        <v>PB2</v>
      </c>
      <c r="O89" s="49">
        <f>IF(B89="","",IF(ISNA(VLOOKUP(A89,Vortex!F$5:J$302,2,FALSE)),"",VLOOKUP(A89,Vortex!F$5:J$302,2,FALSE)))</f>
        <v>18.059999999999999</v>
      </c>
      <c r="P89" s="49">
        <f>IF(B89="",0,IF(ISNA(VLOOKUP(A89,Vortex!F$5:J$302,5,FALSE)),0,VLOOKUP(A89,Vortex!F$5:J$302,5,FALSE)))</f>
        <v>36</v>
      </c>
      <c r="Q89" s="49">
        <f t="shared" si="4"/>
        <v>143</v>
      </c>
      <c r="R89" s="49">
        <f t="shared" si="5"/>
        <v>7</v>
      </c>
      <c r="S89" s="49">
        <f t="shared" si="6"/>
        <v>41</v>
      </c>
      <c r="T89" s="38"/>
      <c r="X89" s="9"/>
      <c r="Y89" s="9"/>
      <c r="AI89"/>
      <c r="AJ89"/>
    </row>
    <row r="90" spans="1:36" ht="13.95" customHeight="1">
      <c r="A90" s="49">
        <f>IF(Declarations!B63=0,"",Declarations!B63)</f>
        <v>58</v>
      </c>
      <c r="B90" s="150" t="str">
        <f>IF(ISNA(VLOOKUP(A90,Declarations!B$6:C$185,2,FALSE)),"",IF(VLOOKUP(A90,Declarations!B$6:C$185,2,FALSE)="","",VLOOKUP(A90,Declarations!B$6:C$185,2,FALSE)))</f>
        <v>FINLAY KENYON</v>
      </c>
      <c r="C90" s="150" t="str">
        <f>IF(ISNA(VLOOKUP(A90,Declarations!B$6:F$185,5,FALSE)),"",IF(VLOOKUP(A90,Declarations!B$6:F$185,5,FALSE)="","",VLOOKUP(A90,Declarations!B$6:F$185,5,FALSE)))</f>
        <v>Poole Runners</v>
      </c>
      <c r="D90" s="150" t="str">
        <f>IF(ISNA(VLOOKUP(A90,Declarations!B$6:F$185,4,FALSE)),"",IF(VLOOKUP(A90,Declarations!B$6:F$185,4,FALSE)="","",VLOOKUP(A90,Declarations!B$6:F$185,4,FALSE)))</f>
        <v>BOYS</v>
      </c>
      <c r="E90" s="150" t="str">
        <f>IF(ISNA(VLOOKUP(A90,Declarations!B$6:D$185,3,FALSE)),"",IF(VLOOKUP(A90,Declarations!B$6:D$185,3,FALSE)="","",VLOOKUP(A90,Declarations!B$6:D$185,3,FALSE)))</f>
        <v>U12</v>
      </c>
      <c r="F90" s="49">
        <f>IF(B90="","",IF(ISNA(VLOOKUP(A90,'75m'!F$5:G$302,2,FALSE)),"",VLOOKUP(A90,'75m'!F$5:G$302,2,FALSE)))</f>
        <v>12</v>
      </c>
      <c r="G90" s="49">
        <f>IF(B90="",0,IF(ISNA(VLOOKUP(A90,'75m'!F$5:J$302,5,FALSE)),0,VLOOKUP(A90,'75m'!F$5:J$302,5,FALSE)))</f>
        <v>50</v>
      </c>
      <c r="H90" s="49" t="str">
        <f>IF(B90="","",IF(ISNA(VLOOKUP(A90,'75m'!F$5:K$302,6,FALSE)),"",VLOOKUP(A90,'75m'!F$5:K$302,6,FALSE)))</f>
        <v>PB7</v>
      </c>
      <c r="I90" s="51">
        <f>IF(B90="",0,IF(ISNA(VLOOKUP(A90,'600m'!F$5:J$302,2,FALSE)),0,VLOOKUP(A90,'600m'!F$5:J$302,2,FALSE)))</f>
        <v>1.3541666666666667E-3</v>
      </c>
      <c r="J90" s="49">
        <f>IF(B90="",0,IF(ISNA(VLOOKUP(A90,'600m'!F$5:J$302,5,FALSE)),0,VLOOKUP(A90,'600m'!F$5:J$302,5,FALSE)))</f>
        <v>73</v>
      </c>
      <c r="K90" s="49" t="str">
        <f>IF(B90="","",IF(ISNA(VLOOKUP(A90,'600m'!F$5:K$302,6,FALSE)),"",VLOOKUP(A90,'600m'!F$5:K$302,6,FALSE)))</f>
        <v>PB5</v>
      </c>
      <c r="L90" s="49">
        <f>IF(B90="","",IF(ISNA(VLOOKUP(A90,LongJump!F$5:G$302,2,FALSE)),"",VLOOKUP(A90,LongJump!F$5:G$302,2,FALSE)))</f>
        <v>3.33</v>
      </c>
      <c r="M90" s="49">
        <f>IF(B90="",0,IF(ISNA(VLOOKUP(A90,LongJump!F$5:J$302,5,FALSE)),0,VLOOKUP(A90,LongJump!F$5:J$302,5,FALSE)))</f>
        <v>47</v>
      </c>
      <c r="N90" s="49" t="str">
        <f>IF(B90="",0,IF(ISNA(VLOOKUP(A90,LongJump!F$5:K$302,6,FALSE)),0,VLOOKUP(A90,LongJump!F$5:K$302,6,FALSE)))</f>
        <v>PB6</v>
      </c>
      <c r="O90" s="49">
        <f>IF(B90="","",IF(ISNA(VLOOKUP(A90,Vortex!F$5:J$302,2,FALSE)),"",VLOOKUP(A90,Vortex!F$5:J$302,2,FALSE)))</f>
        <v>21.39</v>
      </c>
      <c r="P90" s="49">
        <f>IF(B90="",0,IF(ISNA(VLOOKUP(A90,Vortex!F$5:J$302,5,FALSE)),0,VLOOKUP(A90,Vortex!F$5:J$302,5,FALSE)))</f>
        <v>42</v>
      </c>
      <c r="Q90" s="49">
        <f t="shared" si="4"/>
        <v>212</v>
      </c>
      <c r="R90" s="49">
        <f t="shared" si="5"/>
        <v>3</v>
      </c>
      <c r="S90" s="49">
        <f t="shared" si="6"/>
        <v>17</v>
      </c>
      <c r="T90" s="38"/>
      <c r="X90" s="9"/>
      <c r="Y90" s="9"/>
      <c r="AI90"/>
      <c r="AJ90"/>
    </row>
    <row r="91" spans="1:36" ht="13.95" customHeight="1">
      <c r="A91" s="49">
        <f>IF(Declarations!B64=0,"",Declarations!B64)</f>
        <v>59</v>
      </c>
      <c r="B91" s="150" t="str">
        <f>IF(ISNA(VLOOKUP(A91,Declarations!B$6:C$185,2,FALSE)),"",IF(VLOOKUP(A91,Declarations!B$6:C$185,2,FALSE)="","",VLOOKUP(A91,Declarations!B$6:C$185,2,FALSE)))</f>
        <v/>
      </c>
      <c r="C91" s="150" t="str">
        <f>IF(ISNA(VLOOKUP(A91,Declarations!B$6:F$185,5,FALSE)),"",IF(VLOOKUP(A91,Declarations!B$6:F$185,5,FALSE)="","",VLOOKUP(A91,Declarations!B$6:F$185,5,FALSE)))</f>
        <v>Poole Runners</v>
      </c>
      <c r="D91" s="150" t="str">
        <f>IF(ISNA(VLOOKUP(A91,Declarations!B$6:F$185,4,FALSE)),"",IF(VLOOKUP(A91,Declarations!B$6:F$185,4,FALSE)="","",VLOOKUP(A91,Declarations!B$6:F$185,4,FALSE)))</f>
        <v>BOYS</v>
      </c>
      <c r="E91" s="150" t="str">
        <f>IF(ISNA(VLOOKUP(A91,Declarations!B$6:D$185,3,FALSE)),"",IF(VLOOKUP(A91,Declarations!B$6:D$185,3,FALSE)="","",VLOOKUP(A91,Declarations!B$6:D$185,3,FALSE)))</f>
        <v>U12</v>
      </c>
      <c r="F91" s="49" t="str">
        <f>IF(B91="","",IF(ISNA(VLOOKUP(A91,'75m'!F$5:G$302,2,FALSE)),"",VLOOKUP(A91,'75m'!F$5:G$302,2,FALSE)))</f>
        <v/>
      </c>
      <c r="G91" s="49">
        <f>IF(B91="",0,IF(ISNA(VLOOKUP(A91,'75m'!F$5:J$302,5,FALSE)),0,VLOOKUP(A91,'75m'!F$5:J$302,5,FALSE)))</f>
        <v>0</v>
      </c>
      <c r="H91" s="49" t="str">
        <f>IF(B91="","",IF(ISNA(VLOOKUP(A91,'75m'!F$5:K$302,6,FALSE)),"",VLOOKUP(A91,'75m'!F$5:K$302,6,FALSE)))</f>
        <v/>
      </c>
      <c r="I91" s="51">
        <f>IF(B91="",0,IF(ISNA(VLOOKUP(A91,'600m'!F$5:J$302,2,FALSE)),0,VLOOKUP(A91,'600m'!F$5:J$302,2,FALSE)))</f>
        <v>0</v>
      </c>
      <c r="J91" s="49">
        <f>IF(B91="",0,IF(ISNA(VLOOKUP(A91,'600m'!F$5:J$302,5,FALSE)),0,VLOOKUP(A91,'600m'!F$5:J$302,5,FALSE)))</f>
        <v>0</v>
      </c>
      <c r="K91" s="49" t="str">
        <f>IF(B91="","",IF(ISNA(VLOOKUP(A91,'600m'!F$5:K$302,6,FALSE)),"",VLOOKUP(A91,'600m'!F$5:K$302,6,FALSE)))</f>
        <v/>
      </c>
      <c r="L91" s="49" t="str">
        <f>IF(B91="","",IF(ISNA(VLOOKUP(A91,LongJump!F$5:G$302,2,FALSE)),"",VLOOKUP(A91,LongJump!F$5:G$302,2,FALSE)))</f>
        <v/>
      </c>
      <c r="M91" s="49">
        <f>IF(B91="",0,IF(ISNA(VLOOKUP(A91,LongJump!F$5:J$302,5,FALSE)),0,VLOOKUP(A91,LongJump!F$5:J$302,5,FALSE)))</f>
        <v>0</v>
      </c>
      <c r="N91" s="49">
        <f>IF(B91="",0,IF(ISNA(VLOOKUP(A91,LongJump!F$5:K$302,6,FALSE)),0,VLOOKUP(A91,LongJump!F$5:K$302,6,FALSE)))</f>
        <v>0</v>
      </c>
      <c r="O91" s="49" t="str">
        <f>IF(B91="","",IF(ISNA(VLOOKUP(A91,Vortex!F$5:J$302,2,FALSE)),"",VLOOKUP(A91,Vortex!F$5:J$302,2,FALSE)))</f>
        <v/>
      </c>
      <c r="P91" s="49">
        <f>IF(B91="",0,IF(ISNA(VLOOKUP(A91,Vortex!F$5:J$302,5,FALSE)),0,VLOOKUP(A91,Vortex!F$5:J$302,5,FALSE)))</f>
        <v>0</v>
      </c>
      <c r="Q91" s="49">
        <f t="shared" si="4"/>
        <v>0</v>
      </c>
      <c r="R91" s="49" t="str">
        <f t="shared" si="5"/>
        <v/>
      </c>
      <c r="S91" s="49" t="str">
        <f t="shared" si="6"/>
        <v/>
      </c>
      <c r="T91" s="38"/>
      <c r="X91" s="9"/>
      <c r="Y91" s="9"/>
      <c r="AI91"/>
      <c r="AJ91"/>
    </row>
    <row r="92" spans="1:36" ht="13.95" customHeight="1">
      <c r="A92" s="49">
        <f>IF(Declarations!B65=0,"",Declarations!B65)</f>
        <v>60</v>
      </c>
      <c r="B92" s="150" t="str">
        <f>IF(ISNA(VLOOKUP(A92,Declarations!B$6:C$185,2,FALSE)),"",IF(VLOOKUP(A92,Declarations!B$6:C$185,2,FALSE)="","",VLOOKUP(A92,Declarations!B$6:C$185,2,FALSE)))</f>
        <v/>
      </c>
      <c r="C92" s="150" t="str">
        <f>IF(ISNA(VLOOKUP(A92,Declarations!B$6:F$185,5,FALSE)),"",IF(VLOOKUP(A92,Declarations!B$6:F$185,5,FALSE)="","",VLOOKUP(A92,Declarations!B$6:F$185,5,FALSE)))</f>
        <v>Poole Runners</v>
      </c>
      <c r="D92" s="150" t="str">
        <f>IF(ISNA(VLOOKUP(A92,Declarations!B$6:F$185,4,FALSE)),"",IF(VLOOKUP(A92,Declarations!B$6:F$185,4,FALSE)="","",VLOOKUP(A92,Declarations!B$6:F$185,4,FALSE)))</f>
        <v>BOYS</v>
      </c>
      <c r="E92" s="150" t="str">
        <f>IF(ISNA(VLOOKUP(A92,Declarations!B$6:D$185,3,FALSE)),"",IF(VLOOKUP(A92,Declarations!B$6:D$185,3,FALSE)="","",VLOOKUP(A92,Declarations!B$6:D$185,3,FALSE)))</f>
        <v>U12</v>
      </c>
      <c r="F92" s="49" t="str">
        <f>IF(B92="","",IF(ISNA(VLOOKUP(A92,'75m'!F$5:G$302,2,FALSE)),"",VLOOKUP(A92,'75m'!F$5:G$302,2,FALSE)))</f>
        <v/>
      </c>
      <c r="G92" s="49">
        <f>IF(B92="",0,IF(ISNA(VLOOKUP(A92,'75m'!F$5:J$302,5,FALSE)),0,VLOOKUP(A92,'75m'!F$5:J$302,5,FALSE)))</f>
        <v>0</v>
      </c>
      <c r="H92" s="49" t="str">
        <f>IF(B92="","",IF(ISNA(VLOOKUP(A92,'75m'!F$5:K$302,6,FALSE)),"",VLOOKUP(A92,'75m'!F$5:K$302,6,FALSE)))</f>
        <v/>
      </c>
      <c r="I92" s="51">
        <f>IF(B92="",0,IF(ISNA(VLOOKUP(A92,'600m'!F$5:J$302,2,FALSE)),0,VLOOKUP(A92,'600m'!F$5:J$302,2,FALSE)))</f>
        <v>0</v>
      </c>
      <c r="J92" s="49">
        <f>IF(B92="",0,IF(ISNA(VLOOKUP(A92,'600m'!F$5:J$302,5,FALSE)),0,VLOOKUP(A92,'600m'!F$5:J$302,5,FALSE)))</f>
        <v>0</v>
      </c>
      <c r="K92" s="49" t="str">
        <f>IF(B92="","",IF(ISNA(VLOOKUP(A92,'600m'!F$5:K$302,6,FALSE)),"",VLOOKUP(A92,'600m'!F$5:K$302,6,FALSE)))</f>
        <v/>
      </c>
      <c r="L92" s="49" t="str">
        <f>IF(B92="","",IF(ISNA(VLOOKUP(A92,LongJump!F$5:G$302,2,FALSE)),"",VLOOKUP(A92,LongJump!F$5:G$302,2,FALSE)))</f>
        <v/>
      </c>
      <c r="M92" s="49">
        <f>IF(B92="",0,IF(ISNA(VLOOKUP(A92,LongJump!F$5:J$302,5,FALSE)),0,VLOOKUP(A92,LongJump!F$5:J$302,5,FALSE)))</f>
        <v>0</v>
      </c>
      <c r="N92" s="49">
        <f>IF(B92="",0,IF(ISNA(VLOOKUP(A92,LongJump!F$5:K$302,6,FALSE)),0,VLOOKUP(A92,LongJump!F$5:K$302,6,FALSE)))</f>
        <v>0</v>
      </c>
      <c r="O92" s="49" t="str">
        <f>IF(B92="","",IF(ISNA(VLOOKUP(A92,Vortex!F$5:J$302,2,FALSE)),"",VLOOKUP(A92,Vortex!F$5:J$302,2,FALSE)))</f>
        <v/>
      </c>
      <c r="P92" s="49">
        <f>IF(B92="",0,IF(ISNA(VLOOKUP(A92,Vortex!F$5:J$302,5,FALSE)),0,VLOOKUP(A92,Vortex!F$5:J$302,5,FALSE)))</f>
        <v>0</v>
      </c>
      <c r="Q92" s="49">
        <f t="shared" si="4"/>
        <v>0</v>
      </c>
      <c r="R92" s="49" t="str">
        <f t="shared" si="5"/>
        <v/>
      </c>
      <c r="S92" s="49" t="str">
        <f t="shared" si="6"/>
        <v/>
      </c>
      <c r="T92" s="38"/>
      <c r="X92" s="9"/>
      <c r="Y92" s="9"/>
      <c r="AI92"/>
      <c r="AJ92"/>
    </row>
    <row r="93" spans="1:36" ht="13.95" customHeight="1">
      <c r="A93" s="49">
        <f>IF(Declarations!B66=0,"",Declarations!B66)</f>
        <v>61</v>
      </c>
      <c r="B93" s="150" t="str">
        <f>IF(ISNA(VLOOKUP(A93,Declarations!B$6:C$185,2,FALSE)),"",IF(VLOOKUP(A93,Declarations!B$6:C$185,2,FALSE)="","",VLOOKUP(A93,Declarations!B$6:C$185,2,FALSE)))</f>
        <v>MARCY POWER</v>
      </c>
      <c r="C93" s="150" t="str">
        <f>IF(ISNA(VLOOKUP(A93,Declarations!B$6:F$185,5,FALSE)),"",IF(VLOOKUP(A93,Declarations!B$6:F$185,5,FALSE)="","",VLOOKUP(A93,Declarations!B$6:F$185,5,FALSE)))</f>
        <v>Fleet &amp; Crookham AC</v>
      </c>
      <c r="D93" s="150" t="str">
        <f>IF(ISNA(VLOOKUP(A93,Declarations!B$6:F$185,4,FALSE)),"",IF(VLOOKUP(A93,Declarations!B$6:F$185,4,FALSE)="","",VLOOKUP(A93,Declarations!B$6:F$185,4,FALSE)))</f>
        <v>GIRLS</v>
      </c>
      <c r="E93" s="150" t="str">
        <f>IF(ISNA(VLOOKUP(A93,Declarations!B$6:D$185,3,FALSE)),"",IF(VLOOKUP(A93,Declarations!B$6:D$185,3,FALSE)="","",VLOOKUP(A93,Declarations!B$6:D$185,3,FALSE)))</f>
        <v>U12</v>
      </c>
      <c r="F93" s="49">
        <f>IF(B93="","",IF(ISNA(VLOOKUP(A93,'75m'!F$5:G$302,2,FALSE)),"",VLOOKUP(A93,'75m'!F$5:G$302,2,FALSE)))</f>
        <v>11.7</v>
      </c>
      <c r="G93" s="49">
        <f>IF(B93="",0,IF(ISNA(VLOOKUP(A93,'75m'!F$5:J$302,5,FALSE)),0,VLOOKUP(A93,'75m'!F$5:J$302,5,FALSE)))</f>
        <v>53</v>
      </c>
      <c r="H93" s="49" t="str">
        <f>IF(B93="","",IF(ISNA(VLOOKUP(A93,'75m'!F$5:K$302,6,FALSE)),"",VLOOKUP(A93,'75m'!F$5:K$302,6,FALSE)))</f>
        <v>PB9</v>
      </c>
      <c r="I93" s="51">
        <f>IF(B93="",0,IF(ISNA(VLOOKUP(A93,'600m'!F$5:J$302,2,FALSE)),0,VLOOKUP(A93,'600m'!F$5:J$302,2,FALSE)))</f>
        <v>1.3506944444444445E-3</v>
      </c>
      <c r="J93" s="49">
        <f>IF(B93="",0,IF(ISNA(VLOOKUP(A93,'600m'!F$5:J$302,5,FALSE)),0,VLOOKUP(A93,'600m'!F$5:J$302,5,FALSE)))</f>
        <v>73</v>
      </c>
      <c r="K93" s="49" t="str">
        <f>IF(B93="","",IF(ISNA(VLOOKUP(A93,'600m'!F$5:K$302,6,FALSE)),"",VLOOKUP(A93,'600m'!F$5:K$302,6,FALSE)))</f>
        <v>PB6</v>
      </c>
      <c r="L93" s="49">
        <f>IF(B93="","",IF(ISNA(VLOOKUP(A93,LongJump!F$5:G$302,2,FALSE)),"",VLOOKUP(A93,LongJump!F$5:G$302,2,FALSE)))</f>
        <v>3.59</v>
      </c>
      <c r="M93" s="49">
        <f>IF(B93="",0,IF(ISNA(VLOOKUP(A93,LongJump!F$5:J$302,5,FALSE)),0,VLOOKUP(A93,LongJump!F$5:J$302,5,FALSE)))</f>
        <v>56</v>
      </c>
      <c r="N93" s="49" t="str">
        <f>IF(B93="",0,IF(ISNA(VLOOKUP(A93,LongJump!F$5:K$302,6,FALSE)),0,VLOOKUP(A93,LongJump!F$5:K$302,6,FALSE)))</f>
        <v>PB8</v>
      </c>
      <c r="O93" s="49">
        <f>IF(B93="","",IF(ISNA(VLOOKUP(A93,Vortex!F$5:J$302,2,FALSE)),"",VLOOKUP(A93,Vortex!F$5:J$302,2,FALSE)))</f>
        <v>23.89</v>
      </c>
      <c r="P93" s="49">
        <f>IF(B93="",0,IF(ISNA(VLOOKUP(A93,Vortex!F$5:J$302,5,FALSE)),0,VLOOKUP(A93,Vortex!F$5:J$302,5,FALSE)))</f>
        <v>47</v>
      </c>
      <c r="Q93" s="49">
        <f t="shared" si="4"/>
        <v>229</v>
      </c>
      <c r="R93" s="49">
        <f t="shared" si="5"/>
        <v>1</v>
      </c>
      <c r="S93" s="49">
        <f t="shared" si="6"/>
        <v>1</v>
      </c>
      <c r="T93" s="38"/>
      <c r="X93" s="9"/>
      <c r="Y93" s="9"/>
      <c r="AI93"/>
      <c r="AJ93"/>
    </row>
    <row r="94" spans="1:36" ht="13.95" customHeight="1">
      <c r="A94" s="49">
        <f>IF(Declarations!B67=0,"",Declarations!B67)</f>
        <v>62</v>
      </c>
      <c r="B94" s="150" t="str">
        <f>IF(ISNA(VLOOKUP(A94,Declarations!B$6:C$185,2,FALSE)),"",IF(VLOOKUP(A94,Declarations!B$6:C$185,2,FALSE)="","",VLOOKUP(A94,Declarations!B$6:C$185,2,FALSE)))</f>
        <v>OTTILE WHITE</v>
      </c>
      <c r="C94" s="150" t="str">
        <f>IF(ISNA(VLOOKUP(A94,Declarations!B$6:F$185,5,FALSE)),"",IF(VLOOKUP(A94,Declarations!B$6:F$185,5,FALSE)="","",VLOOKUP(A94,Declarations!B$6:F$185,5,FALSE)))</f>
        <v>Fleet &amp; Crookham AC</v>
      </c>
      <c r="D94" s="150" t="str">
        <f>IF(ISNA(VLOOKUP(A94,Declarations!B$6:F$185,4,FALSE)),"",IF(VLOOKUP(A94,Declarations!B$6:F$185,4,FALSE)="","",VLOOKUP(A94,Declarations!B$6:F$185,4,FALSE)))</f>
        <v>GIRLS</v>
      </c>
      <c r="E94" s="150" t="str">
        <f>IF(ISNA(VLOOKUP(A94,Declarations!B$6:D$185,3,FALSE)),"",IF(VLOOKUP(A94,Declarations!B$6:D$185,3,FALSE)="","",VLOOKUP(A94,Declarations!B$6:D$185,3,FALSE)))</f>
        <v>U12</v>
      </c>
      <c r="F94" s="49">
        <f>IF(B94="","",IF(ISNA(VLOOKUP(A94,'75m'!F$5:G$302,2,FALSE)),"",VLOOKUP(A94,'75m'!F$5:G$302,2,FALSE)))</f>
        <v>12.3</v>
      </c>
      <c r="G94" s="49">
        <f>IF(B94="",0,IF(ISNA(VLOOKUP(A94,'75m'!F$5:J$302,5,FALSE)),0,VLOOKUP(A94,'75m'!F$5:J$302,5,FALSE)))</f>
        <v>47</v>
      </c>
      <c r="H94" s="49" t="str">
        <f>IF(B94="","",IF(ISNA(VLOOKUP(A94,'75m'!F$5:K$302,6,FALSE)),"",VLOOKUP(A94,'75m'!F$5:K$302,6,FALSE)))</f>
        <v>PB7</v>
      </c>
      <c r="I94" s="51">
        <f>IF(B94="",0,IF(ISNA(VLOOKUP(A94,'600m'!F$5:J$302,2,FALSE)),0,VLOOKUP(A94,'600m'!F$5:J$302,2,FALSE)))</f>
        <v>1.517361111111111E-3</v>
      </c>
      <c r="J94" s="49">
        <f>IF(B94="",0,IF(ISNA(VLOOKUP(A94,'600m'!F$5:J$302,5,FALSE)),0,VLOOKUP(A94,'600m'!F$5:J$302,5,FALSE)))</f>
        <v>58</v>
      </c>
      <c r="K94" s="49" t="str">
        <f>IF(B94="","",IF(ISNA(VLOOKUP(A94,'600m'!F$5:K$302,6,FALSE)),"",VLOOKUP(A94,'600m'!F$5:K$302,6,FALSE)))</f>
        <v>PB3</v>
      </c>
      <c r="L94" s="49">
        <f>IF(B94="","",IF(ISNA(VLOOKUP(A94,LongJump!F$5:G$302,2,FALSE)),"",VLOOKUP(A94,LongJump!F$5:G$302,2,FALSE)))</f>
        <v>3.15</v>
      </c>
      <c r="M94" s="49">
        <f>IF(B94="",0,IF(ISNA(VLOOKUP(A94,LongJump!F$5:J$302,5,FALSE)),0,VLOOKUP(A94,LongJump!F$5:J$302,5,FALSE)))</f>
        <v>41</v>
      </c>
      <c r="N94" s="49" t="str">
        <f>IF(B94="",0,IF(ISNA(VLOOKUP(A94,LongJump!F$5:K$302,6,FALSE)),0,VLOOKUP(A94,LongJump!F$5:K$302,6,FALSE)))</f>
        <v>PB6</v>
      </c>
      <c r="O94" s="49">
        <f>IF(B94="","",IF(ISNA(VLOOKUP(A94,Vortex!F$5:J$302,2,FALSE)),"",VLOOKUP(A94,Vortex!F$5:J$302,2,FALSE)))</f>
        <v>18.93</v>
      </c>
      <c r="P94" s="49">
        <f>IF(B94="",0,IF(ISNA(VLOOKUP(A94,Vortex!F$5:J$302,5,FALSE)),0,VLOOKUP(A94,Vortex!F$5:J$302,5,FALSE)))</f>
        <v>37</v>
      </c>
      <c r="Q94" s="49">
        <f t="shared" si="4"/>
        <v>183</v>
      </c>
      <c r="R94" s="49">
        <f t="shared" si="5"/>
        <v>4</v>
      </c>
      <c r="S94" s="49">
        <f t="shared" si="6"/>
        <v>17</v>
      </c>
      <c r="T94" s="38"/>
      <c r="X94" s="9"/>
      <c r="Y94" s="9"/>
      <c r="AI94"/>
      <c r="AJ94"/>
    </row>
    <row r="95" spans="1:36" ht="13.95" customHeight="1">
      <c r="A95" s="49">
        <f>IF(Declarations!B68=0,"",Declarations!B68)</f>
        <v>63</v>
      </c>
      <c r="B95" s="150" t="str">
        <f>IF(ISNA(VLOOKUP(A95,Declarations!B$6:C$185,2,FALSE)),"",IF(VLOOKUP(A95,Declarations!B$6:C$185,2,FALSE)="","",VLOOKUP(A95,Declarations!B$6:C$185,2,FALSE)))</f>
        <v>BETH JOHNSTON</v>
      </c>
      <c r="C95" s="150" t="str">
        <f>IF(ISNA(VLOOKUP(A95,Declarations!B$6:F$185,5,FALSE)),"",IF(VLOOKUP(A95,Declarations!B$6:F$185,5,FALSE)="","",VLOOKUP(A95,Declarations!B$6:F$185,5,FALSE)))</f>
        <v>Fleet &amp; Crookham AC</v>
      </c>
      <c r="D95" s="150" t="str">
        <f>IF(ISNA(VLOOKUP(A95,Declarations!B$6:F$185,4,FALSE)),"",IF(VLOOKUP(A95,Declarations!B$6:F$185,4,FALSE)="","",VLOOKUP(A95,Declarations!B$6:F$185,4,FALSE)))</f>
        <v>GIRLS</v>
      </c>
      <c r="E95" s="150" t="str">
        <f>IF(ISNA(VLOOKUP(A95,Declarations!B$6:D$185,3,FALSE)),"",IF(VLOOKUP(A95,Declarations!B$6:D$185,3,FALSE)="","",VLOOKUP(A95,Declarations!B$6:D$185,3,FALSE)))</f>
        <v>U12</v>
      </c>
      <c r="F95" s="49">
        <f>IF(B95="","",IF(ISNA(VLOOKUP(A95,'75m'!F$5:G$302,2,FALSE)),"",VLOOKUP(A95,'75m'!F$5:G$302,2,FALSE)))</f>
        <v>12.6</v>
      </c>
      <c r="G95" s="49">
        <f>IF(B95="",0,IF(ISNA(VLOOKUP(A95,'75m'!F$5:J$302,5,FALSE)),0,VLOOKUP(A95,'75m'!F$5:J$302,5,FALSE)))</f>
        <v>44</v>
      </c>
      <c r="H95" s="49" t="str">
        <f>IF(B95="","",IF(ISNA(VLOOKUP(A95,'75m'!F$5:K$302,6,FALSE)),"",VLOOKUP(A95,'75m'!F$5:K$302,6,FALSE)))</f>
        <v>PB6</v>
      </c>
      <c r="I95" s="51">
        <f>IF(B95="",0,IF(ISNA(VLOOKUP(A95,'600m'!F$5:J$302,2,FALSE)),0,VLOOKUP(A95,'600m'!F$5:J$302,2,FALSE)))</f>
        <v>1.5798611111111111E-3</v>
      </c>
      <c r="J95" s="49">
        <f>IF(B95="",0,IF(ISNA(VLOOKUP(A95,'600m'!F$5:J$302,5,FALSE)),0,VLOOKUP(A95,'600m'!F$5:J$302,5,FALSE)))</f>
        <v>53</v>
      </c>
      <c r="K95" s="49" t="str">
        <f>IF(B95="","",IF(ISNA(VLOOKUP(A95,'600m'!F$5:K$302,6,FALSE)),"",VLOOKUP(A95,'600m'!F$5:K$302,6,FALSE)))</f>
        <v>PB2</v>
      </c>
      <c r="L95" s="49">
        <f>IF(B95="","",IF(ISNA(VLOOKUP(A95,LongJump!F$5:G$302,2,FALSE)),"",VLOOKUP(A95,LongJump!F$5:G$302,2,FALSE)))</f>
        <v>2.75</v>
      </c>
      <c r="M95" s="49">
        <f>IF(B95="",0,IF(ISNA(VLOOKUP(A95,LongJump!F$5:J$302,5,FALSE)),0,VLOOKUP(A95,LongJump!F$5:J$302,5,FALSE)))</f>
        <v>28</v>
      </c>
      <c r="N95" s="49" t="str">
        <f>IF(B95="",0,IF(ISNA(VLOOKUP(A95,LongJump!F$5:K$302,6,FALSE)),0,VLOOKUP(A95,LongJump!F$5:K$302,6,FALSE)))</f>
        <v>PB5</v>
      </c>
      <c r="O95" s="49">
        <f>IF(B95="","",IF(ISNA(VLOOKUP(A95,Vortex!F$5:J$302,2,FALSE)),"",VLOOKUP(A95,Vortex!F$5:J$302,2,FALSE)))</f>
        <v>10.99</v>
      </c>
      <c r="P95" s="49">
        <f>IF(B95="",0,IF(ISNA(VLOOKUP(A95,Vortex!F$5:J$302,5,FALSE)),0,VLOOKUP(A95,Vortex!F$5:J$302,5,FALSE)))</f>
        <v>21</v>
      </c>
      <c r="Q95" s="49">
        <f t="shared" si="4"/>
        <v>146</v>
      </c>
      <c r="R95" s="49">
        <f t="shared" si="5"/>
        <v>6</v>
      </c>
      <c r="S95" s="49">
        <f t="shared" si="6"/>
        <v>37</v>
      </c>
      <c r="T95" s="38"/>
      <c r="X95" s="9"/>
      <c r="Y95" s="9"/>
      <c r="AI95"/>
      <c r="AJ95"/>
    </row>
    <row r="96" spans="1:36" ht="13.95" customHeight="1">
      <c r="A96" s="49">
        <f>IF(Declarations!B69=0,"",Declarations!B69)</f>
        <v>64</v>
      </c>
      <c r="B96" s="150" t="str">
        <f>IF(ISNA(VLOOKUP(A96,Declarations!B$6:C$185,2,FALSE)),"",IF(VLOOKUP(A96,Declarations!B$6:C$185,2,FALSE)="","",VLOOKUP(A96,Declarations!B$6:C$185,2,FALSE)))</f>
        <v>MATILDA FLINT</v>
      </c>
      <c r="C96" s="150" t="str">
        <f>IF(ISNA(VLOOKUP(A96,Declarations!B$6:F$185,5,FALSE)),"",IF(VLOOKUP(A96,Declarations!B$6:F$185,5,FALSE)="","",VLOOKUP(A96,Declarations!B$6:F$185,5,FALSE)))</f>
        <v>Fleet &amp; Crookham AC</v>
      </c>
      <c r="D96" s="150" t="str">
        <f>IF(ISNA(VLOOKUP(A96,Declarations!B$6:F$185,4,FALSE)),"",IF(VLOOKUP(A96,Declarations!B$6:F$185,4,FALSE)="","",VLOOKUP(A96,Declarations!B$6:F$185,4,FALSE)))</f>
        <v>GIRLS</v>
      </c>
      <c r="E96" s="150" t="str">
        <f>IF(ISNA(VLOOKUP(A96,Declarations!B$6:D$185,3,FALSE)),"",IF(VLOOKUP(A96,Declarations!B$6:D$185,3,FALSE)="","",VLOOKUP(A96,Declarations!B$6:D$185,3,FALSE)))</f>
        <v>U12</v>
      </c>
      <c r="F96" s="49">
        <f>IF(B96="","",IF(ISNA(VLOOKUP(A96,'75m'!F$5:G$302,2,FALSE)),"",VLOOKUP(A96,'75m'!F$5:G$302,2,FALSE)))</f>
        <v>11.3</v>
      </c>
      <c r="G96" s="49">
        <f>IF(B96="",0,IF(ISNA(VLOOKUP(A96,'75m'!F$5:J$302,5,FALSE)),0,VLOOKUP(A96,'75m'!F$5:J$302,5,FALSE)))</f>
        <v>57</v>
      </c>
      <c r="H96" s="49" t="str">
        <f>IF(B96="","",IF(ISNA(VLOOKUP(A96,'75m'!F$5:K$302,6,FALSE)),"",VLOOKUP(A96,'75m'!F$5:K$302,6,FALSE)))</f>
        <v>PB9</v>
      </c>
      <c r="I96" s="51">
        <f>IF(B96="",0,IF(ISNA(VLOOKUP(A96,'600m'!F$5:J$302,2,FALSE)),0,VLOOKUP(A96,'600m'!F$5:J$302,2,FALSE)))</f>
        <v>1.4872685185185186E-3</v>
      </c>
      <c r="J96" s="49">
        <f>IF(B96="",0,IF(ISNA(VLOOKUP(A96,'600m'!F$5:J$302,5,FALSE)),0,VLOOKUP(A96,'600m'!F$5:J$302,5,FALSE)))</f>
        <v>61</v>
      </c>
      <c r="K96" s="49" t="str">
        <f>IF(B96="","",IF(ISNA(VLOOKUP(A96,'600m'!F$5:K$302,6,FALSE)),"",VLOOKUP(A96,'600m'!F$5:K$302,6,FALSE)))</f>
        <v>PB4</v>
      </c>
      <c r="L96" s="49">
        <f>IF(B96="","",IF(ISNA(VLOOKUP(A96,LongJump!F$5:G$302,2,FALSE)),"",VLOOKUP(A96,LongJump!F$5:G$302,2,FALSE)))</f>
        <v>3.48</v>
      </c>
      <c r="M96" s="49">
        <f>IF(B96="",0,IF(ISNA(VLOOKUP(A96,LongJump!F$5:J$302,5,FALSE)),0,VLOOKUP(A96,LongJump!F$5:J$302,5,FALSE)))</f>
        <v>52</v>
      </c>
      <c r="N96" s="49" t="str">
        <f>IF(B96="",0,IF(ISNA(VLOOKUP(A96,LongJump!F$5:K$302,6,FALSE)),0,VLOOKUP(A96,LongJump!F$5:K$302,6,FALSE)))</f>
        <v>PB7</v>
      </c>
      <c r="O96" s="49">
        <f>IF(B96="","",IF(ISNA(VLOOKUP(A96,Vortex!F$5:J$302,2,FALSE)),"",VLOOKUP(A96,Vortex!F$5:J$302,2,FALSE)))</f>
        <v>21.15</v>
      </c>
      <c r="P96" s="49">
        <f>IF(B96="",0,IF(ISNA(VLOOKUP(A96,Vortex!F$5:J$302,5,FALSE)),0,VLOOKUP(A96,Vortex!F$5:J$302,5,FALSE)))</f>
        <v>42</v>
      </c>
      <c r="Q96" s="49">
        <f t="shared" si="4"/>
        <v>212</v>
      </c>
      <c r="R96" s="49">
        <f t="shared" si="5"/>
        <v>3</v>
      </c>
      <c r="S96" s="49">
        <f t="shared" si="6"/>
        <v>8</v>
      </c>
      <c r="T96" s="38"/>
      <c r="X96" s="9"/>
      <c r="Y96" s="9"/>
      <c r="AI96"/>
      <c r="AJ96"/>
    </row>
    <row r="97" spans="1:36" ht="13.95" customHeight="1">
      <c r="A97" s="49">
        <f>IF(Declarations!B70=0,"",Declarations!B70)</f>
        <v>65</v>
      </c>
      <c r="B97" s="150" t="str">
        <f>IF(ISNA(VLOOKUP(A97,Declarations!B$6:C$185,2,FALSE)),"",IF(VLOOKUP(A97,Declarations!B$6:C$185,2,FALSE)="","",VLOOKUP(A97,Declarations!B$6:C$185,2,FALSE)))</f>
        <v>HONEY FLINT</v>
      </c>
      <c r="C97" s="150" t="str">
        <f>IF(ISNA(VLOOKUP(A97,Declarations!B$6:F$185,5,FALSE)),"",IF(VLOOKUP(A97,Declarations!B$6:F$185,5,FALSE)="","",VLOOKUP(A97,Declarations!B$6:F$185,5,FALSE)))</f>
        <v>Fleet &amp; Crookham AC</v>
      </c>
      <c r="D97" s="150" t="str">
        <f>IF(ISNA(VLOOKUP(A97,Declarations!B$6:F$185,4,FALSE)),"",IF(VLOOKUP(A97,Declarations!B$6:F$185,4,FALSE)="","",VLOOKUP(A97,Declarations!B$6:F$185,4,FALSE)))</f>
        <v>GIRLS</v>
      </c>
      <c r="E97" s="150" t="str">
        <f>IF(ISNA(VLOOKUP(A97,Declarations!B$6:D$185,3,FALSE)),"",IF(VLOOKUP(A97,Declarations!B$6:D$185,3,FALSE)="","",VLOOKUP(A97,Declarations!B$6:D$185,3,FALSE)))</f>
        <v>U12</v>
      </c>
      <c r="F97" s="49">
        <f>IF(B97="","",IF(ISNA(VLOOKUP(A97,'75m'!F$5:G$302,2,FALSE)),"",VLOOKUP(A97,'75m'!F$5:G$302,2,FALSE)))</f>
        <v>13.4</v>
      </c>
      <c r="G97" s="49">
        <f>IF(B97="",0,IF(ISNA(VLOOKUP(A97,'75m'!F$5:J$302,5,FALSE)),0,VLOOKUP(A97,'75m'!F$5:J$302,5,FALSE)))</f>
        <v>36</v>
      </c>
      <c r="H97" s="49" t="str">
        <f>IF(B97="","",IF(ISNA(VLOOKUP(A97,'75m'!F$5:K$302,6,FALSE)),"",VLOOKUP(A97,'75m'!F$5:K$302,6,FALSE)))</f>
        <v>PB5</v>
      </c>
      <c r="I97" s="51">
        <f>IF(B97="",0,IF(ISNA(VLOOKUP(A97,'600m'!F$5:J$302,2,FALSE)),0,VLOOKUP(A97,'600m'!F$5:J$302,2,FALSE)))</f>
        <v>1.8726851851851853E-3</v>
      </c>
      <c r="J97" s="49">
        <f>IF(B97="",0,IF(ISNA(VLOOKUP(A97,'600m'!F$5:J$302,5,FALSE)),0,VLOOKUP(A97,'600m'!F$5:J$302,5,FALSE)))</f>
        <v>28</v>
      </c>
      <c r="K97" s="49" t="str">
        <f>IF(B97="","",IF(ISNA(VLOOKUP(A97,'600m'!F$5:K$302,6,FALSE)),"",VLOOKUP(A97,'600m'!F$5:K$302,6,FALSE)))</f>
        <v/>
      </c>
      <c r="L97" s="49">
        <f>IF(B97="","",IF(ISNA(VLOOKUP(A97,LongJump!F$5:G$302,2,FALSE)),"",VLOOKUP(A97,LongJump!F$5:G$302,2,FALSE)))</f>
        <v>2.74</v>
      </c>
      <c r="M97" s="49">
        <f>IF(B97="",0,IF(ISNA(VLOOKUP(A97,LongJump!F$5:J$302,5,FALSE)),0,VLOOKUP(A97,LongJump!F$5:J$302,5,FALSE)))</f>
        <v>28</v>
      </c>
      <c r="N97" s="49" t="str">
        <f>IF(B97="",0,IF(ISNA(VLOOKUP(A97,LongJump!F$5:K$302,6,FALSE)),0,VLOOKUP(A97,LongJump!F$5:K$302,6,FALSE)))</f>
        <v>PB4</v>
      </c>
      <c r="O97" s="49">
        <f>IF(B97="","",IF(ISNA(VLOOKUP(A97,Vortex!F$5:J$302,2,FALSE)),"",VLOOKUP(A97,Vortex!F$5:J$302,2,FALSE)))</f>
        <v>14.22</v>
      </c>
      <c r="P97" s="49">
        <f>IF(B97="",0,IF(ISNA(VLOOKUP(A97,Vortex!F$5:J$302,5,FALSE)),0,VLOOKUP(A97,Vortex!F$5:J$302,5,FALSE)))</f>
        <v>28</v>
      </c>
      <c r="Q97" s="49">
        <f t="shared" si="4"/>
        <v>120</v>
      </c>
      <c r="R97" s="49">
        <f t="shared" si="5"/>
        <v>7</v>
      </c>
      <c r="S97" s="49">
        <f t="shared" si="6"/>
        <v>43</v>
      </c>
      <c r="T97" s="38"/>
      <c r="X97" s="9"/>
      <c r="Y97" s="9"/>
      <c r="AI97"/>
      <c r="AJ97"/>
    </row>
    <row r="98" spans="1:36" ht="13.95" customHeight="1">
      <c r="A98" s="49">
        <f>IF(Declarations!B71=0,"",Declarations!B71)</f>
        <v>66</v>
      </c>
      <c r="B98" s="150" t="str">
        <f>IF(ISNA(VLOOKUP(A98,Declarations!B$6:C$185,2,FALSE)),"",IF(VLOOKUP(A98,Declarations!B$6:C$185,2,FALSE)="","",VLOOKUP(A98,Declarations!B$6:C$185,2,FALSE)))</f>
        <v>DAISY STEWART</v>
      </c>
      <c r="C98" s="150" t="str">
        <f>IF(ISNA(VLOOKUP(A98,Declarations!B$6:F$185,5,FALSE)),"",IF(VLOOKUP(A98,Declarations!B$6:F$185,5,FALSE)="","",VLOOKUP(A98,Declarations!B$6:F$185,5,FALSE)))</f>
        <v>Fleet &amp; Crookham AC</v>
      </c>
      <c r="D98" s="150" t="str">
        <f>IF(ISNA(VLOOKUP(A98,Declarations!B$6:F$185,4,FALSE)),"",IF(VLOOKUP(A98,Declarations!B$6:F$185,4,FALSE)="","",VLOOKUP(A98,Declarations!B$6:F$185,4,FALSE)))</f>
        <v>GIRLS</v>
      </c>
      <c r="E98" s="150" t="str">
        <f>IF(ISNA(VLOOKUP(A98,Declarations!B$6:D$185,3,FALSE)),"",IF(VLOOKUP(A98,Declarations!B$6:D$185,3,FALSE)="","",VLOOKUP(A98,Declarations!B$6:D$185,3,FALSE)))</f>
        <v>U12</v>
      </c>
      <c r="F98" s="49" t="str">
        <f>IF(B98="","",IF(ISNA(VLOOKUP(A98,'75m'!F$5:G$302,2,FALSE)),"",VLOOKUP(A98,'75m'!F$5:G$302,2,FALSE)))</f>
        <v/>
      </c>
      <c r="G98" s="49">
        <f>IF(B98="",0,IF(ISNA(VLOOKUP(A98,'75m'!F$5:J$302,5,FALSE)),0,VLOOKUP(A98,'75m'!F$5:J$302,5,FALSE)))</f>
        <v>0</v>
      </c>
      <c r="H98" s="49" t="str">
        <f>IF(B98="","",IF(ISNA(VLOOKUP(A98,'75m'!F$5:K$302,6,FALSE)),"",VLOOKUP(A98,'75m'!F$5:K$302,6,FALSE)))</f>
        <v/>
      </c>
      <c r="I98" s="51">
        <f>IF(B98="",0,IF(ISNA(VLOOKUP(A98,'600m'!F$5:J$302,2,FALSE)),0,VLOOKUP(A98,'600m'!F$5:J$302,2,FALSE)))</f>
        <v>0</v>
      </c>
      <c r="J98" s="49">
        <f>IF(B98="",0,IF(ISNA(VLOOKUP(A98,'600m'!F$5:J$302,5,FALSE)),0,VLOOKUP(A98,'600m'!F$5:J$302,5,FALSE)))</f>
        <v>0</v>
      </c>
      <c r="K98" s="49" t="str">
        <f>IF(B98="","",IF(ISNA(VLOOKUP(A98,'600m'!F$5:K$302,6,FALSE)),"",VLOOKUP(A98,'600m'!F$5:K$302,6,FALSE)))</f>
        <v/>
      </c>
      <c r="L98" s="49" t="str">
        <f>IF(B98="","",IF(ISNA(VLOOKUP(A98,LongJump!F$5:G$302,2,FALSE)),"",VLOOKUP(A98,LongJump!F$5:G$302,2,FALSE)))</f>
        <v/>
      </c>
      <c r="M98" s="49">
        <f>IF(B98="",0,IF(ISNA(VLOOKUP(A98,LongJump!F$5:J$302,5,FALSE)),0,VLOOKUP(A98,LongJump!F$5:J$302,5,FALSE)))</f>
        <v>0</v>
      </c>
      <c r="N98" s="49">
        <f>IF(B98="",0,IF(ISNA(VLOOKUP(A98,LongJump!F$5:K$302,6,FALSE)),0,VLOOKUP(A98,LongJump!F$5:K$302,6,FALSE)))</f>
        <v>0</v>
      </c>
      <c r="O98" s="49" t="str">
        <f>IF(B98="","",IF(ISNA(VLOOKUP(A98,Vortex!F$5:J$302,2,FALSE)),"",VLOOKUP(A98,Vortex!F$5:J$302,2,FALSE)))</f>
        <v/>
      </c>
      <c r="P98" s="49">
        <f>IF(B98="",0,IF(ISNA(VLOOKUP(A98,Vortex!F$5:J$302,5,FALSE)),0,VLOOKUP(A98,Vortex!F$5:J$302,5,FALSE)))</f>
        <v>0</v>
      </c>
      <c r="Q98" s="49">
        <f t="shared" ref="Q98:Q161" si="7">G98+J98+M98+P98</f>
        <v>0</v>
      </c>
      <c r="R98" s="49" t="str">
        <f t="shared" ref="R98:R161" si="8">IF(OR($Q98=0,$E98&lt;&gt;"U12"),"",COUNTIFS($C$33:$C$212, $C98, $D$33:$D$212, $D98, $E$33:$E$212, $E98, $Q$33:$Q$212,"&gt;"&amp;$Q98)+1)</f>
        <v/>
      </c>
      <c r="S98" s="49" t="str">
        <f t="shared" ref="S98:S161" si="9">IF(OR($Q98=0,$E98&lt;&gt;"U12"),"",COUNTIFS($D$33:$D$212, $D98,$E$33:$E$212,$E98,$Q$33:$Q$212,"&gt;"&amp;$Q98)+1)</f>
        <v/>
      </c>
      <c r="T98" s="38"/>
      <c r="X98" s="9"/>
      <c r="Y98" s="9"/>
      <c r="AI98"/>
      <c r="AJ98"/>
    </row>
    <row r="99" spans="1:36" ht="13.95" customHeight="1">
      <c r="A99" s="49">
        <f>IF(Declarations!B72=0,"",Declarations!B72)</f>
        <v>67</v>
      </c>
      <c r="B99" s="150" t="str">
        <f>IF(ISNA(VLOOKUP(A99,Declarations!B$6:C$185,2,FALSE)),"",IF(VLOOKUP(A99,Declarations!B$6:C$185,2,FALSE)="","",VLOOKUP(A99,Declarations!B$6:C$185,2,FALSE)))</f>
        <v>BONNIE MOORE</v>
      </c>
      <c r="C99" s="150" t="str">
        <f>IF(ISNA(VLOOKUP(A99,Declarations!B$6:F$185,5,FALSE)),"",IF(VLOOKUP(A99,Declarations!B$6:F$185,5,FALSE)="","",VLOOKUP(A99,Declarations!B$6:F$185,5,FALSE)))</f>
        <v>Fleet &amp; Crookham AC</v>
      </c>
      <c r="D99" s="150" t="str">
        <f>IF(ISNA(VLOOKUP(A99,Declarations!B$6:F$185,4,FALSE)),"",IF(VLOOKUP(A99,Declarations!B$6:F$185,4,FALSE)="","",VLOOKUP(A99,Declarations!B$6:F$185,4,FALSE)))</f>
        <v>GIRLS</v>
      </c>
      <c r="E99" s="150" t="str">
        <f>IF(ISNA(VLOOKUP(A99,Declarations!B$6:D$185,3,FALSE)),"",IF(VLOOKUP(A99,Declarations!B$6:D$185,3,FALSE)="","",VLOOKUP(A99,Declarations!B$6:D$185,3,FALSE)))</f>
        <v>U12</v>
      </c>
      <c r="F99" s="49">
        <f>IF(B99="","",IF(ISNA(VLOOKUP(A99,'75m'!F$5:G$302,2,FALSE)),"",VLOOKUP(A99,'75m'!F$5:G$302,2,FALSE)))</f>
        <v>11.7</v>
      </c>
      <c r="G99" s="49">
        <f>IF(B99="",0,IF(ISNA(VLOOKUP(A99,'75m'!F$5:J$302,5,FALSE)),0,VLOOKUP(A99,'75m'!F$5:J$302,5,FALSE)))</f>
        <v>53</v>
      </c>
      <c r="H99" s="49" t="str">
        <f>IF(B99="","",IF(ISNA(VLOOKUP(A99,'75m'!F$5:K$302,6,FALSE)),"",VLOOKUP(A99,'75m'!F$5:K$302,6,FALSE)))</f>
        <v>PB9</v>
      </c>
      <c r="I99" s="51">
        <f>IF(B99="",0,IF(ISNA(VLOOKUP(A99,'600m'!F$5:J$302,2,FALSE)),0,VLOOKUP(A99,'600m'!F$5:J$302,2,FALSE)))</f>
        <v>1.4027777777777777E-3</v>
      </c>
      <c r="J99" s="49">
        <f>IF(B99="",0,IF(ISNA(VLOOKUP(A99,'600m'!F$5:J$302,5,FALSE)),0,VLOOKUP(A99,'600m'!F$5:J$302,5,FALSE)))</f>
        <v>68</v>
      </c>
      <c r="K99" s="49" t="str">
        <f>IF(B99="","",IF(ISNA(VLOOKUP(A99,'600m'!F$5:K$302,6,FALSE)),"",VLOOKUP(A99,'600m'!F$5:K$302,6,FALSE)))</f>
        <v>PB5</v>
      </c>
      <c r="L99" s="49">
        <f>IF(B99="","",IF(ISNA(VLOOKUP(A99,LongJump!F$5:G$302,2,FALSE)),"",VLOOKUP(A99,LongJump!F$5:G$302,2,FALSE)))</f>
        <v>3.67</v>
      </c>
      <c r="M99" s="49">
        <f>IF(B99="",0,IF(ISNA(VLOOKUP(A99,LongJump!F$5:J$302,5,FALSE)),0,VLOOKUP(A99,LongJump!F$5:J$302,5,FALSE)))</f>
        <v>59</v>
      </c>
      <c r="N99" s="49" t="str">
        <f>IF(B99="",0,IF(ISNA(VLOOKUP(A99,LongJump!F$5:K$302,6,FALSE)),0,VLOOKUP(A99,LongJump!F$5:K$302,6,FALSE)))</f>
        <v>PB8</v>
      </c>
      <c r="O99" s="49">
        <f>IF(B99="","",IF(ISNA(VLOOKUP(A99,Vortex!F$5:J$302,2,FALSE)),"",VLOOKUP(A99,Vortex!F$5:J$302,2,FALSE)))</f>
        <v>17.84</v>
      </c>
      <c r="P99" s="49">
        <f>IF(B99="",0,IF(ISNA(VLOOKUP(A99,Vortex!F$5:J$302,5,FALSE)),0,VLOOKUP(A99,Vortex!F$5:J$302,5,FALSE)))</f>
        <v>35</v>
      </c>
      <c r="Q99" s="49">
        <f t="shared" si="7"/>
        <v>215</v>
      </c>
      <c r="R99" s="49">
        <f t="shared" si="8"/>
        <v>2</v>
      </c>
      <c r="S99" s="49">
        <f t="shared" si="9"/>
        <v>6</v>
      </c>
      <c r="T99" s="38"/>
      <c r="X99" s="9"/>
      <c r="Y99" s="9"/>
      <c r="AI99"/>
      <c r="AJ99"/>
    </row>
    <row r="100" spans="1:36" ht="13.95" customHeight="1">
      <c r="A100" s="49">
        <f>IF(Declarations!B73=0,"",Declarations!B73)</f>
        <v>68</v>
      </c>
      <c r="B100" s="150" t="str">
        <f>IF(ISNA(VLOOKUP(A100,Declarations!B$6:C$185,2,FALSE)),"",IF(VLOOKUP(A100,Declarations!B$6:C$185,2,FALSE)="","",VLOOKUP(A100,Declarations!B$6:C$185,2,FALSE)))</f>
        <v>FEARNE STRONG</v>
      </c>
      <c r="C100" s="150" t="str">
        <f>IF(ISNA(VLOOKUP(A100,Declarations!B$6:F$185,5,FALSE)),"",IF(VLOOKUP(A100,Declarations!B$6:F$185,5,FALSE)="","",VLOOKUP(A100,Declarations!B$6:F$185,5,FALSE)))</f>
        <v>Fleet &amp; Crookham AC</v>
      </c>
      <c r="D100" s="150" t="str">
        <f>IF(ISNA(VLOOKUP(A100,Declarations!B$6:F$185,4,FALSE)),"",IF(VLOOKUP(A100,Declarations!B$6:F$185,4,FALSE)="","",VLOOKUP(A100,Declarations!B$6:F$185,4,FALSE)))</f>
        <v>GIRLS</v>
      </c>
      <c r="E100" s="150" t="str">
        <f>IF(ISNA(VLOOKUP(A100,Declarations!B$6:D$185,3,FALSE)),"",IF(VLOOKUP(A100,Declarations!B$6:D$185,3,FALSE)="","",VLOOKUP(A100,Declarations!B$6:D$185,3,FALSE)))</f>
        <v>U12</v>
      </c>
      <c r="F100" s="49" t="str">
        <f>IF(B100="","",IF(ISNA(VLOOKUP(A100,'75m'!F$5:G$302,2,FALSE)),"",VLOOKUP(A100,'75m'!F$5:G$302,2,FALSE)))</f>
        <v/>
      </c>
      <c r="G100" s="49">
        <f>IF(B100="",0,IF(ISNA(VLOOKUP(A100,'75m'!F$5:J$302,5,FALSE)),0,VLOOKUP(A100,'75m'!F$5:J$302,5,FALSE)))</f>
        <v>0</v>
      </c>
      <c r="H100" s="49" t="str">
        <f>IF(B100="","",IF(ISNA(VLOOKUP(A100,'75m'!F$5:K$302,6,FALSE)),"",VLOOKUP(A100,'75m'!F$5:K$302,6,FALSE)))</f>
        <v/>
      </c>
      <c r="I100" s="51">
        <f>IF(B100="",0,IF(ISNA(VLOOKUP(A100,'600m'!F$5:J$302,2,FALSE)),0,VLOOKUP(A100,'600m'!F$5:J$302,2,FALSE)))</f>
        <v>0</v>
      </c>
      <c r="J100" s="49">
        <f>IF(B100="",0,IF(ISNA(VLOOKUP(A100,'600m'!F$5:J$302,5,FALSE)),0,VLOOKUP(A100,'600m'!F$5:J$302,5,FALSE)))</f>
        <v>0</v>
      </c>
      <c r="K100" s="49" t="str">
        <f>IF(B100="","",IF(ISNA(VLOOKUP(A100,'600m'!F$5:K$302,6,FALSE)),"",VLOOKUP(A100,'600m'!F$5:K$302,6,FALSE)))</f>
        <v/>
      </c>
      <c r="L100" s="49" t="str">
        <f>IF(B100="","",IF(ISNA(VLOOKUP(A100,LongJump!F$5:G$302,2,FALSE)),"",VLOOKUP(A100,LongJump!F$5:G$302,2,FALSE)))</f>
        <v/>
      </c>
      <c r="M100" s="49">
        <f>IF(B100="",0,IF(ISNA(VLOOKUP(A100,LongJump!F$5:J$302,5,FALSE)),0,VLOOKUP(A100,LongJump!F$5:J$302,5,FALSE)))</f>
        <v>0</v>
      </c>
      <c r="N100" s="49">
        <f>IF(B100="",0,IF(ISNA(VLOOKUP(A100,LongJump!F$5:K$302,6,FALSE)),0,VLOOKUP(A100,LongJump!F$5:K$302,6,FALSE)))</f>
        <v>0</v>
      </c>
      <c r="O100" s="49" t="str">
        <f>IF(B100="","",IF(ISNA(VLOOKUP(A100,Vortex!F$5:J$302,2,FALSE)),"",VLOOKUP(A100,Vortex!F$5:J$302,2,FALSE)))</f>
        <v/>
      </c>
      <c r="P100" s="49">
        <f>IF(B100="",0,IF(ISNA(VLOOKUP(A100,Vortex!F$5:J$302,5,FALSE)),0,VLOOKUP(A100,Vortex!F$5:J$302,5,FALSE)))</f>
        <v>0</v>
      </c>
      <c r="Q100" s="49">
        <f t="shared" si="7"/>
        <v>0</v>
      </c>
      <c r="R100" s="49" t="str">
        <f t="shared" si="8"/>
        <v/>
      </c>
      <c r="S100" s="49" t="str">
        <f t="shared" si="9"/>
        <v/>
      </c>
      <c r="T100" s="38"/>
      <c r="X100" s="9"/>
      <c r="Y100" s="9"/>
      <c r="AI100"/>
      <c r="AJ100"/>
    </row>
    <row r="101" spans="1:36" ht="13.95" customHeight="1">
      <c r="A101" s="49">
        <f>IF(Declarations!B74=0,"",Declarations!B74)</f>
        <v>69</v>
      </c>
      <c r="B101" s="150" t="str">
        <f>IF(ISNA(VLOOKUP(A101,Declarations!B$6:C$185,2,FALSE)),"",IF(VLOOKUP(A101,Declarations!B$6:C$185,2,FALSE)="","",VLOOKUP(A101,Declarations!B$6:C$185,2,FALSE)))</f>
        <v>NORA BRADFORD</v>
      </c>
      <c r="C101" s="150" t="str">
        <f>IF(ISNA(VLOOKUP(A101,Declarations!B$6:F$185,5,FALSE)),"",IF(VLOOKUP(A101,Declarations!B$6:F$185,5,FALSE)="","",VLOOKUP(A101,Declarations!B$6:F$185,5,FALSE)))</f>
        <v>Fleet &amp; Crookham AC</v>
      </c>
      <c r="D101" s="150" t="str">
        <f>IF(ISNA(VLOOKUP(A101,Declarations!B$6:F$185,4,FALSE)),"",IF(VLOOKUP(A101,Declarations!B$6:F$185,4,FALSE)="","",VLOOKUP(A101,Declarations!B$6:F$185,4,FALSE)))</f>
        <v>GIRLS</v>
      </c>
      <c r="E101" s="150" t="str">
        <f>IF(ISNA(VLOOKUP(A101,Declarations!B$6:D$185,3,FALSE)),"",IF(VLOOKUP(A101,Declarations!B$6:D$185,3,FALSE)="","",VLOOKUP(A101,Declarations!B$6:D$185,3,FALSE)))</f>
        <v>U12</v>
      </c>
      <c r="F101" s="49">
        <f>IF(B101="","",IF(ISNA(VLOOKUP(A101,'75m'!F$5:G$302,2,FALSE)),"",VLOOKUP(A101,'75m'!F$5:G$302,2,FALSE)))</f>
        <v>13.6</v>
      </c>
      <c r="G101" s="49">
        <f>IF(B101="",0,IF(ISNA(VLOOKUP(A101,'75m'!F$5:J$302,5,FALSE)),0,VLOOKUP(A101,'75m'!F$5:J$302,5,FALSE)))</f>
        <v>34</v>
      </c>
      <c r="H101" s="49" t="str">
        <f>IF(B101="","",IF(ISNA(VLOOKUP(A101,'75m'!F$5:K$302,6,FALSE)),"",VLOOKUP(A101,'75m'!F$5:K$302,6,FALSE)))</f>
        <v>PB4</v>
      </c>
      <c r="I101" s="51">
        <f>IF(B101="",0,IF(ISNA(VLOOKUP(A101,'600m'!F$5:J$302,2,FALSE)),0,VLOOKUP(A101,'600m'!F$5:J$302,2,FALSE)))</f>
        <v>1.5868055555555555E-3</v>
      </c>
      <c r="J101" s="49">
        <f>IF(B101="",0,IF(ISNA(VLOOKUP(A101,'600m'!F$5:J$302,5,FALSE)),0,VLOOKUP(A101,'600m'!F$5:J$302,5,FALSE)))</f>
        <v>52</v>
      </c>
      <c r="K101" s="49" t="str">
        <f>IF(B101="","",IF(ISNA(VLOOKUP(A101,'600m'!F$5:K$302,6,FALSE)),"",VLOOKUP(A101,'600m'!F$5:K$302,6,FALSE)))</f>
        <v>PB2</v>
      </c>
      <c r="L101" s="49">
        <f>IF(B101="","",IF(ISNA(VLOOKUP(A101,LongJump!F$5:G$302,2,FALSE)),"",VLOOKUP(A101,LongJump!F$5:G$302,2,FALSE)))</f>
        <v>2.4300000000000002</v>
      </c>
      <c r="M101" s="49">
        <f>IF(B101="",0,IF(ISNA(VLOOKUP(A101,LongJump!F$5:J$302,5,FALSE)),0,VLOOKUP(A101,LongJump!F$5:J$302,5,FALSE)))</f>
        <v>17</v>
      </c>
      <c r="N101" s="49" t="str">
        <f>IF(B101="",0,IF(ISNA(VLOOKUP(A101,LongJump!F$5:K$302,6,FALSE)),0,VLOOKUP(A101,LongJump!F$5:K$302,6,FALSE)))</f>
        <v>PB3</v>
      </c>
      <c r="O101" s="49" t="str">
        <f>IF(B101="","",IF(ISNA(VLOOKUP(A101,Vortex!F$5:J$302,2,FALSE)),"",VLOOKUP(A101,Vortex!F$5:J$302,2,FALSE)))</f>
        <v/>
      </c>
      <c r="P101" s="49">
        <f>IF(B101="",0,IF(ISNA(VLOOKUP(A101,Vortex!F$5:J$302,5,FALSE)),0,VLOOKUP(A101,Vortex!F$5:J$302,5,FALSE)))</f>
        <v>0</v>
      </c>
      <c r="Q101" s="49">
        <f t="shared" si="7"/>
        <v>103</v>
      </c>
      <c r="R101" s="49">
        <f t="shared" si="8"/>
        <v>8</v>
      </c>
      <c r="S101" s="49">
        <f t="shared" si="9"/>
        <v>44</v>
      </c>
      <c r="T101" s="38"/>
      <c r="X101" s="9"/>
      <c r="Y101" s="9"/>
      <c r="AI101"/>
      <c r="AJ101"/>
    </row>
    <row r="102" spans="1:36" ht="13.95" customHeight="1">
      <c r="A102" s="49">
        <f>IF(Declarations!B75=0,"",Declarations!B75)</f>
        <v>70</v>
      </c>
      <c r="B102" s="150" t="str">
        <f>IF(ISNA(VLOOKUP(A102,Declarations!B$6:C$185,2,FALSE)),"",IF(VLOOKUP(A102,Declarations!B$6:C$185,2,FALSE)="","",VLOOKUP(A102,Declarations!B$6:C$185,2,FALSE)))</f>
        <v>JOSEPHINE HARPER</v>
      </c>
      <c r="C102" s="150" t="str">
        <f>IF(ISNA(VLOOKUP(A102,Declarations!B$6:F$185,5,FALSE)),"",IF(VLOOKUP(A102,Declarations!B$6:F$185,5,FALSE)="","",VLOOKUP(A102,Declarations!B$6:F$185,5,FALSE)))</f>
        <v>Fleet &amp; Crookham AC</v>
      </c>
      <c r="D102" s="150" t="str">
        <f>IF(ISNA(VLOOKUP(A102,Declarations!B$6:F$185,4,FALSE)),"",IF(VLOOKUP(A102,Declarations!B$6:F$185,4,FALSE)="","",VLOOKUP(A102,Declarations!B$6:F$185,4,FALSE)))</f>
        <v>GIRLS</v>
      </c>
      <c r="E102" s="150" t="str">
        <f>IF(ISNA(VLOOKUP(A102,Declarations!B$6:D$185,3,FALSE)),"",IF(VLOOKUP(A102,Declarations!B$6:D$185,3,FALSE)="","",VLOOKUP(A102,Declarations!B$6:D$185,3,FALSE)))</f>
        <v>U12</v>
      </c>
      <c r="F102" s="49">
        <f>IF(B102="","",IF(ISNA(VLOOKUP(A102,'75m'!F$5:G$302,2,FALSE)),"",VLOOKUP(A102,'75m'!F$5:G$302,2,FALSE)))</f>
        <v>12.2</v>
      </c>
      <c r="G102" s="49">
        <f>IF(B102="",0,IF(ISNA(VLOOKUP(A102,'75m'!F$5:J$302,5,FALSE)),0,VLOOKUP(A102,'75m'!F$5:J$302,5,FALSE)))</f>
        <v>48</v>
      </c>
      <c r="H102" s="49" t="str">
        <f>IF(B102="","",IF(ISNA(VLOOKUP(A102,'75m'!F$5:K$302,6,FALSE)),"",VLOOKUP(A102,'75m'!F$5:K$302,6,FALSE)))</f>
        <v>PB7</v>
      </c>
      <c r="I102" s="51">
        <f>IF(B102="",0,IF(ISNA(VLOOKUP(A102,'600m'!F$5:J$302,2,FALSE)),0,VLOOKUP(A102,'600m'!F$5:J$302,2,FALSE)))</f>
        <v>1.6018518518518519E-3</v>
      </c>
      <c r="J102" s="49">
        <f>IF(B102="",0,IF(ISNA(VLOOKUP(A102,'600m'!F$5:J$302,5,FALSE)),0,VLOOKUP(A102,'600m'!F$5:J$302,5,FALSE)))</f>
        <v>51</v>
      </c>
      <c r="K102" s="49" t="str">
        <f>IF(B102="","",IF(ISNA(VLOOKUP(A102,'600m'!F$5:K$302,6,FALSE)),"",VLOOKUP(A102,'600m'!F$5:K$302,6,FALSE)))</f>
        <v>PB2</v>
      </c>
      <c r="L102" s="49">
        <f>IF(B102="","",IF(ISNA(VLOOKUP(A102,LongJump!F$5:G$302,2,FALSE)),"",VLOOKUP(A102,LongJump!F$5:G$302,2,FALSE)))</f>
        <v>2.62</v>
      </c>
      <c r="M102" s="49">
        <f>IF(B102="",0,IF(ISNA(VLOOKUP(A102,LongJump!F$5:J$302,5,FALSE)),0,VLOOKUP(A102,LongJump!F$5:J$302,5,FALSE)))</f>
        <v>24</v>
      </c>
      <c r="N102" s="49" t="str">
        <f>IF(B102="",0,IF(ISNA(VLOOKUP(A102,LongJump!F$5:K$302,6,FALSE)),0,VLOOKUP(A102,LongJump!F$5:K$302,6,FALSE)))</f>
        <v>PB4</v>
      </c>
      <c r="O102" s="49">
        <f>IF(B102="","",IF(ISNA(VLOOKUP(A102,Vortex!F$5:J$302,2,FALSE)),"",VLOOKUP(A102,Vortex!F$5:J$302,2,FALSE)))</f>
        <v>15.22</v>
      </c>
      <c r="P102" s="49">
        <f>IF(B102="",0,IF(ISNA(VLOOKUP(A102,Vortex!F$5:J$302,5,FALSE)),0,VLOOKUP(A102,Vortex!F$5:J$302,5,FALSE)))</f>
        <v>30</v>
      </c>
      <c r="Q102" s="49">
        <f t="shared" si="7"/>
        <v>153</v>
      </c>
      <c r="R102" s="49">
        <f t="shared" si="8"/>
        <v>5</v>
      </c>
      <c r="S102" s="49">
        <f t="shared" si="9"/>
        <v>31</v>
      </c>
      <c r="T102" s="38"/>
      <c r="X102" s="9"/>
      <c r="Y102" s="9"/>
      <c r="AI102"/>
      <c r="AJ102"/>
    </row>
    <row r="103" spans="1:36" ht="13.95" customHeight="1">
      <c r="A103" s="49">
        <f>IF(Declarations!B76=0,"",Declarations!B76)</f>
        <v>71</v>
      </c>
      <c r="B103" s="150" t="str">
        <f>IF(ISNA(VLOOKUP(A103,Declarations!B$6:C$185,2,FALSE)),"",IF(VLOOKUP(A103,Declarations!B$6:C$185,2,FALSE)="","",VLOOKUP(A103,Declarations!B$6:C$185,2,FALSE)))</f>
        <v>JESSE MCDONNELL</v>
      </c>
      <c r="C103" s="150" t="str">
        <f>IF(ISNA(VLOOKUP(A103,Declarations!B$6:F$185,5,FALSE)),"",IF(VLOOKUP(A103,Declarations!B$6:F$185,5,FALSE)="","",VLOOKUP(A103,Declarations!B$6:F$185,5,FALSE)))</f>
        <v>Fleet &amp; Crookham AC</v>
      </c>
      <c r="D103" s="150" t="str">
        <f>IF(ISNA(VLOOKUP(A103,Declarations!B$6:F$185,4,FALSE)),"",IF(VLOOKUP(A103,Declarations!B$6:F$185,4,FALSE)="","",VLOOKUP(A103,Declarations!B$6:F$185,4,FALSE)))</f>
        <v>BOYS</v>
      </c>
      <c r="E103" s="150" t="str">
        <f>IF(ISNA(VLOOKUP(A103,Declarations!B$6:D$185,3,FALSE)),"",IF(VLOOKUP(A103,Declarations!B$6:D$185,3,FALSE)="","",VLOOKUP(A103,Declarations!B$6:D$185,3,FALSE)))</f>
        <v>U12</v>
      </c>
      <c r="F103" s="49">
        <f>IF(B103="","",IF(ISNA(VLOOKUP(A103,'75m'!F$5:G$302,2,FALSE)),"",VLOOKUP(A103,'75m'!F$5:G$302,2,FALSE)))</f>
        <v>11.2</v>
      </c>
      <c r="G103" s="49">
        <f>IF(B103="",0,IF(ISNA(VLOOKUP(A103,'75m'!F$5:J$302,5,FALSE)),0,VLOOKUP(A103,'75m'!F$5:J$302,5,FALSE)))</f>
        <v>58</v>
      </c>
      <c r="H103" s="49" t="str">
        <f>IF(B103="","",IF(ISNA(VLOOKUP(A103,'75m'!F$5:K$302,6,FALSE)),"",VLOOKUP(A103,'75m'!F$5:K$302,6,FALSE)))</f>
        <v>PB9</v>
      </c>
      <c r="I103" s="51">
        <f>IF(B103="",0,IF(ISNA(VLOOKUP(A103,'600m'!F$5:J$302,2,FALSE)),0,VLOOKUP(A103,'600m'!F$5:J$302,2,FALSE)))</f>
        <v>1.3368055555555555E-3</v>
      </c>
      <c r="J103" s="49">
        <f>IF(B103="",0,IF(ISNA(VLOOKUP(A103,'600m'!F$5:J$302,5,FALSE)),0,VLOOKUP(A103,'600m'!F$5:J$302,5,FALSE)))</f>
        <v>74</v>
      </c>
      <c r="K103" s="49" t="str">
        <f>IF(B103="","",IF(ISNA(VLOOKUP(A103,'600m'!F$5:K$302,6,FALSE)),"",VLOOKUP(A103,'600m'!F$5:K$302,6,FALSE)))</f>
        <v>PB5</v>
      </c>
      <c r="L103" s="49">
        <f>IF(B103="","",IF(ISNA(VLOOKUP(A103,LongJump!F$5:G$302,2,FALSE)),"",VLOOKUP(A103,LongJump!F$5:G$302,2,FALSE)))</f>
        <v>3.62</v>
      </c>
      <c r="M103" s="49">
        <f>IF(B103="",0,IF(ISNA(VLOOKUP(A103,LongJump!F$5:J$302,5,FALSE)),0,VLOOKUP(A103,LongJump!F$5:J$302,5,FALSE)))</f>
        <v>57</v>
      </c>
      <c r="N103" s="49" t="str">
        <f>IF(B103="",0,IF(ISNA(VLOOKUP(A103,LongJump!F$5:K$302,6,FALSE)),0,VLOOKUP(A103,LongJump!F$5:K$302,6,FALSE)))</f>
        <v>PB7</v>
      </c>
      <c r="O103" s="49">
        <f>IF(B103="","",IF(ISNA(VLOOKUP(A103,Vortex!F$5:J$302,2,FALSE)),"",VLOOKUP(A103,Vortex!F$5:J$302,2,FALSE)))</f>
        <v>29.88</v>
      </c>
      <c r="P103" s="49">
        <f>IF(B103="",0,IF(ISNA(VLOOKUP(A103,Vortex!F$5:J$302,5,FALSE)),0,VLOOKUP(A103,Vortex!F$5:J$302,5,FALSE)))</f>
        <v>59</v>
      </c>
      <c r="Q103" s="49">
        <f t="shared" si="7"/>
        <v>248</v>
      </c>
      <c r="R103" s="49">
        <f t="shared" si="8"/>
        <v>2</v>
      </c>
      <c r="S103" s="49">
        <f t="shared" si="9"/>
        <v>7</v>
      </c>
      <c r="T103" s="38"/>
      <c r="X103" s="9"/>
      <c r="Y103" s="9"/>
      <c r="AI103"/>
      <c r="AJ103"/>
    </row>
    <row r="104" spans="1:36" ht="13.95" customHeight="1">
      <c r="A104" s="49">
        <f>IF(Declarations!B77=0,"",Declarations!B77)</f>
        <v>72</v>
      </c>
      <c r="B104" s="150" t="str">
        <f>IF(ISNA(VLOOKUP(A104,Declarations!B$6:C$185,2,FALSE)),"",IF(VLOOKUP(A104,Declarations!B$6:C$185,2,FALSE)="","",VLOOKUP(A104,Declarations!B$6:C$185,2,FALSE)))</f>
        <v>LEVI KIRWAN</v>
      </c>
      <c r="C104" s="150" t="str">
        <f>IF(ISNA(VLOOKUP(A104,Declarations!B$6:F$185,5,FALSE)),"",IF(VLOOKUP(A104,Declarations!B$6:F$185,5,FALSE)="","",VLOOKUP(A104,Declarations!B$6:F$185,5,FALSE)))</f>
        <v>Fleet &amp; Crookham AC</v>
      </c>
      <c r="D104" s="150" t="str">
        <f>IF(ISNA(VLOOKUP(A104,Declarations!B$6:F$185,4,FALSE)),"",IF(VLOOKUP(A104,Declarations!B$6:F$185,4,FALSE)="","",VLOOKUP(A104,Declarations!B$6:F$185,4,FALSE)))</f>
        <v>BOYS</v>
      </c>
      <c r="E104" s="150" t="str">
        <f>IF(ISNA(VLOOKUP(A104,Declarations!B$6:D$185,3,FALSE)),"",IF(VLOOKUP(A104,Declarations!B$6:D$185,3,FALSE)="","",VLOOKUP(A104,Declarations!B$6:D$185,3,FALSE)))</f>
        <v>U12</v>
      </c>
      <c r="F104" s="49">
        <f>IF(B104="","",IF(ISNA(VLOOKUP(A104,'75m'!F$5:G$302,2,FALSE)),"",VLOOKUP(A104,'75m'!F$5:G$302,2,FALSE)))</f>
        <v>11.5</v>
      </c>
      <c r="G104" s="49">
        <f>IF(B104="",0,IF(ISNA(VLOOKUP(A104,'75m'!F$5:J$302,5,FALSE)),0,VLOOKUP(A104,'75m'!F$5:J$302,5,FALSE)))</f>
        <v>55</v>
      </c>
      <c r="H104" s="49" t="str">
        <f>IF(B104="","",IF(ISNA(VLOOKUP(A104,'75m'!F$5:K$302,6,FALSE)),"",VLOOKUP(A104,'75m'!F$5:K$302,6,FALSE)))</f>
        <v>PB8</v>
      </c>
      <c r="I104" s="51">
        <f>IF(B104="",0,IF(ISNA(VLOOKUP(A104,'600m'!F$5:J$302,2,FALSE)),0,VLOOKUP(A104,'600m'!F$5:J$302,2,FALSE)))</f>
        <v>1.4525462962962964E-3</v>
      </c>
      <c r="J104" s="49">
        <f>IF(B104="",0,IF(ISNA(VLOOKUP(A104,'600m'!F$5:J$302,5,FALSE)),0,VLOOKUP(A104,'600m'!F$5:J$302,5,FALSE)))</f>
        <v>64</v>
      </c>
      <c r="K104" s="49" t="str">
        <f>IF(B104="","",IF(ISNA(VLOOKUP(A104,'600m'!F$5:K$302,6,FALSE)),"",VLOOKUP(A104,'600m'!F$5:K$302,6,FALSE)))</f>
        <v>PB3</v>
      </c>
      <c r="L104" s="49">
        <f>IF(B104="","",IF(ISNA(VLOOKUP(A104,LongJump!F$5:G$302,2,FALSE)),"",VLOOKUP(A104,LongJump!F$5:G$302,2,FALSE)))</f>
        <v>3.01</v>
      </c>
      <c r="M104" s="49">
        <f>IF(B104="",0,IF(ISNA(VLOOKUP(A104,LongJump!F$5:J$302,5,FALSE)),0,VLOOKUP(A104,LongJump!F$5:J$302,5,FALSE)))</f>
        <v>37</v>
      </c>
      <c r="N104" s="49" t="str">
        <f>IF(B104="",0,IF(ISNA(VLOOKUP(A104,LongJump!F$5:K$302,6,FALSE)),0,VLOOKUP(A104,LongJump!F$5:K$302,6,FALSE)))</f>
        <v>PB5</v>
      </c>
      <c r="O104" s="49">
        <f>IF(B104="","",IF(ISNA(VLOOKUP(A104,Vortex!F$5:J$302,2,FALSE)),"",VLOOKUP(A104,Vortex!F$5:J$302,2,FALSE)))</f>
        <v>31.64</v>
      </c>
      <c r="P104" s="49">
        <f>IF(B104="",0,IF(ISNA(VLOOKUP(A104,Vortex!F$5:J$302,5,FALSE)),0,VLOOKUP(A104,Vortex!F$5:J$302,5,FALSE)))</f>
        <v>63</v>
      </c>
      <c r="Q104" s="49">
        <f t="shared" si="7"/>
        <v>219</v>
      </c>
      <c r="R104" s="49">
        <f t="shared" si="8"/>
        <v>3</v>
      </c>
      <c r="S104" s="49">
        <f t="shared" si="9"/>
        <v>13</v>
      </c>
      <c r="T104" s="38"/>
      <c r="X104" s="9"/>
      <c r="Y104" s="9"/>
      <c r="AI104"/>
      <c r="AJ104"/>
    </row>
    <row r="105" spans="1:36" ht="13.95" customHeight="1">
      <c r="A105" s="49">
        <f>IF(Declarations!B78=0,"",Declarations!B78)</f>
        <v>73</v>
      </c>
      <c r="B105" s="150" t="str">
        <f>IF(ISNA(VLOOKUP(A105,Declarations!B$6:C$185,2,FALSE)),"",IF(VLOOKUP(A105,Declarations!B$6:C$185,2,FALSE)="","",VLOOKUP(A105,Declarations!B$6:C$185,2,FALSE)))</f>
        <v>CHARLIE BLACKWELL</v>
      </c>
      <c r="C105" s="150" t="str">
        <f>IF(ISNA(VLOOKUP(A105,Declarations!B$6:F$185,5,FALSE)),"",IF(VLOOKUP(A105,Declarations!B$6:F$185,5,FALSE)="","",VLOOKUP(A105,Declarations!B$6:F$185,5,FALSE)))</f>
        <v>Fleet &amp; Crookham AC</v>
      </c>
      <c r="D105" s="150" t="str">
        <f>IF(ISNA(VLOOKUP(A105,Declarations!B$6:F$185,4,FALSE)),"",IF(VLOOKUP(A105,Declarations!B$6:F$185,4,FALSE)="","",VLOOKUP(A105,Declarations!B$6:F$185,4,FALSE)))</f>
        <v>BOYS</v>
      </c>
      <c r="E105" s="150" t="str">
        <f>IF(ISNA(VLOOKUP(A105,Declarations!B$6:D$185,3,FALSE)),"",IF(VLOOKUP(A105,Declarations!B$6:D$185,3,FALSE)="","",VLOOKUP(A105,Declarations!B$6:D$185,3,FALSE)))</f>
        <v>U12</v>
      </c>
      <c r="F105" s="49">
        <f>IF(B105="","",IF(ISNA(VLOOKUP(A105,'75m'!F$5:G$302,2,FALSE)),"",VLOOKUP(A105,'75m'!F$5:G$302,2,FALSE)))</f>
        <v>10.9</v>
      </c>
      <c r="G105" s="49">
        <f>IF(B105="",0,IF(ISNA(VLOOKUP(A105,'75m'!F$5:J$302,5,FALSE)),0,VLOOKUP(A105,'75m'!F$5:J$302,5,FALSE)))</f>
        <v>61</v>
      </c>
      <c r="H105" s="49" t="str">
        <f>IF(B105="","",IF(ISNA(VLOOKUP(A105,'75m'!F$5:K$302,6,FALSE)),"",VLOOKUP(A105,'75m'!F$5:K$302,6,FALSE)))</f>
        <v>PB9</v>
      </c>
      <c r="I105" s="51">
        <f>IF(B105="",0,IF(ISNA(VLOOKUP(A105,'600m'!F$5:J$302,2,FALSE)),0,VLOOKUP(A105,'600m'!F$5:J$302,2,FALSE)))</f>
        <v>1.4062499999999999E-3</v>
      </c>
      <c r="J105" s="49">
        <f>IF(B105="",0,IF(ISNA(VLOOKUP(A105,'600m'!F$5:J$302,5,FALSE)),0,VLOOKUP(A105,'600m'!F$5:J$302,5,FALSE)))</f>
        <v>68</v>
      </c>
      <c r="K105" s="49" t="str">
        <f>IF(B105="","",IF(ISNA(VLOOKUP(A105,'600m'!F$5:K$302,6,FALSE)),"",VLOOKUP(A105,'600m'!F$5:K$302,6,FALSE)))</f>
        <v>PB4</v>
      </c>
      <c r="L105" s="49">
        <f>IF(B105="","",IF(ISNA(VLOOKUP(A105,LongJump!F$5:G$302,2,FALSE)),"",VLOOKUP(A105,LongJump!F$5:G$302,2,FALSE)))</f>
        <v>3.6</v>
      </c>
      <c r="M105" s="49">
        <f>IF(B105="",0,IF(ISNA(VLOOKUP(A105,LongJump!F$5:J$302,5,FALSE)),0,VLOOKUP(A105,LongJump!F$5:J$302,5,FALSE)))</f>
        <v>56</v>
      </c>
      <c r="N105" s="49" t="str">
        <f>IF(B105="",0,IF(ISNA(VLOOKUP(A105,LongJump!F$5:K$302,6,FALSE)),0,VLOOKUP(A105,LongJump!F$5:K$302,6,FALSE)))</f>
        <v>PB7</v>
      </c>
      <c r="O105" s="49">
        <f>IF(B105="","",IF(ISNA(VLOOKUP(A105,Vortex!F$5:J$302,2,FALSE)),"",VLOOKUP(A105,Vortex!F$5:J$302,2,FALSE)))</f>
        <v>32.840000000000003</v>
      </c>
      <c r="P105" s="49">
        <f>IF(B105="",0,IF(ISNA(VLOOKUP(A105,Vortex!F$5:J$302,5,FALSE)),0,VLOOKUP(A105,Vortex!F$5:J$302,5,FALSE)))</f>
        <v>65</v>
      </c>
      <c r="Q105" s="49">
        <f t="shared" si="7"/>
        <v>250</v>
      </c>
      <c r="R105" s="49">
        <f t="shared" si="8"/>
        <v>1</v>
      </c>
      <c r="S105" s="49">
        <f t="shared" si="9"/>
        <v>6</v>
      </c>
      <c r="T105" s="38"/>
      <c r="X105" s="9"/>
      <c r="Y105" s="9"/>
      <c r="AI105"/>
      <c r="AJ105"/>
    </row>
    <row r="106" spans="1:36" ht="13.95" customHeight="1">
      <c r="A106" s="49">
        <f>IF(Declarations!B79=0,"",Declarations!B79)</f>
        <v>74</v>
      </c>
      <c r="B106" s="150" t="str">
        <f>IF(ISNA(VLOOKUP(A106,Declarations!B$6:C$185,2,FALSE)),"",IF(VLOOKUP(A106,Declarations!B$6:C$185,2,FALSE)="","",VLOOKUP(A106,Declarations!B$6:C$185,2,FALSE)))</f>
        <v>THOMAS MOORE</v>
      </c>
      <c r="C106" s="150" t="str">
        <f>IF(ISNA(VLOOKUP(A106,Declarations!B$6:F$185,5,FALSE)),"",IF(VLOOKUP(A106,Declarations!B$6:F$185,5,FALSE)="","",VLOOKUP(A106,Declarations!B$6:F$185,5,FALSE)))</f>
        <v>Fleet &amp; Crookham AC</v>
      </c>
      <c r="D106" s="150" t="str">
        <f>IF(ISNA(VLOOKUP(A106,Declarations!B$6:F$185,4,FALSE)),"",IF(VLOOKUP(A106,Declarations!B$6:F$185,4,FALSE)="","",VLOOKUP(A106,Declarations!B$6:F$185,4,FALSE)))</f>
        <v>BOYS</v>
      </c>
      <c r="E106" s="150" t="str">
        <f>IF(ISNA(VLOOKUP(A106,Declarations!B$6:D$185,3,FALSE)),"",IF(VLOOKUP(A106,Declarations!B$6:D$185,3,FALSE)="","",VLOOKUP(A106,Declarations!B$6:D$185,3,FALSE)))</f>
        <v>U12</v>
      </c>
      <c r="F106" s="49">
        <f>IF(B106="","",IF(ISNA(VLOOKUP(A106,'75m'!F$5:G$302,2,FALSE)),"",VLOOKUP(A106,'75m'!F$5:G$302,2,FALSE)))</f>
        <v>12.9</v>
      </c>
      <c r="G106" s="49">
        <f>IF(B106="",0,IF(ISNA(VLOOKUP(A106,'75m'!F$5:J$302,5,FALSE)),0,VLOOKUP(A106,'75m'!F$5:J$302,5,FALSE)))</f>
        <v>41</v>
      </c>
      <c r="H106" s="49" t="str">
        <f>IF(B106="","",IF(ISNA(VLOOKUP(A106,'75m'!F$5:K$302,6,FALSE)),"",VLOOKUP(A106,'75m'!F$5:K$302,6,FALSE)))</f>
        <v>PB5</v>
      </c>
      <c r="I106" s="51">
        <f>IF(B106="",0,IF(ISNA(VLOOKUP(A106,'600m'!F$5:J$302,2,FALSE)),0,VLOOKUP(A106,'600m'!F$5:J$302,2,FALSE)))</f>
        <v>1.6666666666666668E-3</v>
      </c>
      <c r="J106" s="49">
        <f>IF(B106="",0,IF(ISNA(VLOOKUP(A106,'600m'!F$5:J$302,5,FALSE)),0,VLOOKUP(A106,'600m'!F$5:J$302,5,FALSE)))</f>
        <v>46</v>
      </c>
      <c r="K106" s="49" t="str">
        <f>IF(B106="","",IF(ISNA(VLOOKUP(A106,'600m'!F$5:K$302,6,FALSE)),"",VLOOKUP(A106,'600m'!F$5:K$302,6,FALSE)))</f>
        <v>PB1</v>
      </c>
      <c r="L106" s="49">
        <f>IF(B106="","",IF(ISNA(VLOOKUP(A106,LongJump!F$5:G$302,2,FALSE)),"",VLOOKUP(A106,LongJump!F$5:G$302,2,FALSE)))</f>
        <v>2.93</v>
      </c>
      <c r="M106" s="49">
        <f>IF(B106="",0,IF(ISNA(VLOOKUP(A106,LongJump!F$5:J$302,5,FALSE)),0,VLOOKUP(A106,LongJump!F$5:J$302,5,FALSE)))</f>
        <v>34</v>
      </c>
      <c r="N106" s="49" t="str">
        <f>IF(B106="",0,IF(ISNA(VLOOKUP(A106,LongJump!F$5:K$302,6,FALSE)),0,VLOOKUP(A106,LongJump!F$5:K$302,6,FALSE)))</f>
        <v>PB4</v>
      </c>
      <c r="O106" s="49">
        <f>IF(B106="","",IF(ISNA(VLOOKUP(A106,Vortex!F$5:J$302,2,FALSE)),"",VLOOKUP(A106,Vortex!F$5:J$302,2,FALSE)))</f>
        <v>27.07</v>
      </c>
      <c r="P106" s="49">
        <f>IF(B106="",0,IF(ISNA(VLOOKUP(A106,Vortex!F$5:J$302,5,FALSE)),0,VLOOKUP(A106,Vortex!F$5:J$302,5,FALSE)))</f>
        <v>54</v>
      </c>
      <c r="Q106" s="49">
        <f t="shared" si="7"/>
        <v>175</v>
      </c>
      <c r="R106" s="49">
        <f t="shared" si="8"/>
        <v>4</v>
      </c>
      <c r="S106" s="49">
        <f t="shared" si="9"/>
        <v>32</v>
      </c>
      <c r="T106" s="38"/>
      <c r="X106" s="9"/>
      <c r="Y106" s="9"/>
      <c r="AI106"/>
      <c r="AJ106"/>
    </row>
    <row r="107" spans="1:36" ht="13.95" customHeight="1">
      <c r="A107" s="49">
        <f>IF(Declarations!B80=0,"",Declarations!B80)</f>
        <v>75</v>
      </c>
      <c r="B107" s="150" t="str">
        <f>IF(ISNA(VLOOKUP(A107,Declarations!B$6:C$185,2,FALSE)),"",IF(VLOOKUP(A107,Declarations!B$6:C$185,2,FALSE)="","",VLOOKUP(A107,Declarations!B$6:C$185,2,FALSE)))</f>
        <v>MURRAY VOADEN</v>
      </c>
      <c r="C107" s="150" t="str">
        <f>IF(ISNA(VLOOKUP(A107,Declarations!B$6:F$185,5,FALSE)),"",IF(VLOOKUP(A107,Declarations!B$6:F$185,5,FALSE)="","",VLOOKUP(A107,Declarations!B$6:F$185,5,FALSE)))</f>
        <v>Fleet &amp; Crookham AC</v>
      </c>
      <c r="D107" s="150" t="str">
        <f>IF(ISNA(VLOOKUP(A107,Declarations!B$6:F$185,4,FALSE)),"",IF(VLOOKUP(A107,Declarations!B$6:F$185,4,FALSE)="","",VLOOKUP(A107,Declarations!B$6:F$185,4,FALSE)))</f>
        <v>BOYS</v>
      </c>
      <c r="E107" s="150" t="str">
        <f>IF(ISNA(VLOOKUP(A107,Declarations!B$6:D$185,3,FALSE)),"",IF(VLOOKUP(A107,Declarations!B$6:D$185,3,FALSE)="","",VLOOKUP(A107,Declarations!B$6:D$185,3,FALSE)))</f>
        <v>U12</v>
      </c>
      <c r="F107" s="49">
        <f>IF(B107="","",IF(ISNA(VLOOKUP(A107,'75m'!F$5:G$302,2,FALSE)),"",VLOOKUP(A107,'75m'!F$5:G$302,2,FALSE)))</f>
        <v>13.4</v>
      </c>
      <c r="G107" s="49">
        <f>IF(B107="",0,IF(ISNA(VLOOKUP(A107,'75m'!F$5:J$302,5,FALSE)),0,VLOOKUP(A107,'75m'!F$5:J$302,5,FALSE)))</f>
        <v>36</v>
      </c>
      <c r="H107" s="49" t="str">
        <f>IF(B107="","",IF(ISNA(VLOOKUP(A107,'75m'!F$5:K$302,6,FALSE)),"",VLOOKUP(A107,'75m'!F$5:K$302,6,FALSE)))</f>
        <v>PB4</v>
      </c>
      <c r="I107" s="51">
        <f>IF(B107="",0,IF(ISNA(VLOOKUP(A107,'600m'!F$5:J$302,2,FALSE)),0,VLOOKUP(A107,'600m'!F$5:J$302,2,FALSE)))</f>
        <v>1.6192129629629629E-3</v>
      </c>
      <c r="J107" s="49">
        <f>IF(B107="",0,IF(ISNA(VLOOKUP(A107,'600m'!F$5:J$302,5,FALSE)),0,VLOOKUP(A107,'600m'!F$5:J$302,5,FALSE)))</f>
        <v>50</v>
      </c>
      <c r="K107" s="49" t="str">
        <f>IF(B107="","",IF(ISNA(VLOOKUP(A107,'600m'!F$5:K$302,6,FALSE)),"",VLOOKUP(A107,'600m'!F$5:K$302,6,FALSE)))</f>
        <v>PB2</v>
      </c>
      <c r="L107" s="49">
        <f>IF(B107="","",IF(ISNA(VLOOKUP(A107,LongJump!F$5:G$302,2,FALSE)),"",VLOOKUP(A107,LongJump!F$5:G$302,2,FALSE)))</f>
        <v>2.92</v>
      </c>
      <c r="M107" s="49">
        <f>IF(B107="",0,IF(ISNA(VLOOKUP(A107,LongJump!F$5:J$302,5,FALSE)),0,VLOOKUP(A107,LongJump!F$5:J$302,5,FALSE)))</f>
        <v>34</v>
      </c>
      <c r="N107" s="49" t="str">
        <f>IF(B107="",0,IF(ISNA(VLOOKUP(A107,LongJump!F$5:K$302,6,FALSE)),0,VLOOKUP(A107,LongJump!F$5:K$302,6,FALSE)))</f>
        <v>PB4</v>
      </c>
      <c r="O107" s="49">
        <f>IF(B107="","",IF(ISNA(VLOOKUP(A107,Vortex!F$5:J$302,2,FALSE)),"",VLOOKUP(A107,Vortex!F$5:J$302,2,FALSE)))</f>
        <v>14.88</v>
      </c>
      <c r="P107" s="49">
        <f>IF(B107="",0,IF(ISNA(VLOOKUP(A107,Vortex!F$5:J$302,5,FALSE)),0,VLOOKUP(A107,Vortex!F$5:J$302,5,FALSE)))</f>
        <v>29</v>
      </c>
      <c r="Q107" s="49">
        <f t="shared" si="7"/>
        <v>149</v>
      </c>
      <c r="R107" s="49">
        <f t="shared" si="8"/>
        <v>6</v>
      </c>
      <c r="S107" s="49">
        <f t="shared" si="9"/>
        <v>40</v>
      </c>
      <c r="T107" s="38"/>
      <c r="X107" s="9"/>
      <c r="Y107" s="9"/>
      <c r="AI107"/>
      <c r="AJ107"/>
    </row>
    <row r="108" spans="1:36" ht="13.95" customHeight="1">
      <c r="A108" s="49">
        <f>IF(Declarations!B81=0,"",Declarations!B81)</f>
        <v>76</v>
      </c>
      <c r="B108" s="150" t="str">
        <f>IF(ISNA(VLOOKUP(A108,Declarations!B$6:C$185,2,FALSE)),"",IF(VLOOKUP(A108,Declarations!B$6:C$185,2,FALSE)="","",VLOOKUP(A108,Declarations!B$6:C$185,2,FALSE)))</f>
        <v>DYLAN MARLEY</v>
      </c>
      <c r="C108" s="150" t="str">
        <f>IF(ISNA(VLOOKUP(A108,Declarations!B$6:F$185,5,FALSE)),"",IF(VLOOKUP(A108,Declarations!B$6:F$185,5,FALSE)="","",VLOOKUP(A108,Declarations!B$6:F$185,5,FALSE)))</f>
        <v>Fleet &amp; Crookham AC</v>
      </c>
      <c r="D108" s="150" t="str">
        <f>IF(ISNA(VLOOKUP(A108,Declarations!B$6:F$185,4,FALSE)),"",IF(VLOOKUP(A108,Declarations!B$6:F$185,4,FALSE)="","",VLOOKUP(A108,Declarations!B$6:F$185,4,FALSE)))</f>
        <v>BOYS</v>
      </c>
      <c r="E108" s="150" t="str">
        <f>IF(ISNA(VLOOKUP(A108,Declarations!B$6:D$185,3,FALSE)),"",IF(VLOOKUP(A108,Declarations!B$6:D$185,3,FALSE)="","",VLOOKUP(A108,Declarations!B$6:D$185,3,FALSE)))</f>
        <v>U12</v>
      </c>
      <c r="F108" s="49">
        <f>IF(B108="","",IF(ISNA(VLOOKUP(A108,'75m'!F$5:G$302,2,FALSE)),"",VLOOKUP(A108,'75m'!F$5:G$302,2,FALSE)))</f>
        <v>12.4</v>
      </c>
      <c r="G108" s="49">
        <f>IF(B108="",0,IF(ISNA(VLOOKUP(A108,'75m'!F$5:J$302,5,FALSE)),0,VLOOKUP(A108,'75m'!F$5:J$302,5,FALSE)))</f>
        <v>46</v>
      </c>
      <c r="H108" s="49" t="str">
        <f>IF(B108="","",IF(ISNA(VLOOKUP(A108,'75m'!F$5:K$302,6,FALSE)),"",VLOOKUP(A108,'75m'!F$5:K$302,6,FALSE)))</f>
        <v>PB6</v>
      </c>
      <c r="I108" s="51">
        <f>IF(B108="",0,IF(ISNA(VLOOKUP(A108,'600m'!F$5:J$302,2,FALSE)),0,VLOOKUP(A108,'600m'!F$5:J$302,2,FALSE)))</f>
        <v>1.7476851851851852E-3</v>
      </c>
      <c r="J108" s="49">
        <f>IF(B108="",0,IF(ISNA(VLOOKUP(A108,'600m'!F$5:J$302,5,FALSE)),0,VLOOKUP(A108,'600m'!F$5:J$302,5,FALSE)))</f>
        <v>39</v>
      </c>
      <c r="K108" s="49" t="str">
        <f>IF(B108="","",IF(ISNA(VLOOKUP(A108,'600m'!F$5:K$302,6,FALSE)),"",VLOOKUP(A108,'600m'!F$5:K$302,6,FALSE)))</f>
        <v/>
      </c>
      <c r="L108" s="49">
        <f>IF(B108="","",IF(ISNA(VLOOKUP(A108,LongJump!F$5:G$302,2,FALSE)),"",VLOOKUP(A108,LongJump!F$5:G$302,2,FALSE)))</f>
        <v>3.62</v>
      </c>
      <c r="M108" s="49">
        <f>IF(B108="",0,IF(ISNA(VLOOKUP(A108,LongJump!F$5:J$302,5,FALSE)),0,VLOOKUP(A108,LongJump!F$5:J$302,5,FALSE)))</f>
        <v>57</v>
      </c>
      <c r="N108" s="49" t="str">
        <f>IF(B108="",0,IF(ISNA(VLOOKUP(A108,LongJump!F$5:K$302,6,FALSE)),0,VLOOKUP(A108,LongJump!F$5:K$302,6,FALSE)))</f>
        <v>PB7</v>
      </c>
      <c r="O108" s="49">
        <f>IF(B108="","",IF(ISNA(VLOOKUP(A108,Vortex!F$5:J$302,2,FALSE)),"",VLOOKUP(A108,Vortex!F$5:J$302,2,FALSE)))</f>
        <v>15.47</v>
      </c>
      <c r="P108" s="49">
        <f>IF(B108="",0,IF(ISNA(VLOOKUP(A108,Vortex!F$5:J$302,5,FALSE)),0,VLOOKUP(A108,Vortex!F$5:J$302,5,FALSE)))</f>
        <v>30</v>
      </c>
      <c r="Q108" s="49">
        <f t="shared" si="7"/>
        <v>172</v>
      </c>
      <c r="R108" s="49">
        <f t="shared" si="8"/>
        <v>5</v>
      </c>
      <c r="S108" s="49">
        <f t="shared" si="9"/>
        <v>35</v>
      </c>
      <c r="T108" s="38"/>
      <c r="X108" s="9"/>
      <c r="Y108" s="9"/>
      <c r="AI108"/>
      <c r="AJ108"/>
    </row>
    <row r="109" spans="1:36" ht="13.95" customHeight="1">
      <c r="A109" s="49">
        <f>IF(Declarations!B82=0,"",Declarations!B82)</f>
        <v>77</v>
      </c>
      <c r="B109" s="150" t="str">
        <f>IF(ISNA(VLOOKUP(A109,Declarations!B$6:C$185,2,FALSE)),"",IF(VLOOKUP(A109,Declarations!B$6:C$185,2,FALSE)="","",VLOOKUP(A109,Declarations!B$6:C$185,2,FALSE)))</f>
        <v/>
      </c>
      <c r="C109" s="150" t="str">
        <f>IF(ISNA(VLOOKUP(A109,Declarations!B$6:F$185,5,FALSE)),"",IF(VLOOKUP(A109,Declarations!B$6:F$185,5,FALSE)="","",VLOOKUP(A109,Declarations!B$6:F$185,5,FALSE)))</f>
        <v>Fleet &amp; Crookham AC</v>
      </c>
      <c r="D109" s="150" t="str">
        <f>IF(ISNA(VLOOKUP(A109,Declarations!B$6:F$185,4,FALSE)),"",IF(VLOOKUP(A109,Declarations!B$6:F$185,4,FALSE)="","",VLOOKUP(A109,Declarations!B$6:F$185,4,FALSE)))</f>
        <v>BOYS</v>
      </c>
      <c r="E109" s="150" t="str">
        <f>IF(ISNA(VLOOKUP(A109,Declarations!B$6:D$185,3,FALSE)),"",IF(VLOOKUP(A109,Declarations!B$6:D$185,3,FALSE)="","",VLOOKUP(A109,Declarations!B$6:D$185,3,FALSE)))</f>
        <v>U12</v>
      </c>
      <c r="F109" s="49" t="str">
        <f>IF(B109="","",IF(ISNA(VLOOKUP(A109,'75m'!F$5:G$302,2,FALSE)),"",VLOOKUP(A109,'75m'!F$5:G$302,2,FALSE)))</f>
        <v/>
      </c>
      <c r="G109" s="49">
        <f>IF(B109="",0,IF(ISNA(VLOOKUP(A109,'75m'!F$5:J$302,5,FALSE)),0,VLOOKUP(A109,'75m'!F$5:J$302,5,FALSE)))</f>
        <v>0</v>
      </c>
      <c r="H109" s="49" t="str">
        <f>IF(B109="","",IF(ISNA(VLOOKUP(A109,'75m'!F$5:K$302,6,FALSE)),"",VLOOKUP(A109,'75m'!F$5:K$302,6,FALSE)))</f>
        <v/>
      </c>
      <c r="I109" s="51">
        <f>IF(B109="",0,IF(ISNA(VLOOKUP(A109,'600m'!F$5:J$302,2,FALSE)),0,VLOOKUP(A109,'600m'!F$5:J$302,2,FALSE)))</f>
        <v>0</v>
      </c>
      <c r="J109" s="49">
        <f>IF(B109="",0,IF(ISNA(VLOOKUP(A109,'600m'!F$5:J$302,5,FALSE)),0,VLOOKUP(A109,'600m'!F$5:J$302,5,FALSE)))</f>
        <v>0</v>
      </c>
      <c r="K109" s="49" t="str">
        <f>IF(B109="","",IF(ISNA(VLOOKUP(A109,'600m'!F$5:K$302,6,FALSE)),"",VLOOKUP(A109,'600m'!F$5:K$302,6,FALSE)))</f>
        <v/>
      </c>
      <c r="L109" s="49" t="str">
        <f>IF(B109="","",IF(ISNA(VLOOKUP(A109,LongJump!F$5:G$302,2,FALSE)),"",VLOOKUP(A109,LongJump!F$5:G$302,2,FALSE)))</f>
        <v/>
      </c>
      <c r="M109" s="49">
        <f>IF(B109="",0,IF(ISNA(VLOOKUP(A109,LongJump!F$5:J$302,5,FALSE)),0,VLOOKUP(A109,LongJump!F$5:J$302,5,FALSE)))</f>
        <v>0</v>
      </c>
      <c r="N109" s="49">
        <f>IF(B109="",0,IF(ISNA(VLOOKUP(A109,LongJump!F$5:K$302,6,FALSE)),0,VLOOKUP(A109,LongJump!F$5:K$302,6,FALSE)))</f>
        <v>0</v>
      </c>
      <c r="O109" s="49" t="str">
        <f>IF(B109="","",IF(ISNA(VLOOKUP(A109,Vortex!F$5:J$302,2,FALSE)),"",VLOOKUP(A109,Vortex!F$5:J$302,2,FALSE)))</f>
        <v/>
      </c>
      <c r="P109" s="49">
        <f>IF(B109="",0,IF(ISNA(VLOOKUP(A109,Vortex!F$5:J$302,5,FALSE)),0,VLOOKUP(A109,Vortex!F$5:J$302,5,FALSE)))</f>
        <v>0</v>
      </c>
      <c r="Q109" s="49">
        <f t="shared" si="7"/>
        <v>0</v>
      </c>
      <c r="R109" s="49" t="str">
        <f t="shared" si="8"/>
        <v/>
      </c>
      <c r="S109" s="49" t="str">
        <f t="shared" si="9"/>
        <v/>
      </c>
      <c r="T109" s="38"/>
      <c r="X109" s="9"/>
      <c r="Y109" s="9"/>
      <c r="AI109"/>
      <c r="AJ109"/>
    </row>
    <row r="110" spans="1:36" ht="13.95" customHeight="1">
      <c r="A110" s="49">
        <f>IF(Declarations!B83=0,"",Declarations!B83)</f>
        <v>78</v>
      </c>
      <c r="B110" s="150" t="str">
        <f>IF(ISNA(VLOOKUP(A110,Declarations!B$6:C$185,2,FALSE)),"",IF(VLOOKUP(A110,Declarations!B$6:C$185,2,FALSE)="","",VLOOKUP(A110,Declarations!B$6:C$185,2,FALSE)))</f>
        <v/>
      </c>
      <c r="C110" s="150" t="str">
        <f>IF(ISNA(VLOOKUP(A110,Declarations!B$6:F$185,5,FALSE)),"",IF(VLOOKUP(A110,Declarations!B$6:F$185,5,FALSE)="","",VLOOKUP(A110,Declarations!B$6:F$185,5,FALSE)))</f>
        <v>Fleet &amp; Crookham AC</v>
      </c>
      <c r="D110" s="150" t="str">
        <f>IF(ISNA(VLOOKUP(A110,Declarations!B$6:F$185,4,FALSE)),"",IF(VLOOKUP(A110,Declarations!B$6:F$185,4,FALSE)="","",VLOOKUP(A110,Declarations!B$6:F$185,4,FALSE)))</f>
        <v>BOYS</v>
      </c>
      <c r="E110" s="150" t="str">
        <f>IF(ISNA(VLOOKUP(A110,Declarations!B$6:D$185,3,FALSE)),"",IF(VLOOKUP(A110,Declarations!B$6:D$185,3,FALSE)="","",VLOOKUP(A110,Declarations!B$6:D$185,3,FALSE)))</f>
        <v>U12</v>
      </c>
      <c r="F110" s="49" t="str">
        <f>IF(B110="","",IF(ISNA(VLOOKUP(A110,'75m'!F$5:G$302,2,FALSE)),"",VLOOKUP(A110,'75m'!F$5:G$302,2,FALSE)))</f>
        <v/>
      </c>
      <c r="G110" s="49">
        <f>IF(B110="",0,IF(ISNA(VLOOKUP(A110,'75m'!F$5:J$302,5,FALSE)),0,VLOOKUP(A110,'75m'!F$5:J$302,5,FALSE)))</f>
        <v>0</v>
      </c>
      <c r="H110" s="49" t="str">
        <f>IF(B110="","",IF(ISNA(VLOOKUP(A110,'75m'!F$5:K$302,6,FALSE)),"",VLOOKUP(A110,'75m'!F$5:K$302,6,FALSE)))</f>
        <v/>
      </c>
      <c r="I110" s="51">
        <f>IF(B110="",0,IF(ISNA(VLOOKUP(A110,'600m'!F$5:J$302,2,FALSE)),0,VLOOKUP(A110,'600m'!F$5:J$302,2,FALSE)))</f>
        <v>0</v>
      </c>
      <c r="J110" s="49">
        <f>IF(B110="",0,IF(ISNA(VLOOKUP(A110,'600m'!F$5:J$302,5,FALSE)),0,VLOOKUP(A110,'600m'!F$5:J$302,5,FALSE)))</f>
        <v>0</v>
      </c>
      <c r="K110" s="49" t="str">
        <f>IF(B110="","",IF(ISNA(VLOOKUP(A110,'600m'!F$5:K$302,6,FALSE)),"",VLOOKUP(A110,'600m'!F$5:K$302,6,FALSE)))</f>
        <v/>
      </c>
      <c r="L110" s="49" t="str">
        <f>IF(B110="","",IF(ISNA(VLOOKUP(A110,LongJump!F$5:G$302,2,FALSE)),"",VLOOKUP(A110,LongJump!F$5:G$302,2,FALSE)))</f>
        <v/>
      </c>
      <c r="M110" s="49">
        <f>IF(B110="",0,IF(ISNA(VLOOKUP(A110,LongJump!F$5:J$302,5,FALSE)),0,VLOOKUP(A110,LongJump!F$5:J$302,5,FALSE)))</f>
        <v>0</v>
      </c>
      <c r="N110" s="49">
        <f>IF(B110="",0,IF(ISNA(VLOOKUP(A110,LongJump!F$5:K$302,6,FALSE)),0,VLOOKUP(A110,LongJump!F$5:K$302,6,FALSE)))</f>
        <v>0</v>
      </c>
      <c r="O110" s="49" t="str">
        <f>IF(B110="","",IF(ISNA(VLOOKUP(A110,Vortex!F$5:J$302,2,FALSE)),"",VLOOKUP(A110,Vortex!F$5:J$302,2,FALSE)))</f>
        <v/>
      </c>
      <c r="P110" s="49">
        <f>IF(B110="",0,IF(ISNA(VLOOKUP(A110,Vortex!F$5:J$302,5,FALSE)),0,VLOOKUP(A110,Vortex!F$5:J$302,5,FALSE)))</f>
        <v>0</v>
      </c>
      <c r="Q110" s="49">
        <f t="shared" si="7"/>
        <v>0</v>
      </c>
      <c r="R110" s="49" t="str">
        <f t="shared" si="8"/>
        <v/>
      </c>
      <c r="S110" s="49" t="str">
        <f t="shared" si="9"/>
        <v/>
      </c>
      <c r="T110" s="38"/>
      <c r="X110" s="9"/>
      <c r="Y110" s="9"/>
      <c r="AI110"/>
      <c r="AJ110"/>
    </row>
    <row r="111" spans="1:36" ht="13.95" customHeight="1">
      <c r="A111" s="49">
        <f>IF(Declarations!B84=0,"",Declarations!B84)</f>
        <v>79</v>
      </c>
      <c r="B111" s="150" t="str">
        <f>IF(ISNA(VLOOKUP(A111,Declarations!B$6:C$185,2,FALSE)),"",IF(VLOOKUP(A111,Declarations!B$6:C$185,2,FALSE)="","",VLOOKUP(A111,Declarations!B$6:C$185,2,FALSE)))</f>
        <v/>
      </c>
      <c r="C111" s="150" t="str">
        <f>IF(ISNA(VLOOKUP(A111,Declarations!B$6:F$185,5,FALSE)),"",IF(VLOOKUP(A111,Declarations!B$6:F$185,5,FALSE)="","",VLOOKUP(A111,Declarations!B$6:F$185,5,FALSE)))</f>
        <v>Fleet &amp; Crookham AC</v>
      </c>
      <c r="D111" s="150" t="str">
        <f>IF(ISNA(VLOOKUP(A111,Declarations!B$6:F$185,4,FALSE)),"",IF(VLOOKUP(A111,Declarations!B$6:F$185,4,FALSE)="","",VLOOKUP(A111,Declarations!B$6:F$185,4,FALSE)))</f>
        <v>BOYS</v>
      </c>
      <c r="E111" s="150" t="str">
        <f>IF(ISNA(VLOOKUP(A111,Declarations!B$6:D$185,3,FALSE)),"",IF(VLOOKUP(A111,Declarations!B$6:D$185,3,FALSE)="","",VLOOKUP(A111,Declarations!B$6:D$185,3,FALSE)))</f>
        <v>U12</v>
      </c>
      <c r="F111" s="49" t="str">
        <f>IF(B111="","",IF(ISNA(VLOOKUP(A111,'75m'!F$5:G$302,2,FALSE)),"",VLOOKUP(A111,'75m'!F$5:G$302,2,FALSE)))</f>
        <v/>
      </c>
      <c r="G111" s="49">
        <f>IF(B111="",0,IF(ISNA(VLOOKUP(A111,'75m'!F$5:J$302,5,FALSE)),0,VLOOKUP(A111,'75m'!F$5:J$302,5,FALSE)))</f>
        <v>0</v>
      </c>
      <c r="H111" s="49" t="str">
        <f>IF(B111="","",IF(ISNA(VLOOKUP(A111,'75m'!F$5:K$302,6,FALSE)),"",VLOOKUP(A111,'75m'!F$5:K$302,6,FALSE)))</f>
        <v/>
      </c>
      <c r="I111" s="51">
        <f>IF(B111="",0,IF(ISNA(VLOOKUP(A111,'600m'!F$5:J$302,2,FALSE)),0,VLOOKUP(A111,'600m'!F$5:J$302,2,FALSE)))</f>
        <v>0</v>
      </c>
      <c r="J111" s="49">
        <f>IF(B111="",0,IF(ISNA(VLOOKUP(A111,'600m'!F$5:J$302,5,FALSE)),0,VLOOKUP(A111,'600m'!F$5:J$302,5,FALSE)))</f>
        <v>0</v>
      </c>
      <c r="K111" s="49" t="str">
        <f>IF(B111="","",IF(ISNA(VLOOKUP(A111,'600m'!F$5:K$302,6,FALSE)),"",VLOOKUP(A111,'600m'!F$5:K$302,6,FALSE)))</f>
        <v/>
      </c>
      <c r="L111" s="49" t="str">
        <f>IF(B111="","",IF(ISNA(VLOOKUP(A111,LongJump!F$5:G$302,2,FALSE)),"",VLOOKUP(A111,LongJump!F$5:G$302,2,FALSE)))</f>
        <v/>
      </c>
      <c r="M111" s="49">
        <f>IF(B111="",0,IF(ISNA(VLOOKUP(A111,LongJump!F$5:J$302,5,FALSE)),0,VLOOKUP(A111,LongJump!F$5:J$302,5,FALSE)))</f>
        <v>0</v>
      </c>
      <c r="N111" s="49">
        <f>IF(B111="",0,IF(ISNA(VLOOKUP(A111,LongJump!F$5:K$302,6,FALSE)),0,VLOOKUP(A111,LongJump!F$5:K$302,6,FALSE)))</f>
        <v>0</v>
      </c>
      <c r="O111" s="49" t="str">
        <f>IF(B111="","",IF(ISNA(VLOOKUP(A111,Vortex!F$5:J$302,2,FALSE)),"",VLOOKUP(A111,Vortex!F$5:J$302,2,FALSE)))</f>
        <v/>
      </c>
      <c r="P111" s="49">
        <f>IF(B111="",0,IF(ISNA(VLOOKUP(A111,Vortex!F$5:J$302,5,FALSE)),0,VLOOKUP(A111,Vortex!F$5:J$302,5,FALSE)))</f>
        <v>0</v>
      </c>
      <c r="Q111" s="49">
        <f t="shared" si="7"/>
        <v>0</v>
      </c>
      <c r="R111" s="49" t="str">
        <f t="shared" si="8"/>
        <v/>
      </c>
      <c r="S111" s="49" t="str">
        <f t="shared" si="9"/>
        <v/>
      </c>
      <c r="T111" s="38"/>
      <c r="X111" s="9"/>
      <c r="Y111" s="9"/>
      <c r="AI111"/>
      <c r="AJ111"/>
    </row>
    <row r="112" spans="1:36" ht="13.95" customHeight="1">
      <c r="A112" s="49">
        <f>IF(Declarations!B85=0,"",Declarations!B85)</f>
        <v>80</v>
      </c>
      <c r="B112" s="150" t="str">
        <f>IF(ISNA(VLOOKUP(A112,Declarations!B$6:C$185,2,FALSE)),"",IF(VLOOKUP(A112,Declarations!B$6:C$185,2,FALSE)="","",VLOOKUP(A112,Declarations!B$6:C$185,2,FALSE)))</f>
        <v/>
      </c>
      <c r="C112" s="150" t="str">
        <f>IF(ISNA(VLOOKUP(A112,Declarations!B$6:F$185,5,FALSE)),"",IF(VLOOKUP(A112,Declarations!B$6:F$185,5,FALSE)="","",VLOOKUP(A112,Declarations!B$6:F$185,5,FALSE)))</f>
        <v>Fleet &amp; Crookham AC</v>
      </c>
      <c r="D112" s="150" t="str">
        <f>IF(ISNA(VLOOKUP(A112,Declarations!B$6:F$185,4,FALSE)),"",IF(VLOOKUP(A112,Declarations!B$6:F$185,4,FALSE)="","",VLOOKUP(A112,Declarations!B$6:F$185,4,FALSE)))</f>
        <v>BOYS</v>
      </c>
      <c r="E112" s="150" t="str">
        <f>IF(ISNA(VLOOKUP(A112,Declarations!B$6:D$185,3,FALSE)),"",IF(VLOOKUP(A112,Declarations!B$6:D$185,3,FALSE)="","",VLOOKUP(A112,Declarations!B$6:D$185,3,FALSE)))</f>
        <v>U12</v>
      </c>
      <c r="F112" s="49" t="str">
        <f>IF(B112="","",IF(ISNA(VLOOKUP(A112,'75m'!F$5:G$302,2,FALSE)),"",VLOOKUP(A112,'75m'!F$5:G$302,2,FALSE)))</f>
        <v/>
      </c>
      <c r="G112" s="49">
        <f>IF(B112="",0,IF(ISNA(VLOOKUP(A112,'75m'!F$5:J$302,5,FALSE)),0,VLOOKUP(A112,'75m'!F$5:J$302,5,FALSE)))</f>
        <v>0</v>
      </c>
      <c r="H112" s="49" t="str">
        <f>IF(B112="","",IF(ISNA(VLOOKUP(A112,'75m'!F$5:K$302,6,FALSE)),"",VLOOKUP(A112,'75m'!F$5:K$302,6,FALSE)))</f>
        <v/>
      </c>
      <c r="I112" s="51">
        <f>IF(B112="",0,IF(ISNA(VLOOKUP(A112,'600m'!F$5:J$302,2,FALSE)),0,VLOOKUP(A112,'600m'!F$5:J$302,2,FALSE)))</f>
        <v>0</v>
      </c>
      <c r="J112" s="49">
        <f>IF(B112="",0,IF(ISNA(VLOOKUP(A112,'600m'!F$5:J$302,5,FALSE)),0,VLOOKUP(A112,'600m'!F$5:J$302,5,FALSE)))</f>
        <v>0</v>
      </c>
      <c r="K112" s="49" t="str">
        <f>IF(B112="","",IF(ISNA(VLOOKUP(A112,'600m'!F$5:K$302,6,FALSE)),"",VLOOKUP(A112,'600m'!F$5:K$302,6,FALSE)))</f>
        <v/>
      </c>
      <c r="L112" s="49" t="str">
        <f>IF(B112="","",IF(ISNA(VLOOKUP(A112,LongJump!F$5:G$302,2,FALSE)),"",VLOOKUP(A112,LongJump!F$5:G$302,2,FALSE)))</f>
        <v/>
      </c>
      <c r="M112" s="49">
        <f>IF(B112="",0,IF(ISNA(VLOOKUP(A112,LongJump!F$5:J$302,5,FALSE)),0,VLOOKUP(A112,LongJump!F$5:J$302,5,FALSE)))</f>
        <v>0</v>
      </c>
      <c r="N112" s="49">
        <f>IF(B112="",0,IF(ISNA(VLOOKUP(A112,LongJump!F$5:K$302,6,FALSE)),0,VLOOKUP(A112,LongJump!F$5:K$302,6,FALSE)))</f>
        <v>0</v>
      </c>
      <c r="O112" s="49" t="str">
        <f>IF(B112="","",IF(ISNA(VLOOKUP(A112,Vortex!F$5:J$302,2,FALSE)),"",VLOOKUP(A112,Vortex!F$5:J$302,2,FALSE)))</f>
        <v/>
      </c>
      <c r="P112" s="49">
        <f>IF(B112="",0,IF(ISNA(VLOOKUP(A112,Vortex!F$5:J$302,5,FALSE)),0,VLOOKUP(A112,Vortex!F$5:J$302,5,FALSE)))</f>
        <v>0</v>
      </c>
      <c r="Q112" s="49">
        <f t="shared" si="7"/>
        <v>0</v>
      </c>
      <c r="R112" s="49" t="str">
        <f t="shared" si="8"/>
        <v/>
      </c>
      <c r="S112" s="49" t="str">
        <f t="shared" si="9"/>
        <v/>
      </c>
      <c r="T112" s="38"/>
      <c r="X112" s="9"/>
      <c r="Y112" s="9"/>
      <c r="AI112"/>
      <c r="AJ112"/>
    </row>
    <row r="113" spans="1:39" ht="13.95" customHeight="1">
      <c r="A113" s="49">
        <f>IF(Declarations!B86=0,"",Declarations!B86)</f>
        <v>81</v>
      </c>
      <c r="B113" s="150" t="str">
        <f>IF(ISNA(VLOOKUP(A113,Declarations!B$6:C$185,2,FALSE)),"",IF(VLOOKUP(A113,Declarations!B$6:C$185,2,FALSE)="","",VLOOKUP(A113,Declarations!B$6:C$185,2,FALSE)))</f>
        <v>FREYA BURGE</v>
      </c>
      <c r="C113" s="150" t="str">
        <f>IF(ISNA(VLOOKUP(A113,Declarations!B$6:F$185,5,FALSE)),"",IF(VLOOKUP(A113,Declarations!B$6:F$185,5,FALSE)="","",VLOOKUP(A113,Declarations!B$6:F$185,5,FALSE)))</f>
        <v>Waverley Athletics Club</v>
      </c>
      <c r="D113" s="150" t="str">
        <f>IF(ISNA(VLOOKUP(A113,Declarations!B$6:F$185,4,FALSE)),"",IF(VLOOKUP(A113,Declarations!B$6:F$185,4,FALSE)="","",VLOOKUP(A113,Declarations!B$6:F$185,4,FALSE)))</f>
        <v>GIRLS</v>
      </c>
      <c r="E113" s="150" t="str">
        <f>IF(ISNA(VLOOKUP(A113,Declarations!B$6:D$185,3,FALSE)),"",IF(VLOOKUP(A113,Declarations!B$6:D$185,3,FALSE)="","",VLOOKUP(A113,Declarations!B$6:D$185,3,FALSE)))</f>
        <v>U12</v>
      </c>
      <c r="F113" s="49">
        <f>IF(B113="","",IF(ISNA(VLOOKUP(A113,'75m'!F$5:G$302,2,FALSE)),"",VLOOKUP(A113,'75m'!F$5:G$302,2,FALSE)))</f>
        <v>11.8</v>
      </c>
      <c r="G113" s="49">
        <f>IF(B113="",0,IF(ISNA(VLOOKUP(A113,'75m'!F$5:J$302,5,FALSE)),0,VLOOKUP(A113,'75m'!F$5:J$302,5,FALSE)))</f>
        <v>52</v>
      </c>
      <c r="H113" s="49" t="str">
        <f>IF(B113="","",IF(ISNA(VLOOKUP(A113,'75m'!F$5:K$302,6,FALSE)),"",VLOOKUP(A113,'75m'!F$5:K$302,6,FALSE)))</f>
        <v>PB8</v>
      </c>
      <c r="I113" s="51">
        <f>IF(B113="",0,IF(ISNA(VLOOKUP(A113,'600m'!F$5:J$302,2,FALSE)),0,VLOOKUP(A113,'600m'!F$5:J$302,2,FALSE)))</f>
        <v>1.414351851851852E-3</v>
      </c>
      <c r="J113" s="49">
        <f>IF(B113="",0,IF(ISNA(VLOOKUP(A113,'600m'!F$5:J$302,5,FALSE)),0,VLOOKUP(A113,'600m'!F$5:J$302,5,FALSE)))</f>
        <v>67</v>
      </c>
      <c r="K113" s="49" t="str">
        <f>IF(B113="","",IF(ISNA(VLOOKUP(A113,'600m'!F$5:K$302,6,FALSE)),"",VLOOKUP(A113,'600m'!F$5:K$302,6,FALSE)))</f>
        <v>PB5</v>
      </c>
      <c r="L113" s="49">
        <f>IF(B113="","",IF(ISNA(VLOOKUP(A113,LongJump!F$5:G$302,2,FALSE)),"",VLOOKUP(A113,LongJump!F$5:G$302,2,FALSE)))</f>
        <v>3.15</v>
      </c>
      <c r="M113" s="49">
        <f>IF(B113="",0,IF(ISNA(VLOOKUP(A113,LongJump!F$5:J$302,5,FALSE)),0,VLOOKUP(A113,LongJump!F$5:J$302,5,FALSE)))</f>
        <v>41</v>
      </c>
      <c r="N113" s="49" t="str">
        <f>IF(B113="",0,IF(ISNA(VLOOKUP(A113,LongJump!F$5:K$302,6,FALSE)),0,VLOOKUP(A113,LongJump!F$5:K$302,6,FALSE)))</f>
        <v>PB6</v>
      </c>
      <c r="O113" s="49">
        <f>IF(B113="","",IF(ISNA(VLOOKUP(A113,Vortex!F$5:J$302,2,FALSE)),"",VLOOKUP(A113,Vortex!F$5:J$302,2,FALSE)))</f>
        <v>14.91</v>
      </c>
      <c r="P113" s="49">
        <f>IF(B113="",0,IF(ISNA(VLOOKUP(A113,Vortex!F$5:J$302,5,FALSE)),0,VLOOKUP(A113,Vortex!F$5:J$302,5,FALSE)))</f>
        <v>29</v>
      </c>
      <c r="Q113" s="49">
        <f t="shared" si="7"/>
        <v>189</v>
      </c>
      <c r="R113" s="49">
        <f t="shared" si="8"/>
        <v>5</v>
      </c>
      <c r="S113" s="49">
        <f t="shared" si="9"/>
        <v>15</v>
      </c>
      <c r="T113" s="38"/>
      <c r="U113" s="4"/>
      <c r="V113" s="4"/>
      <c r="W113" s="4"/>
      <c r="X113" s="9"/>
      <c r="Y113" s="9"/>
      <c r="AI113"/>
      <c r="AJ113"/>
    </row>
    <row r="114" spans="1:39" ht="13.95" customHeight="1">
      <c r="A114" s="49">
        <f>IF(Declarations!B87=0,"",Declarations!B87)</f>
        <v>82</v>
      </c>
      <c r="B114" s="150" t="str">
        <f>IF(ISNA(VLOOKUP(A114,Declarations!B$6:C$185,2,FALSE)),"",IF(VLOOKUP(A114,Declarations!B$6:C$185,2,FALSE)="","",VLOOKUP(A114,Declarations!B$6:C$185,2,FALSE)))</f>
        <v>MATILDA KEER</v>
      </c>
      <c r="C114" s="150" t="str">
        <f>IF(ISNA(VLOOKUP(A114,Declarations!B$6:F$185,5,FALSE)),"",IF(VLOOKUP(A114,Declarations!B$6:F$185,5,FALSE)="","",VLOOKUP(A114,Declarations!B$6:F$185,5,FALSE)))</f>
        <v>Waverley Athletics Club</v>
      </c>
      <c r="D114" s="150" t="str">
        <f>IF(ISNA(VLOOKUP(A114,Declarations!B$6:F$185,4,FALSE)),"",IF(VLOOKUP(A114,Declarations!B$6:F$185,4,FALSE)="","",VLOOKUP(A114,Declarations!B$6:F$185,4,FALSE)))</f>
        <v>GIRLS</v>
      </c>
      <c r="E114" s="150" t="str">
        <f>IF(ISNA(VLOOKUP(A114,Declarations!B$6:D$185,3,FALSE)),"",IF(VLOOKUP(A114,Declarations!B$6:D$185,3,FALSE)="","",VLOOKUP(A114,Declarations!B$6:D$185,3,FALSE)))</f>
        <v>U12</v>
      </c>
      <c r="F114" s="49">
        <f>IF(B114="","",IF(ISNA(VLOOKUP(A114,'75m'!F$5:G$302,2,FALSE)),"",VLOOKUP(A114,'75m'!F$5:G$302,2,FALSE)))</f>
        <v>11.8</v>
      </c>
      <c r="G114" s="49">
        <f>IF(B114="",0,IF(ISNA(VLOOKUP(A114,'75m'!F$5:J$302,5,FALSE)),0,VLOOKUP(A114,'75m'!F$5:J$302,5,FALSE)))</f>
        <v>52</v>
      </c>
      <c r="H114" s="49" t="str">
        <f>IF(B114="","",IF(ISNA(VLOOKUP(A114,'75m'!F$5:K$302,6,FALSE)),"",VLOOKUP(A114,'75m'!F$5:K$302,6,FALSE)))</f>
        <v>PB8</v>
      </c>
      <c r="I114" s="51">
        <f>IF(B114="",0,IF(ISNA(VLOOKUP(A114,'600m'!F$5:J$302,2,FALSE)),0,VLOOKUP(A114,'600m'!F$5:J$302,2,FALSE)))</f>
        <v>1.4918981481481482E-3</v>
      </c>
      <c r="J114" s="49">
        <f>IF(B114="",0,IF(ISNA(VLOOKUP(A114,'600m'!F$5:J$302,5,FALSE)),0,VLOOKUP(A114,'600m'!F$5:J$302,5,FALSE)))</f>
        <v>61</v>
      </c>
      <c r="K114" s="49" t="str">
        <f>IF(B114="","",IF(ISNA(VLOOKUP(A114,'600m'!F$5:K$302,6,FALSE)),"",VLOOKUP(A114,'600m'!F$5:K$302,6,FALSE)))</f>
        <v>PB4</v>
      </c>
      <c r="L114" s="49">
        <f>IF(B114="","",IF(ISNA(VLOOKUP(A114,LongJump!F$5:G$302,2,FALSE)),"",VLOOKUP(A114,LongJump!F$5:G$302,2,FALSE)))</f>
        <v>3.58</v>
      </c>
      <c r="M114" s="49">
        <f>IF(B114="",0,IF(ISNA(VLOOKUP(A114,LongJump!F$5:J$302,5,FALSE)),0,VLOOKUP(A114,LongJump!F$5:J$302,5,FALSE)))</f>
        <v>56</v>
      </c>
      <c r="N114" s="49" t="str">
        <f>IF(B114="",0,IF(ISNA(VLOOKUP(A114,LongJump!F$5:K$302,6,FALSE)),0,VLOOKUP(A114,LongJump!F$5:K$302,6,FALSE)))</f>
        <v>PB8</v>
      </c>
      <c r="O114" s="49">
        <f>IF(B114="","",IF(ISNA(VLOOKUP(A114,Vortex!F$5:J$302,2,FALSE)),"",VLOOKUP(A114,Vortex!F$5:J$302,2,FALSE)))</f>
        <v>17.89</v>
      </c>
      <c r="P114" s="49">
        <f>IF(B114="",0,IF(ISNA(VLOOKUP(A114,Vortex!F$5:J$302,5,FALSE)),0,VLOOKUP(A114,Vortex!F$5:J$302,5,FALSE)))</f>
        <v>35</v>
      </c>
      <c r="Q114" s="49">
        <f t="shared" si="7"/>
        <v>204</v>
      </c>
      <c r="R114" s="49">
        <f t="shared" si="8"/>
        <v>3</v>
      </c>
      <c r="S114" s="49">
        <f t="shared" si="9"/>
        <v>11</v>
      </c>
      <c r="T114" s="38"/>
      <c r="X114" s="9"/>
      <c r="Y114" s="9"/>
      <c r="AI114"/>
      <c r="AJ114"/>
    </row>
    <row r="115" spans="1:39" ht="13.95" customHeight="1">
      <c r="A115" s="49">
        <f>IF(Declarations!B88=0,"",Declarations!B88)</f>
        <v>83</v>
      </c>
      <c r="B115" s="150" t="str">
        <f>IF(ISNA(VLOOKUP(A115,Declarations!B$6:C$185,2,FALSE)),"",IF(VLOOKUP(A115,Declarations!B$6:C$185,2,FALSE)="","",VLOOKUP(A115,Declarations!B$6:C$185,2,FALSE)))</f>
        <v>ELEANOR OLALEMI</v>
      </c>
      <c r="C115" s="150" t="str">
        <f>IF(ISNA(VLOOKUP(A115,Declarations!B$6:F$185,5,FALSE)),"",IF(VLOOKUP(A115,Declarations!B$6:F$185,5,FALSE)="","",VLOOKUP(A115,Declarations!B$6:F$185,5,FALSE)))</f>
        <v>Waverley Athletics Club</v>
      </c>
      <c r="D115" s="150" t="str">
        <f>IF(ISNA(VLOOKUP(A115,Declarations!B$6:F$185,4,FALSE)),"",IF(VLOOKUP(A115,Declarations!B$6:F$185,4,FALSE)="","",VLOOKUP(A115,Declarations!B$6:F$185,4,FALSE)))</f>
        <v>GIRLS</v>
      </c>
      <c r="E115" s="150" t="str">
        <f>IF(ISNA(VLOOKUP(A115,Declarations!B$6:D$185,3,FALSE)),"",IF(VLOOKUP(A115,Declarations!B$6:D$185,3,FALSE)="","",VLOOKUP(A115,Declarations!B$6:D$185,3,FALSE)))</f>
        <v>U12</v>
      </c>
      <c r="F115" s="49">
        <f>IF(B115="","",IF(ISNA(VLOOKUP(A115,'75m'!F$5:G$302,2,FALSE)),"",VLOOKUP(A115,'75m'!F$5:G$302,2,FALSE)))</f>
        <v>15.2</v>
      </c>
      <c r="G115" s="49">
        <f>IF(B115="",0,IF(ISNA(VLOOKUP(A115,'75m'!F$5:J$302,5,FALSE)),0,VLOOKUP(A115,'75m'!F$5:J$302,5,FALSE)))</f>
        <v>18</v>
      </c>
      <c r="H115" s="49" t="str">
        <f>IF(B115="","",IF(ISNA(VLOOKUP(A115,'75m'!F$5:K$302,6,FALSE)),"",VLOOKUP(A115,'75m'!F$5:K$302,6,FALSE)))</f>
        <v>PB1</v>
      </c>
      <c r="I115" s="51">
        <f>IF(B115="",0,IF(ISNA(VLOOKUP(A115,'600m'!F$5:J$302,2,FALSE)),0,VLOOKUP(A115,'600m'!F$5:J$302,2,FALSE)))</f>
        <v>1.7534722222222222E-3</v>
      </c>
      <c r="J115" s="49">
        <f>IF(B115="",0,IF(ISNA(VLOOKUP(A115,'600m'!F$5:J$302,5,FALSE)),0,VLOOKUP(A115,'600m'!F$5:J$302,5,FALSE)))</f>
        <v>38</v>
      </c>
      <c r="K115" s="49" t="str">
        <f>IF(B115="","",IF(ISNA(VLOOKUP(A115,'600m'!F$5:K$302,6,FALSE)),"",VLOOKUP(A115,'600m'!F$5:K$302,6,FALSE)))</f>
        <v>PB1</v>
      </c>
      <c r="L115" s="49">
        <f>IF(B115="","",IF(ISNA(VLOOKUP(A115,LongJump!F$5:G$302,2,FALSE)),"",VLOOKUP(A115,LongJump!F$5:G$302,2,FALSE)))</f>
        <v>2.34</v>
      </c>
      <c r="M115" s="49">
        <f>IF(B115="",0,IF(ISNA(VLOOKUP(A115,LongJump!F$5:J$302,5,FALSE)),0,VLOOKUP(A115,LongJump!F$5:J$302,5,FALSE)))</f>
        <v>14</v>
      </c>
      <c r="N115" s="49" t="str">
        <f>IF(B115="",0,IF(ISNA(VLOOKUP(A115,LongJump!F$5:K$302,6,FALSE)),0,VLOOKUP(A115,LongJump!F$5:K$302,6,FALSE)))</f>
        <v>PB3</v>
      </c>
      <c r="O115" s="49">
        <f>IF(B115="","",IF(ISNA(VLOOKUP(A115,Vortex!F$5:J$302,2,FALSE)),"",VLOOKUP(A115,Vortex!F$5:J$302,2,FALSE)))</f>
        <v>10.25</v>
      </c>
      <c r="P115" s="49">
        <f>IF(B115="",0,IF(ISNA(VLOOKUP(A115,Vortex!F$5:J$302,5,FALSE)),0,VLOOKUP(A115,Vortex!F$5:J$302,5,FALSE)))</f>
        <v>20</v>
      </c>
      <c r="Q115" s="49">
        <f t="shared" si="7"/>
        <v>90</v>
      </c>
      <c r="R115" s="49">
        <f t="shared" si="8"/>
        <v>6</v>
      </c>
      <c r="S115" s="49">
        <f t="shared" si="9"/>
        <v>45</v>
      </c>
      <c r="T115" s="38"/>
      <c r="X115" s="9"/>
      <c r="Y115" s="9"/>
      <c r="AI115"/>
      <c r="AJ115"/>
    </row>
    <row r="116" spans="1:39" ht="13.95" customHeight="1">
      <c r="A116" s="49">
        <f>IF(Declarations!B89=0,"",Declarations!B89)</f>
        <v>84</v>
      </c>
      <c r="B116" s="150" t="str">
        <f>IF(ISNA(VLOOKUP(A116,Declarations!B$6:C$185,2,FALSE)),"",IF(VLOOKUP(A116,Declarations!B$6:C$185,2,FALSE)="","",VLOOKUP(A116,Declarations!B$6:C$185,2,FALSE)))</f>
        <v>FREYA MCKENZIE</v>
      </c>
      <c r="C116" s="150" t="str">
        <f>IF(ISNA(VLOOKUP(A116,Declarations!B$6:F$185,5,FALSE)),"",IF(VLOOKUP(A116,Declarations!B$6:F$185,5,FALSE)="","",VLOOKUP(A116,Declarations!B$6:F$185,5,FALSE)))</f>
        <v>Waverley Athletics Club</v>
      </c>
      <c r="D116" s="150" t="str">
        <f>IF(ISNA(VLOOKUP(A116,Declarations!B$6:F$185,4,FALSE)),"",IF(VLOOKUP(A116,Declarations!B$6:F$185,4,FALSE)="","",VLOOKUP(A116,Declarations!B$6:F$185,4,FALSE)))</f>
        <v>GIRLS</v>
      </c>
      <c r="E116" s="150" t="str">
        <f>IF(ISNA(VLOOKUP(A116,Declarations!B$6:D$185,3,FALSE)),"",IF(VLOOKUP(A116,Declarations!B$6:D$185,3,FALSE)="","",VLOOKUP(A116,Declarations!B$6:D$185,3,FALSE)))</f>
        <v>U12</v>
      </c>
      <c r="F116" s="49">
        <f>IF(B116="","",IF(ISNA(VLOOKUP(A116,'75m'!F$5:G$302,2,FALSE)),"",VLOOKUP(A116,'75m'!F$5:G$302,2,FALSE)))</f>
        <v>11.3</v>
      </c>
      <c r="G116" s="49">
        <f>IF(B116="",0,IF(ISNA(VLOOKUP(A116,'75m'!F$5:J$302,5,FALSE)),0,VLOOKUP(A116,'75m'!F$5:J$302,5,FALSE)))</f>
        <v>57</v>
      </c>
      <c r="H116" s="49" t="str">
        <f>IF(B116="","",IF(ISNA(VLOOKUP(A116,'75m'!F$5:K$302,6,FALSE)),"",VLOOKUP(A116,'75m'!F$5:K$302,6,FALSE)))</f>
        <v>PB9</v>
      </c>
      <c r="I116" s="51">
        <f>IF(B116="",0,IF(ISNA(VLOOKUP(A116,'600m'!F$5:J$302,2,FALSE)),0,VLOOKUP(A116,'600m'!F$5:J$302,2,FALSE)))</f>
        <v>1.6111111111111109E-3</v>
      </c>
      <c r="J116" s="49">
        <f>IF(B116="",0,IF(ISNA(VLOOKUP(A116,'600m'!F$5:J$302,5,FALSE)),0,VLOOKUP(A116,'600m'!F$5:J$302,5,FALSE)))</f>
        <v>50</v>
      </c>
      <c r="K116" s="49" t="str">
        <f>IF(B116="","",IF(ISNA(VLOOKUP(A116,'600m'!F$5:K$302,6,FALSE)),"",VLOOKUP(A116,'600m'!F$5:K$302,6,FALSE)))</f>
        <v>PB2</v>
      </c>
      <c r="L116" s="49">
        <f>IF(B116="","",IF(ISNA(VLOOKUP(A116,LongJump!F$5:G$302,2,FALSE)),"",VLOOKUP(A116,LongJump!F$5:G$302,2,FALSE)))</f>
        <v>3.63</v>
      </c>
      <c r="M116" s="49">
        <f>IF(B116="",0,IF(ISNA(VLOOKUP(A116,LongJump!F$5:J$302,5,FALSE)),0,VLOOKUP(A116,LongJump!F$5:J$302,5,FALSE)))</f>
        <v>57</v>
      </c>
      <c r="N116" s="49" t="str">
        <f>IF(B116="",0,IF(ISNA(VLOOKUP(A116,LongJump!F$5:K$302,6,FALSE)),0,VLOOKUP(A116,LongJump!F$5:K$302,6,FALSE)))</f>
        <v>PB8</v>
      </c>
      <c r="O116" s="49">
        <f>IF(B116="","",IF(ISNA(VLOOKUP(A116,Vortex!F$5:J$302,2,FALSE)),"",VLOOKUP(A116,Vortex!F$5:J$302,2,FALSE)))</f>
        <v>22.77</v>
      </c>
      <c r="P116" s="49">
        <f>IF(B116="",0,IF(ISNA(VLOOKUP(A116,Vortex!F$5:J$302,5,FALSE)),0,VLOOKUP(A116,Vortex!F$5:J$302,5,FALSE)))</f>
        <v>45</v>
      </c>
      <c r="Q116" s="49">
        <f t="shared" si="7"/>
        <v>209</v>
      </c>
      <c r="R116" s="49">
        <f t="shared" si="8"/>
        <v>2</v>
      </c>
      <c r="S116" s="49">
        <f t="shared" si="9"/>
        <v>9</v>
      </c>
      <c r="T116" s="38"/>
      <c r="X116" s="9"/>
      <c r="Y116" s="9"/>
      <c r="AI116"/>
      <c r="AJ116"/>
    </row>
    <row r="117" spans="1:39" ht="13.95" customHeight="1">
      <c r="A117" s="49">
        <f>IF(Declarations!B90=0,"",Declarations!B90)</f>
        <v>85</v>
      </c>
      <c r="B117" s="150" t="str">
        <f>IF(ISNA(VLOOKUP(A117,Declarations!B$6:C$185,2,FALSE)),"",IF(VLOOKUP(A117,Declarations!B$6:C$185,2,FALSE)="","",VLOOKUP(A117,Declarations!B$6:C$185,2,FALSE)))</f>
        <v>SOPHIE HALL</v>
      </c>
      <c r="C117" s="150" t="str">
        <f>IF(ISNA(VLOOKUP(A117,Declarations!B$6:F$185,5,FALSE)),"",IF(VLOOKUP(A117,Declarations!B$6:F$185,5,FALSE)="","",VLOOKUP(A117,Declarations!B$6:F$185,5,FALSE)))</f>
        <v>Waverley Athletics Club</v>
      </c>
      <c r="D117" s="150" t="str">
        <f>IF(ISNA(VLOOKUP(A117,Declarations!B$6:F$185,4,FALSE)),"",IF(VLOOKUP(A117,Declarations!B$6:F$185,4,FALSE)="","",VLOOKUP(A117,Declarations!B$6:F$185,4,FALSE)))</f>
        <v>GIRLS</v>
      </c>
      <c r="E117" s="150" t="str">
        <f>IF(ISNA(VLOOKUP(A117,Declarations!B$6:D$185,3,FALSE)),"",IF(VLOOKUP(A117,Declarations!B$6:D$185,3,FALSE)="","",VLOOKUP(A117,Declarations!B$6:D$185,3,FALSE)))</f>
        <v>U12</v>
      </c>
      <c r="F117" s="49">
        <f>IF(B117="","",IF(ISNA(VLOOKUP(A117,'75m'!F$5:G$302,2,FALSE)),"",VLOOKUP(A117,'75m'!F$5:G$302,2,FALSE)))</f>
        <v>11.1</v>
      </c>
      <c r="G117" s="49">
        <f>IF(B117="",0,IF(ISNA(VLOOKUP(A117,'75m'!F$5:J$302,5,FALSE)),0,VLOOKUP(A117,'75m'!F$5:J$302,5,FALSE)))</f>
        <v>59</v>
      </c>
      <c r="H117" s="49" t="str">
        <f>IF(B117="","",IF(ISNA(VLOOKUP(A117,'75m'!F$5:K$302,6,FALSE)),"",VLOOKUP(A117,'75m'!F$5:K$302,6,FALSE)))</f>
        <v>PB9</v>
      </c>
      <c r="I117" s="51">
        <f>IF(B117="",0,IF(ISNA(VLOOKUP(A117,'600m'!F$5:J$302,2,FALSE)),0,VLOOKUP(A117,'600m'!F$5:J$302,2,FALSE)))</f>
        <v>1.3298611111111111E-3</v>
      </c>
      <c r="J117" s="49">
        <f>IF(B117="",0,IF(ISNA(VLOOKUP(A117,'600m'!F$5:J$302,5,FALSE)),0,VLOOKUP(A117,'600m'!F$5:J$302,5,FALSE)))</f>
        <v>75</v>
      </c>
      <c r="K117" s="49" t="str">
        <f>IF(B117="","",IF(ISNA(VLOOKUP(A117,'600m'!F$5:K$302,6,FALSE)),"",VLOOKUP(A117,'600m'!F$5:K$302,6,FALSE)))</f>
        <v>PB7</v>
      </c>
      <c r="L117" s="49">
        <f>IF(B117="","",IF(ISNA(VLOOKUP(A117,LongJump!F$5:G$302,2,FALSE)),"",VLOOKUP(A117,LongJump!F$5:G$302,2,FALSE)))</f>
        <v>3.48</v>
      </c>
      <c r="M117" s="49">
        <f>IF(B117="",0,IF(ISNA(VLOOKUP(A117,LongJump!F$5:J$302,5,FALSE)),0,VLOOKUP(A117,LongJump!F$5:J$302,5,FALSE)))</f>
        <v>52</v>
      </c>
      <c r="N117" s="49" t="str">
        <f>IF(B117="",0,IF(ISNA(VLOOKUP(A117,LongJump!F$5:K$302,6,FALSE)),0,VLOOKUP(A117,LongJump!F$5:K$302,6,FALSE)))</f>
        <v>PB7</v>
      </c>
      <c r="O117" s="49">
        <f>IF(B117="","",IF(ISNA(VLOOKUP(A117,Vortex!F$5:J$302,2,FALSE)),"",VLOOKUP(A117,Vortex!F$5:J$302,2,FALSE)))</f>
        <v>19.14</v>
      </c>
      <c r="P117" s="49">
        <f>IF(B117="",0,IF(ISNA(VLOOKUP(A117,Vortex!F$5:J$302,5,FALSE)),0,VLOOKUP(A117,Vortex!F$5:J$302,5,FALSE)))</f>
        <v>38</v>
      </c>
      <c r="Q117" s="49">
        <f t="shared" si="7"/>
        <v>224</v>
      </c>
      <c r="R117" s="49">
        <f t="shared" si="8"/>
        <v>1</v>
      </c>
      <c r="S117" s="49">
        <f t="shared" si="9"/>
        <v>2</v>
      </c>
      <c r="T117" s="38"/>
      <c r="X117" s="9"/>
      <c r="Y117" s="9"/>
      <c r="AI117"/>
      <c r="AJ117" s="11"/>
      <c r="AK117" s="11"/>
      <c r="AL117" s="11"/>
      <c r="AM117" s="11"/>
    </row>
    <row r="118" spans="1:39" s="11" customFormat="1" ht="13.95" customHeight="1">
      <c r="A118" s="49">
        <f>IF(Declarations!B91=0,"",Declarations!B91)</f>
        <v>86</v>
      </c>
      <c r="B118" s="150" t="str">
        <f>IF(ISNA(VLOOKUP(A118,Declarations!B$6:C$185,2,FALSE)),"",IF(VLOOKUP(A118,Declarations!B$6:C$185,2,FALSE)="","",VLOOKUP(A118,Declarations!B$6:C$185,2,FALSE)))</f>
        <v>EMILY HANAK</v>
      </c>
      <c r="C118" s="150" t="str">
        <f>IF(ISNA(VLOOKUP(A118,Declarations!B$6:F$185,5,FALSE)),"",IF(VLOOKUP(A118,Declarations!B$6:F$185,5,FALSE)="","",VLOOKUP(A118,Declarations!B$6:F$185,5,FALSE)))</f>
        <v>Waverley Athletics Club</v>
      </c>
      <c r="D118" s="150" t="str">
        <f>IF(ISNA(VLOOKUP(A118,Declarations!B$6:F$185,4,FALSE)),"",IF(VLOOKUP(A118,Declarations!B$6:F$185,4,FALSE)="","",VLOOKUP(A118,Declarations!B$6:F$185,4,FALSE)))</f>
        <v>GIRLS</v>
      </c>
      <c r="E118" s="150" t="str">
        <f>IF(ISNA(VLOOKUP(A118,Declarations!B$6:D$185,3,FALSE)),"",IF(VLOOKUP(A118,Declarations!B$6:D$185,3,FALSE)="","",VLOOKUP(A118,Declarations!B$6:D$185,3,FALSE)))</f>
        <v>U12</v>
      </c>
      <c r="F118" s="49">
        <f>IF(B118="","",IF(ISNA(VLOOKUP(A118,'75m'!F$5:G$302,2,FALSE)),"",VLOOKUP(A118,'75m'!F$5:G$302,2,FALSE)))</f>
        <v>11.8</v>
      </c>
      <c r="G118" s="49">
        <f>IF(B118="",0,IF(ISNA(VLOOKUP(A118,'75m'!F$5:J$302,5,FALSE)),0,VLOOKUP(A118,'75m'!F$5:J$302,5,FALSE)))</f>
        <v>52</v>
      </c>
      <c r="H118" s="49" t="str">
        <f>IF(B118="","",IF(ISNA(VLOOKUP(A118,'75m'!F$5:K$302,6,FALSE)),"",VLOOKUP(A118,'75m'!F$5:K$302,6,FALSE)))</f>
        <v>PB8</v>
      </c>
      <c r="I118" s="51">
        <f>IF(B118="",0,IF(ISNA(VLOOKUP(A118,'600m'!F$5:J$302,2,FALSE)),0,VLOOKUP(A118,'600m'!F$5:J$302,2,FALSE)))</f>
        <v>1.4942129629629628E-3</v>
      </c>
      <c r="J118" s="49">
        <f>IF(B118="",0,IF(ISNA(VLOOKUP(A118,'600m'!F$5:J$302,5,FALSE)),0,VLOOKUP(A118,'600m'!F$5:J$302,5,FALSE)))</f>
        <v>60</v>
      </c>
      <c r="K118" s="49" t="str">
        <f>IF(B118="","",IF(ISNA(VLOOKUP(A118,'600m'!F$5:K$302,6,FALSE)),"",VLOOKUP(A118,'600m'!F$5:K$302,6,FALSE)))</f>
        <v>PB4</v>
      </c>
      <c r="L118" s="49">
        <f>IF(B118="","",IF(ISNA(VLOOKUP(A118,LongJump!F$5:G$302,2,FALSE)),"",VLOOKUP(A118,LongJump!F$5:G$302,2,FALSE)))</f>
        <v>3.24</v>
      </c>
      <c r="M118" s="49">
        <f>IF(B118="",0,IF(ISNA(VLOOKUP(A118,LongJump!F$5:J$302,5,FALSE)),0,VLOOKUP(A118,LongJump!F$5:J$302,5,FALSE)))</f>
        <v>44</v>
      </c>
      <c r="N118" s="49" t="str">
        <f>IF(B118="",0,IF(ISNA(VLOOKUP(A118,LongJump!F$5:K$302,6,FALSE)),0,VLOOKUP(A118,LongJump!F$5:K$302,6,FALSE)))</f>
        <v>PB6</v>
      </c>
      <c r="O118" s="49">
        <f>IF(B118="","",IF(ISNA(VLOOKUP(A118,Vortex!F$5:J$302,2,FALSE)),"",VLOOKUP(A118,Vortex!F$5:J$302,2,FALSE)))</f>
        <v>20.6</v>
      </c>
      <c r="P118" s="49">
        <f>IF(B118="",0,IF(ISNA(VLOOKUP(A118,Vortex!F$5:J$302,5,FALSE)),0,VLOOKUP(A118,Vortex!F$5:J$302,5,FALSE)))</f>
        <v>41</v>
      </c>
      <c r="Q118" s="49">
        <f t="shared" si="7"/>
        <v>197</v>
      </c>
      <c r="R118" s="49">
        <f t="shared" si="8"/>
        <v>4</v>
      </c>
      <c r="S118" s="49">
        <f t="shared" si="9"/>
        <v>13</v>
      </c>
      <c r="T118" s="38"/>
      <c r="U118"/>
      <c r="V118"/>
      <c r="W118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/>
      <c r="AJ118"/>
      <c r="AK118"/>
      <c r="AL118"/>
      <c r="AM118"/>
    </row>
    <row r="119" spans="1:39" ht="13.95" customHeight="1">
      <c r="A119" s="49">
        <f>IF(Declarations!B92=0,"",Declarations!B92)</f>
        <v>87</v>
      </c>
      <c r="B119" s="150" t="str">
        <f>IF(ISNA(VLOOKUP(A119,Declarations!B$6:C$185,2,FALSE)),"",IF(VLOOKUP(A119,Declarations!B$6:C$185,2,FALSE)="","",VLOOKUP(A119,Declarations!B$6:C$185,2,FALSE)))</f>
        <v/>
      </c>
      <c r="C119" s="150" t="str">
        <f>IF(ISNA(VLOOKUP(A119,Declarations!B$6:F$185,5,FALSE)),"",IF(VLOOKUP(A119,Declarations!B$6:F$185,5,FALSE)="","",VLOOKUP(A119,Declarations!B$6:F$185,5,FALSE)))</f>
        <v>Waverley Athletics Club</v>
      </c>
      <c r="D119" s="150" t="str">
        <f>IF(ISNA(VLOOKUP(A119,Declarations!B$6:F$185,4,FALSE)),"",IF(VLOOKUP(A119,Declarations!B$6:F$185,4,FALSE)="","",VLOOKUP(A119,Declarations!B$6:F$185,4,FALSE)))</f>
        <v>GIRLS</v>
      </c>
      <c r="E119" s="150" t="str">
        <f>IF(ISNA(VLOOKUP(A119,Declarations!B$6:D$185,3,FALSE)),"",IF(VLOOKUP(A119,Declarations!B$6:D$185,3,FALSE)="","",VLOOKUP(A119,Declarations!B$6:D$185,3,FALSE)))</f>
        <v>U12</v>
      </c>
      <c r="F119" s="49" t="str">
        <f>IF(B119="","",IF(ISNA(VLOOKUP(A119,'75m'!F$5:G$302,2,FALSE)),"",VLOOKUP(A119,'75m'!F$5:G$302,2,FALSE)))</f>
        <v/>
      </c>
      <c r="G119" s="49">
        <f>IF(B119="",0,IF(ISNA(VLOOKUP(A119,'75m'!F$5:J$302,5,FALSE)),0,VLOOKUP(A119,'75m'!F$5:J$302,5,FALSE)))</f>
        <v>0</v>
      </c>
      <c r="H119" s="49" t="str">
        <f>IF(B119="","",IF(ISNA(VLOOKUP(A119,'75m'!F$5:K$302,6,FALSE)),"",VLOOKUP(A119,'75m'!F$5:K$302,6,FALSE)))</f>
        <v/>
      </c>
      <c r="I119" s="51">
        <f>IF(B119="",0,IF(ISNA(VLOOKUP(A119,'600m'!F$5:J$302,2,FALSE)),0,VLOOKUP(A119,'600m'!F$5:J$302,2,FALSE)))</f>
        <v>0</v>
      </c>
      <c r="J119" s="49">
        <f>IF(B119="",0,IF(ISNA(VLOOKUP(A119,'600m'!F$5:J$302,5,FALSE)),0,VLOOKUP(A119,'600m'!F$5:J$302,5,FALSE)))</f>
        <v>0</v>
      </c>
      <c r="K119" s="49" t="str">
        <f>IF(B119="","",IF(ISNA(VLOOKUP(A119,'600m'!F$5:K$302,6,FALSE)),"",VLOOKUP(A119,'600m'!F$5:K$302,6,FALSE)))</f>
        <v/>
      </c>
      <c r="L119" s="49" t="str">
        <f>IF(B119="","",IF(ISNA(VLOOKUP(A119,LongJump!F$5:G$302,2,FALSE)),"",VLOOKUP(A119,LongJump!F$5:G$302,2,FALSE)))</f>
        <v/>
      </c>
      <c r="M119" s="49">
        <f>IF(B119="",0,IF(ISNA(VLOOKUP(A119,LongJump!F$5:J$302,5,FALSE)),0,VLOOKUP(A119,LongJump!F$5:J$302,5,FALSE)))</f>
        <v>0</v>
      </c>
      <c r="N119" s="49">
        <f>IF(B119="",0,IF(ISNA(VLOOKUP(A119,LongJump!F$5:K$302,6,FALSE)),0,VLOOKUP(A119,LongJump!F$5:K$302,6,FALSE)))</f>
        <v>0</v>
      </c>
      <c r="O119" s="49" t="str">
        <f>IF(B119="","",IF(ISNA(VLOOKUP(A119,Vortex!F$5:J$302,2,FALSE)),"",VLOOKUP(A119,Vortex!F$5:J$302,2,FALSE)))</f>
        <v/>
      </c>
      <c r="P119" s="49">
        <f>IF(B119="",0,IF(ISNA(VLOOKUP(A119,Vortex!F$5:J$302,5,FALSE)),0,VLOOKUP(A119,Vortex!F$5:J$302,5,FALSE)))</f>
        <v>0</v>
      </c>
      <c r="Q119" s="49">
        <f t="shared" si="7"/>
        <v>0</v>
      </c>
      <c r="R119" s="49" t="str">
        <f t="shared" si="8"/>
        <v/>
      </c>
      <c r="S119" s="49" t="str">
        <f t="shared" si="9"/>
        <v/>
      </c>
      <c r="T119" s="38"/>
      <c r="X119" s="9"/>
      <c r="Y119" s="9"/>
      <c r="AI119"/>
      <c r="AJ119"/>
    </row>
    <row r="120" spans="1:39" ht="13.95" customHeight="1">
      <c r="A120" s="49">
        <f>IF(Declarations!B93=0,"",Declarations!B93)</f>
        <v>88</v>
      </c>
      <c r="B120" s="150" t="str">
        <f>IF(ISNA(VLOOKUP(A120,Declarations!B$6:C$185,2,FALSE)),"",IF(VLOOKUP(A120,Declarations!B$6:C$185,2,FALSE)="","",VLOOKUP(A120,Declarations!B$6:C$185,2,FALSE)))</f>
        <v/>
      </c>
      <c r="C120" s="150" t="str">
        <f>IF(ISNA(VLOOKUP(A120,Declarations!B$6:F$185,5,FALSE)),"",IF(VLOOKUP(A120,Declarations!B$6:F$185,5,FALSE)="","",VLOOKUP(A120,Declarations!B$6:F$185,5,FALSE)))</f>
        <v>Waverley Athletics Club</v>
      </c>
      <c r="D120" s="150" t="str">
        <f>IF(ISNA(VLOOKUP(A120,Declarations!B$6:F$185,4,FALSE)),"",IF(VLOOKUP(A120,Declarations!B$6:F$185,4,FALSE)="","",VLOOKUP(A120,Declarations!B$6:F$185,4,FALSE)))</f>
        <v>GIRLS</v>
      </c>
      <c r="E120" s="150" t="str">
        <f>IF(ISNA(VLOOKUP(A120,Declarations!B$6:D$185,3,FALSE)),"",IF(VLOOKUP(A120,Declarations!B$6:D$185,3,FALSE)="","",VLOOKUP(A120,Declarations!B$6:D$185,3,FALSE)))</f>
        <v>U12</v>
      </c>
      <c r="F120" s="49" t="str">
        <f>IF(B120="","",IF(ISNA(VLOOKUP(A120,'75m'!F$5:G$302,2,FALSE)),"",VLOOKUP(A120,'75m'!F$5:G$302,2,FALSE)))</f>
        <v/>
      </c>
      <c r="G120" s="49">
        <f>IF(B120="",0,IF(ISNA(VLOOKUP(A120,'75m'!F$5:J$302,5,FALSE)),0,VLOOKUP(A120,'75m'!F$5:J$302,5,FALSE)))</f>
        <v>0</v>
      </c>
      <c r="H120" s="49" t="str">
        <f>IF(B120="","",IF(ISNA(VLOOKUP(A120,'75m'!F$5:K$302,6,FALSE)),"",VLOOKUP(A120,'75m'!F$5:K$302,6,FALSE)))</f>
        <v/>
      </c>
      <c r="I120" s="51">
        <f>IF(B120="",0,IF(ISNA(VLOOKUP(A120,'600m'!F$5:J$302,2,FALSE)),0,VLOOKUP(A120,'600m'!F$5:J$302,2,FALSE)))</f>
        <v>0</v>
      </c>
      <c r="J120" s="49">
        <f>IF(B120="",0,IF(ISNA(VLOOKUP(A120,'600m'!F$5:J$302,5,FALSE)),0,VLOOKUP(A120,'600m'!F$5:J$302,5,FALSE)))</f>
        <v>0</v>
      </c>
      <c r="K120" s="49" t="str">
        <f>IF(B120="","",IF(ISNA(VLOOKUP(A120,'600m'!F$5:K$302,6,FALSE)),"",VLOOKUP(A120,'600m'!F$5:K$302,6,FALSE)))</f>
        <v/>
      </c>
      <c r="L120" s="49" t="str">
        <f>IF(B120="","",IF(ISNA(VLOOKUP(A120,LongJump!F$5:G$302,2,FALSE)),"",VLOOKUP(A120,LongJump!F$5:G$302,2,FALSE)))</f>
        <v/>
      </c>
      <c r="M120" s="49">
        <f>IF(B120="",0,IF(ISNA(VLOOKUP(A120,LongJump!F$5:J$302,5,FALSE)),0,VLOOKUP(A120,LongJump!F$5:J$302,5,FALSE)))</f>
        <v>0</v>
      </c>
      <c r="N120" s="49">
        <f>IF(B120="",0,IF(ISNA(VLOOKUP(A120,LongJump!F$5:K$302,6,FALSE)),0,VLOOKUP(A120,LongJump!F$5:K$302,6,FALSE)))</f>
        <v>0</v>
      </c>
      <c r="O120" s="49" t="str">
        <f>IF(B120="","",IF(ISNA(VLOOKUP(A120,Vortex!F$5:J$302,2,FALSE)),"",VLOOKUP(A120,Vortex!F$5:J$302,2,FALSE)))</f>
        <v/>
      </c>
      <c r="P120" s="49">
        <f>IF(B120="",0,IF(ISNA(VLOOKUP(A120,Vortex!F$5:J$302,5,FALSE)),0,VLOOKUP(A120,Vortex!F$5:J$302,5,FALSE)))</f>
        <v>0</v>
      </c>
      <c r="Q120" s="49">
        <f t="shared" si="7"/>
        <v>0</v>
      </c>
      <c r="R120" s="49" t="str">
        <f t="shared" si="8"/>
        <v/>
      </c>
      <c r="S120" s="49" t="str">
        <f t="shared" si="9"/>
        <v/>
      </c>
      <c r="T120" s="38"/>
      <c r="X120" s="9"/>
      <c r="Y120" s="9"/>
      <c r="AI120"/>
      <c r="AJ120"/>
    </row>
    <row r="121" spans="1:39" ht="13.95" customHeight="1">
      <c r="A121" s="49">
        <f>IF(Declarations!B94=0,"",Declarations!B94)</f>
        <v>89</v>
      </c>
      <c r="B121" s="150" t="str">
        <f>IF(ISNA(VLOOKUP(A121,Declarations!B$6:C$185,2,FALSE)),"",IF(VLOOKUP(A121,Declarations!B$6:C$185,2,FALSE)="","",VLOOKUP(A121,Declarations!B$6:C$185,2,FALSE)))</f>
        <v/>
      </c>
      <c r="C121" s="150" t="str">
        <f>IF(ISNA(VLOOKUP(A121,Declarations!B$6:F$185,5,FALSE)),"",IF(VLOOKUP(A121,Declarations!B$6:F$185,5,FALSE)="","",VLOOKUP(A121,Declarations!B$6:F$185,5,FALSE)))</f>
        <v>Waverley Athletics Club</v>
      </c>
      <c r="D121" s="150" t="str">
        <f>IF(ISNA(VLOOKUP(A121,Declarations!B$6:F$185,4,FALSE)),"",IF(VLOOKUP(A121,Declarations!B$6:F$185,4,FALSE)="","",VLOOKUP(A121,Declarations!B$6:F$185,4,FALSE)))</f>
        <v>GIRLS</v>
      </c>
      <c r="E121" s="150" t="str">
        <f>IF(ISNA(VLOOKUP(A121,Declarations!B$6:D$185,3,FALSE)),"",IF(VLOOKUP(A121,Declarations!B$6:D$185,3,FALSE)="","",VLOOKUP(A121,Declarations!B$6:D$185,3,FALSE)))</f>
        <v>U12</v>
      </c>
      <c r="F121" s="49" t="str">
        <f>IF(B121="","",IF(ISNA(VLOOKUP(A121,'75m'!F$5:G$302,2,FALSE)),"",VLOOKUP(A121,'75m'!F$5:G$302,2,FALSE)))</f>
        <v/>
      </c>
      <c r="G121" s="49">
        <f>IF(B121="",0,IF(ISNA(VLOOKUP(A121,'75m'!F$5:J$302,5,FALSE)),0,VLOOKUP(A121,'75m'!F$5:J$302,5,FALSE)))</f>
        <v>0</v>
      </c>
      <c r="H121" s="49" t="str">
        <f>IF(B121="","",IF(ISNA(VLOOKUP(A121,'75m'!F$5:K$302,6,FALSE)),"",VLOOKUP(A121,'75m'!F$5:K$302,6,FALSE)))</f>
        <v/>
      </c>
      <c r="I121" s="51">
        <f>IF(B121="",0,IF(ISNA(VLOOKUP(A121,'600m'!F$5:J$302,2,FALSE)),0,VLOOKUP(A121,'600m'!F$5:J$302,2,FALSE)))</f>
        <v>0</v>
      </c>
      <c r="J121" s="49">
        <f>IF(B121="",0,IF(ISNA(VLOOKUP(A121,'600m'!F$5:J$302,5,FALSE)),0,VLOOKUP(A121,'600m'!F$5:J$302,5,FALSE)))</f>
        <v>0</v>
      </c>
      <c r="K121" s="49" t="str">
        <f>IF(B121="","",IF(ISNA(VLOOKUP(A121,'600m'!F$5:K$302,6,FALSE)),"",VLOOKUP(A121,'600m'!F$5:K$302,6,FALSE)))</f>
        <v/>
      </c>
      <c r="L121" s="49" t="str">
        <f>IF(B121="","",IF(ISNA(VLOOKUP(A121,LongJump!F$5:G$302,2,FALSE)),"",VLOOKUP(A121,LongJump!F$5:G$302,2,FALSE)))</f>
        <v/>
      </c>
      <c r="M121" s="49">
        <f>IF(B121="",0,IF(ISNA(VLOOKUP(A121,LongJump!F$5:J$302,5,FALSE)),0,VLOOKUP(A121,LongJump!F$5:J$302,5,FALSE)))</f>
        <v>0</v>
      </c>
      <c r="N121" s="49">
        <f>IF(B121="",0,IF(ISNA(VLOOKUP(A121,LongJump!F$5:K$302,6,FALSE)),0,VLOOKUP(A121,LongJump!F$5:K$302,6,FALSE)))</f>
        <v>0</v>
      </c>
      <c r="O121" s="49" t="str">
        <f>IF(B121="","",IF(ISNA(VLOOKUP(A121,Vortex!F$5:J$302,2,FALSE)),"",VLOOKUP(A121,Vortex!F$5:J$302,2,FALSE)))</f>
        <v/>
      </c>
      <c r="P121" s="49">
        <f>IF(B121="",0,IF(ISNA(VLOOKUP(A121,Vortex!F$5:J$302,5,FALSE)),0,VLOOKUP(A121,Vortex!F$5:J$302,5,FALSE)))</f>
        <v>0</v>
      </c>
      <c r="Q121" s="49">
        <f t="shared" si="7"/>
        <v>0</v>
      </c>
      <c r="R121" s="49" t="str">
        <f t="shared" si="8"/>
        <v/>
      </c>
      <c r="S121" s="49" t="str">
        <f t="shared" si="9"/>
        <v/>
      </c>
      <c r="T121" s="38"/>
      <c r="X121" s="9"/>
      <c r="Y121" s="9"/>
      <c r="AI121"/>
      <c r="AJ121"/>
    </row>
    <row r="122" spans="1:39" ht="13.95" customHeight="1">
      <c r="A122" s="49">
        <f>IF(Declarations!B95=0,"",Declarations!B95)</f>
        <v>90</v>
      </c>
      <c r="B122" s="150" t="str">
        <f>IF(ISNA(VLOOKUP(A122,Declarations!B$6:C$185,2,FALSE)),"",IF(VLOOKUP(A122,Declarations!B$6:C$185,2,FALSE)="","",VLOOKUP(A122,Declarations!B$6:C$185,2,FALSE)))</f>
        <v/>
      </c>
      <c r="C122" s="150" t="str">
        <f>IF(ISNA(VLOOKUP(A122,Declarations!B$6:F$185,5,FALSE)),"",IF(VLOOKUP(A122,Declarations!B$6:F$185,5,FALSE)="","",VLOOKUP(A122,Declarations!B$6:F$185,5,FALSE)))</f>
        <v>Waverley Athletics Club</v>
      </c>
      <c r="D122" s="150" t="str">
        <f>IF(ISNA(VLOOKUP(A122,Declarations!B$6:F$185,4,FALSE)),"",IF(VLOOKUP(A122,Declarations!B$6:F$185,4,FALSE)="","",VLOOKUP(A122,Declarations!B$6:F$185,4,FALSE)))</f>
        <v>GIRLS</v>
      </c>
      <c r="E122" s="150" t="str">
        <f>IF(ISNA(VLOOKUP(A122,Declarations!B$6:D$185,3,FALSE)),"",IF(VLOOKUP(A122,Declarations!B$6:D$185,3,FALSE)="","",VLOOKUP(A122,Declarations!B$6:D$185,3,FALSE)))</f>
        <v>U12</v>
      </c>
      <c r="F122" s="49" t="str">
        <f>IF(B122="","",IF(ISNA(VLOOKUP(A122,'75m'!F$5:G$302,2,FALSE)),"",VLOOKUP(A122,'75m'!F$5:G$302,2,FALSE)))</f>
        <v/>
      </c>
      <c r="G122" s="49">
        <f>IF(B122="",0,IF(ISNA(VLOOKUP(A122,'75m'!F$5:J$302,5,FALSE)),0,VLOOKUP(A122,'75m'!F$5:J$302,5,FALSE)))</f>
        <v>0</v>
      </c>
      <c r="H122" s="49" t="str">
        <f>IF(B122="","",IF(ISNA(VLOOKUP(A122,'75m'!F$5:K$302,6,FALSE)),"",VLOOKUP(A122,'75m'!F$5:K$302,6,FALSE)))</f>
        <v/>
      </c>
      <c r="I122" s="51">
        <f>IF(B122="",0,IF(ISNA(VLOOKUP(A122,'600m'!F$5:J$302,2,FALSE)),0,VLOOKUP(A122,'600m'!F$5:J$302,2,FALSE)))</f>
        <v>0</v>
      </c>
      <c r="J122" s="49">
        <f>IF(B122="",0,IF(ISNA(VLOOKUP(A122,'600m'!F$5:J$302,5,FALSE)),0,VLOOKUP(A122,'600m'!F$5:J$302,5,FALSE)))</f>
        <v>0</v>
      </c>
      <c r="K122" s="49" t="str">
        <f>IF(B122="","",IF(ISNA(VLOOKUP(A122,'600m'!F$5:K$302,6,FALSE)),"",VLOOKUP(A122,'600m'!F$5:K$302,6,FALSE)))</f>
        <v/>
      </c>
      <c r="L122" s="49" t="str">
        <f>IF(B122="","",IF(ISNA(VLOOKUP(A122,LongJump!F$5:G$302,2,FALSE)),"",VLOOKUP(A122,LongJump!F$5:G$302,2,FALSE)))</f>
        <v/>
      </c>
      <c r="M122" s="49">
        <f>IF(B122="",0,IF(ISNA(VLOOKUP(A122,LongJump!F$5:J$302,5,FALSE)),0,VLOOKUP(A122,LongJump!F$5:J$302,5,FALSE)))</f>
        <v>0</v>
      </c>
      <c r="N122" s="49">
        <f>IF(B122="",0,IF(ISNA(VLOOKUP(A122,LongJump!F$5:K$302,6,FALSE)),0,VLOOKUP(A122,LongJump!F$5:K$302,6,FALSE)))</f>
        <v>0</v>
      </c>
      <c r="O122" s="49" t="str">
        <f>IF(B122="","",IF(ISNA(VLOOKUP(A122,Vortex!F$5:J$302,2,FALSE)),"",VLOOKUP(A122,Vortex!F$5:J$302,2,FALSE)))</f>
        <v/>
      </c>
      <c r="P122" s="49">
        <f>IF(B122="",0,IF(ISNA(VLOOKUP(A122,Vortex!F$5:J$302,5,FALSE)),0,VLOOKUP(A122,Vortex!F$5:J$302,5,FALSE)))</f>
        <v>0</v>
      </c>
      <c r="Q122" s="49">
        <f t="shared" si="7"/>
        <v>0</v>
      </c>
      <c r="R122" s="49" t="str">
        <f t="shared" si="8"/>
        <v/>
      </c>
      <c r="S122" s="49" t="str">
        <f t="shared" si="9"/>
        <v/>
      </c>
      <c r="T122" s="38"/>
      <c r="X122" s="9"/>
      <c r="Y122" s="9"/>
      <c r="AH122" s="11"/>
      <c r="AI122" s="11"/>
      <c r="AJ122"/>
    </row>
    <row r="123" spans="1:39" ht="13.95" customHeight="1">
      <c r="A123" s="49">
        <f>IF(Declarations!B96=0,"",Declarations!B96)</f>
        <v>91</v>
      </c>
      <c r="B123" s="150" t="str">
        <f>IF(ISNA(VLOOKUP(A123,Declarations!B$6:C$185,2,FALSE)),"",IF(VLOOKUP(A123,Declarations!B$6:C$185,2,FALSE)="","",VLOOKUP(A123,Declarations!B$6:C$185,2,FALSE)))</f>
        <v>NOAH BARKER</v>
      </c>
      <c r="C123" s="150" t="str">
        <f>IF(ISNA(VLOOKUP(A123,Declarations!B$6:F$185,5,FALSE)),"",IF(VLOOKUP(A123,Declarations!B$6:F$185,5,FALSE)="","",VLOOKUP(A123,Declarations!B$6:F$185,5,FALSE)))</f>
        <v>Waverley Athletics Club</v>
      </c>
      <c r="D123" s="150" t="str">
        <f>IF(ISNA(VLOOKUP(A123,Declarations!B$6:F$185,4,FALSE)),"",IF(VLOOKUP(A123,Declarations!B$6:F$185,4,FALSE)="","",VLOOKUP(A123,Declarations!B$6:F$185,4,FALSE)))</f>
        <v>BOYS</v>
      </c>
      <c r="E123" s="150" t="str">
        <f>IF(ISNA(VLOOKUP(A123,Declarations!B$6:D$185,3,FALSE)),"",IF(VLOOKUP(A123,Declarations!B$6:D$185,3,FALSE)="","",VLOOKUP(A123,Declarations!B$6:D$185,3,FALSE)))</f>
        <v>U12</v>
      </c>
      <c r="F123" s="49">
        <f>IF(B123="","",IF(ISNA(VLOOKUP(A123,'75m'!F$5:G$302,2,FALSE)),"",VLOOKUP(A123,'75m'!F$5:G$302,2,FALSE)))</f>
        <v>10.8</v>
      </c>
      <c r="G123" s="49">
        <f>IF(B123="",0,IF(ISNA(VLOOKUP(A123,'75m'!F$5:J$302,5,FALSE)),0,VLOOKUP(A123,'75m'!F$5:J$302,5,FALSE)))</f>
        <v>62</v>
      </c>
      <c r="H123" s="49" t="str">
        <f>IF(B123="","",IF(ISNA(VLOOKUP(A123,'75m'!F$5:K$302,6,FALSE)),"",VLOOKUP(A123,'75m'!F$5:K$302,6,FALSE)))</f>
        <v>PB9</v>
      </c>
      <c r="I123" s="51">
        <f>IF(B123="",0,IF(ISNA(VLOOKUP(A123,'600m'!F$5:J$302,2,FALSE)),0,VLOOKUP(A123,'600m'!F$5:J$302,2,FALSE)))</f>
        <v>0</v>
      </c>
      <c r="J123" s="49">
        <f>IF(B123="",0,IF(ISNA(VLOOKUP(A123,'600m'!F$5:J$302,5,FALSE)),0,VLOOKUP(A123,'600m'!F$5:J$302,5,FALSE)))</f>
        <v>0</v>
      </c>
      <c r="K123" s="49" t="str">
        <f>IF(B123="","",IF(ISNA(VLOOKUP(A123,'600m'!F$5:K$302,6,FALSE)),"",VLOOKUP(A123,'600m'!F$5:K$302,6,FALSE)))</f>
        <v/>
      </c>
      <c r="L123" s="49">
        <f>IF(B123="","",IF(ISNA(VLOOKUP(A123,LongJump!F$5:G$302,2,FALSE)),"",VLOOKUP(A123,LongJump!F$5:G$302,2,FALSE)))</f>
        <v>3.82</v>
      </c>
      <c r="M123" s="49">
        <f>IF(B123="",0,IF(ISNA(VLOOKUP(A123,LongJump!F$5:J$302,5,FALSE)),0,VLOOKUP(A123,LongJump!F$5:J$302,5,FALSE)))</f>
        <v>64</v>
      </c>
      <c r="N123" s="49" t="str">
        <f>IF(B123="",0,IF(ISNA(VLOOKUP(A123,LongJump!F$5:K$302,6,FALSE)),0,VLOOKUP(A123,LongJump!F$5:K$302,6,FALSE)))</f>
        <v>PB8</v>
      </c>
      <c r="O123" s="49">
        <f>IF(B123="","",IF(ISNA(VLOOKUP(A123,Vortex!F$5:J$302,2,FALSE)),"",VLOOKUP(A123,Vortex!F$5:J$302,2,FALSE)))</f>
        <v>25.72</v>
      </c>
      <c r="P123" s="49">
        <f>IF(B123="",0,IF(ISNA(VLOOKUP(A123,Vortex!F$5:J$302,5,FALSE)),0,VLOOKUP(A123,Vortex!F$5:J$302,5,FALSE)))</f>
        <v>51</v>
      </c>
      <c r="Q123" s="49">
        <f t="shared" si="7"/>
        <v>177</v>
      </c>
      <c r="R123" s="49">
        <f t="shared" si="8"/>
        <v>2</v>
      </c>
      <c r="S123" s="49">
        <f t="shared" si="9"/>
        <v>31</v>
      </c>
      <c r="T123" s="38"/>
      <c r="X123" s="9"/>
      <c r="Y123" s="9"/>
      <c r="AI123"/>
      <c r="AJ123"/>
    </row>
    <row r="124" spans="1:39" ht="13.95" customHeight="1">
      <c r="A124" s="49">
        <f>IF(Declarations!B97=0,"",Declarations!B97)</f>
        <v>92</v>
      </c>
      <c r="B124" s="150" t="str">
        <f>IF(ISNA(VLOOKUP(A124,Declarations!B$6:C$185,2,FALSE)),"",IF(VLOOKUP(A124,Declarations!B$6:C$185,2,FALSE)="","",VLOOKUP(A124,Declarations!B$6:C$185,2,FALSE)))</f>
        <v>BLAKE BARNES</v>
      </c>
      <c r="C124" s="150" t="str">
        <f>IF(ISNA(VLOOKUP(A124,Declarations!B$6:F$185,5,FALSE)),"",IF(VLOOKUP(A124,Declarations!B$6:F$185,5,FALSE)="","",VLOOKUP(A124,Declarations!B$6:F$185,5,FALSE)))</f>
        <v>Waverley Athletics Club</v>
      </c>
      <c r="D124" s="150" t="str">
        <f>IF(ISNA(VLOOKUP(A124,Declarations!B$6:F$185,4,FALSE)),"",IF(VLOOKUP(A124,Declarations!B$6:F$185,4,FALSE)="","",VLOOKUP(A124,Declarations!B$6:F$185,4,FALSE)))</f>
        <v>BOYS</v>
      </c>
      <c r="E124" s="150" t="str">
        <f>IF(ISNA(VLOOKUP(A124,Declarations!B$6:D$185,3,FALSE)),"",IF(VLOOKUP(A124,Declarations!B$6:D$185,3,FALSE)="","",VLOOKUP(A124,Declarations!B$6:D$185,3,FALSE)))</f>
        <v>U12</v>
      </c>
      <c r="F124" s="49">
        <f>IF(B124="","",IF(ISNA(VLOOKUP(A124,'75m'!F$5:G$302,2,FALSE)),"",VLOOKUP(A124,'75m'!F$5:G$302,2,FALSE)))</f>
        <v>12</v>
      </c>
      <c r="G124" s="49">
        <f>IF(B124="",0,IF(ISNA(VLOOKUP(A124,'75m'!F$5:J$302,5,FALSE)),0,VLOOKUP(A124,'75m'!F$5:J$302,5,FALSE)))</f>
        <v>50</v>
      </c>
      <c r="H124" s="49" t="str">
        <f>IF(B124="","",IF(ISNA(VLOOKUP(A124,'75m'!F$5:K$302,6,FALSE)),"",VLOOKUP(A124,'75m'!F$5:K$302,6,FALSE)))</f>
        <v>PB7</v>
      </c>
      <c r="I124" s="51">
        <f>IF(B124="",0,IF(ISNA(VLOOKUP(A124,'600m'!F$5:J$302,2,FALSE)),0,VLOOKUP(A124,'600m'!F$5:J$302,2,FALSE)))</f>
        <v>1.4756944444444444E-3</v>
      </c>
      <c r="J124" s="49">
        <f>IF(B124="",0,IF(ISNA(VLOOKUP(A124,'600m'!F$5:J$302,5,FALSE)),0,VLOOKUP(A124,'600m'!F$5:J$302,5,FALSE)))</f>
        <v>62</v>
      </c>
      <c r="K124" s="49" t="str">
        <f>IF(B124="","",IF(ISNA(VLOOKUP(A124,'600m'!F$5:K$302,6,FALSE)),"",VLOOKUP(A124,'600m'!F$5:K$302,6,FALSE)))</f>
        <v>PB3</v>
      </c>
      <c r="L124" s="49">
        <f>IF(B124="","",IF(ISNA(VLOOKUP(A124,LongJump!F$5:G$302,2,FALSE)),"",VLOOKUP(A124,LongJump!F$5:G$302,2,FALSE)))</f>
        <v>3.29</v>
      </c>
      <c r="M124" s="49">
        <f>IF(B124="",0,IF(ISNA(VLOOKUP(A124,LongJump!F$5:J$302,5,FALSE)),0,VLOOKUP(A124,LongJump!F$5:J$302,5,FALSE)))</f>
        <v>46</v>
      </c>
      <c r="N124" s="49" t="str">
        <f>IF(B124="",0,IF(ISNA(VLOOKUP(A124,LongJump!F$5:K$302,6,FALSE)),0,VLOOKUP(A124,LongJump!F$5:K$302,6,FALSE)))</f>
        <v>PB6</v>
      </c>
      <c r="O124" s="49">
        <f>IF(B124="","",IF(ISNA(VLOOKUP(A124,Vortex!F$5:J$302,2,FALSE)),"",VLOOKUP(A124,Vortex!F$5:J$302,2,FALSE)))</f>
        <v>24.46</v>
      </c>
      <c r="P124" s="49">
        <f>IF(B124="",0,IF(ISNA(VLOOKUP(A124,Vortex!F$5:J$302,5,FALSE)),0,VLOOKUP(A124,Vortex!F$5:J$302,5,FALSE)))</f>
        <v>48</v>
      </c>
      <c r="Q124" s="49">
        <f t="shared" si="7"/>
        <v>206</v>
      </c>
      <c r="R124" s="49">
        <f t="shared" si="8"/>
        <v>1</v>
      </c>
      <c r="S124" s="49">
        <f t="shared" si="9"/>
        <v>20</v>
      </c>
      <c r="T124" s="38"/>
      <c r="X124" s="9"/>
      <c r="Y124" s="9"/>
      <c r="AI124"/>
      <c r="AJ124"/>
    </row>
    <row r="125" spans="1:39" ht="13.95" customHeight="1">
      <c r="A125" s="49">
        <f>IF(Declarations!B98=0,"",Declarations!B98)</f>
        <v>93</v>
      </c>
      <c r="B125" s="150" t="str">
        <f>IF(ISNA(VLOOKUP(A125,Declarations!B$6:C$185,2,FALSE)),"",IF(VLOOKUP(A125,Declarations!B$6:C$185,2,FALSE)="","",VLOOKUP(A125,Declarations!B$6:C$185,2,FALSE)))</f>
        <v>BEN QUICK</v>
      </c>
      <c r="C125" s="150" t="str">
        <f>IF(ISNA(VLOOKUP(A125,Declarations!B$6:F$185,5,FALSE)),"",IF(VLOOKUP(A125,Declarations!B$6:F$185,5,FALSE)="","",VLOOKUP(A125,Declarations!B$6:F$185,5,FALSE)))</f>
        <v>Waverley Athletics Club</v>
      </c>
      <c r="D125" s="150" t="str">
        <f>IF(ISNA(VLOOKUP(A125,Declarations!B$6:F$185,4,FALSE)),"",IF(VLOOKUP(A125,Declarations!B$6:F$185,4,FALSE)="","",VLOOKUP(A125,Declarations!B$6:F$185,4,FALSE)))</f>
        <v>BOYS</v>
      </c>
      <c r="E125" s="150" t="str">
        <f>IF(ISNA(VLOOKUP(A125,Declarations!B$6:D$185,3,FALSE)),"",IF(VLOOKUP(A125,Declarations!B$6:D$185,3,FALSE)="","",VLOOKUP(A125,Declarations!B$6:D$185,3,FALSE)))</f>
        <v>U12</v>
      </c>
      <c r="F125" s="49">
        <f>IF(B125="","",IF(ISNA(VLOOKUP(A125,'75m'!F$5:G$302,2,FALSE)),"",VLOOKUP(A125,'75m'!F$5:G$302,2,FALSE)))</f>
        <v>12.8</v>
      </c>
      <c r="G125" s="49">
        <f>IF(B125="",0,IF(ISNA(VLOOKUP(A125,'75m'!F$5:J$302,5,FALSE)),0,VLOOKUP(A125,'75m'!F$5:J$302,5,FALSE)))</f>
        <v>42</v>
      </c>
      <c r="H125" s="49" t="str">
        <f>IF(B125="","",IF(ISNA(VLOOKUP(A125,'75m'!F$5:K$302,6,FALSE)),"",VLOOKUP(A125,'75m'!F$5:K$302,6,FALSE)))</f>
        <v>PB5</v>
      </c>
      <c r="I125" s="51">
        <f>IF(B125="",0,IF(ISNA(VLOOKUP(A125,'600m'!F$5:J$302,2,FALSE)),0,VLOOKUP(A125,'600m'!F$5:J$302,2,FALSE)))</f>
        <v>1.6932870370370372E-3</v>
      </c>
      <c r="J125" s="49">
        <f>IF(B125="",0,IF(ISNA(VLOOKUP(A125,'600m'!F$5:J$302,5,FALSE)),0,VLOOKUP(A125,'600m'!F$5:J$302,5,FALSE)))</f>
        <v>43</v>
      </c>
      <c r="K125" s="49" t="str">
        <f>IF(B125="","",IF(ISNA(VLOOKUP(A125,'600m'!F$5:K$302,6,FALSE)),"",VLOOKUP(A125,'600m'!F$5:K$302,6,FALSE)))</f>
        <v>PB1</v>
      </c>
      <c r="L125" s="49">
        <f>IF(B125="","",IF(ISNA(VLOOKUP(A125,LongJump!F$5:G$302,2,FALSE)),"",VLOOKUP(A125,LongJump!F$5:G$302,2,FALSE)))</f>
        <v>1.76</v>
      </c>
      <c r="M125" s="49">
        <f>IF(B125="",0,IF(ISNA(VLOOKUP(A125,LongJump!F$5:J$302,5,FALSE)),0,VLOOKUP(A125,LongJump!F$5:J$302,5,FALSE)))</f>
        <v>10</v>
      </c>
      <c r="N125" s="49" t="str">
        <f>IF(B125="",0,IF(ISNA(VLOOKUP(A125,LongJump!F$5:K$302,6,FALSE)),0,VLOOKUP(A125,LongJump!F$5:K$302,6,FALSE)))</f>
        <v/>
      </c>
      <c r="O125" s="49">
        <f>IF(B125="","",IF(ISNA(VLOOKUP(A125,Vortex!F$5:J$302,2,FALSE)),"",VLOOKUP(A125,Vortex!F$5:J$302,2,FALSE)))</f>
        <v>24.15</v>
      </c>
      <c r="P125" s="49">
        <f>IF(B125="",0,IF(ISNA(VLOOKUP(A125,Vortex!F$5:J$302,5,FALSE)),0,VLOOKUP(A125,Vortex!F$5:J$302,5,FALSE)))</f>
        <v>48</v>
      </c>
      <c r="Q125" s="49">
        <f t="shared" si="7"/>
        <v>143</v>
      </c>
      <c r="R125" s="49">
        <f t="shared" si="8"/>
        <v>3</v>
      </c>
      <c r="S125" s="49">
        <f t="shared" si="9"/>
        <v>41</v>
      </c>
      <c r="T125" s="38"/>
      <c r="X125" s="9"/>
      <c r="Y125" s="9"/>
      <c r="AI125"/>
      <c r="AJ125"/>
    </row>
    <row r="126" spans="1:39" ht="13.95" customHeight="1">
      <c r="A126" s="49">
        <f>IF(Declarations!B99=0,"",Declarations!B99)</f>
        <v>94</v>
      </c>
      <c r="B126" s="150" t="str">
        <f>IF(ISNA(VLOOKUP(A126,Declarations!B$6:C$185,2,FALSE)),"",IF(VLOOKUP(A126,Declarations!B$6:C$185,2,FALSE)="","",VLOOKUP(A126,Declarations!B$6:C$185,2,FALSE)))</f>
        <v>DANIEL BURKE</v>
      </c>
      <c r="C126" s="150" t="str">
        <f>IF(ISNA(VLOOKUP(A126,Declarations!B$6:F$185,5,FALSE)),"",IF(VLOOKUP(A126,Declarations!B$6:F$185,5,FALSE)="","",VLOOKUP(A126,Declarations!B$6:F$185,5,FALSE)))</f>
        <v>Waverley Athletics Club</v>
      </c>
      <c r="D126" s="150" t="str">
        <f>IF(ISNA(VLOOKUP(A126,Declarations!B$6:F$185,4,FALSE)),"",IF(VLOOKUP(A126,Declarations!B$6:F$185,4,FALSE)="","",VLOOKUP(A126,Declarations!B$6:F$185,4,FALSE)))</f>
        <v>BOYS</v>
      </c>
      <c r="E126" s="150" t="str">
        <f>IF(ISNA(VLOOKUP(A126,Declarations!B$6:D$185,3,FALSE)),"",IF(VLOOKUP(A126,Declarations!B$6:D$185,3,FALSE)="","",VLOOKUP(A126,Declarations!B$6:D$185,3,FALSE)))</f>
        <v>U12</v>
      </c>
      <c r="F126" s="49" t="str">
        <f>IF(B126="","",IF(ISNA(VLOOKUP(A126,'75m'!F$5:G$302,2,FALSE)),"",VLOOKUP(A126,'75m'!F$5:G$302,2,FALSE)))</f>
        <v/>
      </c>
      <c r="G126" s="49">
        <f>IF(B126="",0,IF(ISNA(VLOOKUP(A126,'75m'!F$5:J$302,5,FALSE)),0,VLOOKUP(A126,'75m'!F$5:J$302,5,FALSE)))</f>
        <v>0</v>
      </c>
      <c r="H126" s="49" t="str">
        <f>IF(B126="","",IF(ISNA(VLOOKUP(A126,'75m'!F$5:K$302,6,FALSE)),"",VLOOKUP(A126,'75m'!F$5:K$302,6,FALSE)))</f>
        <v/>
      </c>
      <c r="I126" s="51">
        <f>IF(B126="",0,IF(ISNA(VLOOKUP(A126,'600m'!F$5:J$302,2,FALSE)),0,VLOOKUP(A126,'600m'!F$5:J$302,2,FALSE)))</f>
        <v>0</v>
      </c>
      <c r="J126" s="49">
        <f>IF(B126="",0,IF(ISNA(VLOOKUP(A126,'600m'!F$5:J$302,5,FALSE)),0,VLOOKUP(A126,'600m'!F$5:J$302,5,FALSE)))</f>
        <v>0</v>
      </c>
      <c r="K126" s="49" t="str">
        <f>IF(B126="","",IF(ISNA(VLOOKUP(A126,'600m'!F$5:K$302,6,FALSE)),"",VLOOKUP(A126,'600m'!F$5:K$302,6,FALSE)))</f>
        <v/>
      </c>
      <c r="L126" s="49">
        <f>IF(B126="","",IF(ISNA(VLOOKUP(A126,LongJump!F$5:G$302,2,FALSE)),"",VLOOKUP(A126,LongJump!F$5:G$302,2,FALSE)))</f>
        <v>0</v>
      </c>
      <c r="M126" s="49">
        <f>IF(B126="",0,IF(ISNA(VLOOKUP(A126,LongJump!F$5:J$302,5,FALSE)),0,VLOOKUP(A126,LongJump!F$5:J$302,5,FALSE)))</f>
        <v>0</v>
      </c>
      <c r="N126" s="49" t="str">
        <f>IF(B126="",0,IF(ISNA(VLOOKUP(A126,LongJump!F$5:K$302,6,FALSE)),0,VLOOKUP(A126,LongJump!F$5:K$302,6,FALSE)))</f>
        <v/>
      </c>
      <c r="O126" s="49">
        <f>IF(B126="","",IF(ISNA(VLOOKUP(A126,Vortex!F$5:J$302,2,FALSE)),"",VLOOKUP(A126,Vortex!F$5:J$302,2,FALSE)))</f>
        <v>0</v>
      </c>
      <c r="P126" s="49">
        <f>IF(B126="",0,IF(ISNA(VLOOKUP(A126,Vortex!F$5:J$302,5,FALSE)),0,VLOOKUP(A126,Vortex!F$5:J$302,5,FALSE)))</f>
        <v>0</v>
      </c>
      <c r="Q126" s="49">
        <f t="shared" si="7"/>
        <v>0</v>
      </c>
      <c r="R126" s="49" t="str">
        <f t="shared" si="8"/>
        <v/>
      </c>
      <c r="S126" s="49" t="str">
        <f t="shared" si="9"/>
        <v/>
      </c>
      <c r="T126" s="38"/>
      <c r="X126" s="9"/>
      <c r="Y126" s="9"/>
      <c r="AI126"/>
      <c r="AJ126"/>
    </row>
    <row r="127" spans="1:39" ht="13.95" customHeight="1">
      <c r="A127" s="49">
        <f>IF(Declarations!B100=0,"",Declarations!B100)</f>
        <v>95</v>
      </c>
      <c r="B127" s="150" t="str">
        <f>IF(ISNA(VLOOKUP(A127,Declarations!B$6:C$185,2,FALSE)),"",IF(VLOOKUP(A127,Declarations!B$6:C$185,2,FALSE)="","",VLOOKUP(A127,Declarations!B$6:C$185,2,FALSE)))</f>
        <v>LEONARDO OLALEMI</v>
      </c>
      <c r="C127" s="150" t="str">
        <f>IF(ISNA(VLOOKUP(A127,Declarations!B$6:F$185,5,FALSE)),"",IF(VLOOKUP(A127,Declarations!B$6:F$185,5,FALSE)="","",VLOOKUP(A127,Declarations!B$6:F$185,5,FALSE)))</f>
        <v>Waverley Athletics Club</v>
      </c>
      <c r="D127" s="150" t="str">
        <f>IF(ISNA(VLOOKUP(A127,Declarations!B$6:F$185,4,FALSE)),"",IF(VLOOKUP(A127,Declarations!B$6:F$185,4,FALSE)="","",VLOOKUP(A127,Declarations!B$6:F$185,4,FALSE)))</f>
        <v>BOYS</v>
      </c>
      <c r="E127" s="150" t="str">
        <f>IF(ISNA(VLOOKUP(A127,Declarations!B$6:D$185,3,FALSE)),"",IF(VLOOKUP(A127,Declarations!B$6:D$185,3,FALSE)="","",VLOOKUP(A127,Declarations!B$6:D$185,3,FALSE)))</f>
        <v>U12</v>
      </c>
      <c r="F127" s="49" t="str">
        <f>IF(B127="","",IF(ISNA(VLOOKUP(A127,'75m'!F$5:G$302,2,FALSE)),"",VLOOKUP(A127,'75m'!F$5:G$302,2,FALSE)))</f>
        <v/>
      </c>
      <c r="G127" s="49">
        <f>IF(B127="",0,IF(ISNA(VLOOKUP(A127,'75m'!F$5:J$302,5,FALSE)),0,VLOOKUP(A127,'75m'!F$5:J$302,5,FALSE)))</f>
        <v>0</v>
      </c>
      <c r="H127" s="49" t="str">
        <f>IF(B127="","",IF(ISNA(VLOOKUP(A127,'75m'!F$5:K$302,6,FALSE)),"",VLOOKUP(A127,'75m'!F$5:K$302,6,FALSE)))</f>
        <v/>
      </c>
      <c r="I127" s="51">
        <f>IF(B127="",0,IF(ISNA(VLOOKUP(A127,'600m'!F$5:J$302,2,FALSE)),0,VLOOKUP(A127,'600m'!F$5:J$302,2,FALSE)))</f>
        <v>0</v>
      </c>
      <c r="J127" s="49">
        <f>IF(B127="",0,IF(ISNA(VLOOKUP(A127,'600m'!F$5:J$302,5,FALSE)),0,VLOOKUP(A127,'600m'!F$5:J$302,5,FALSE)))</f>
        <v>0</v>
      </c>
      <c r="K127" s="49" t="str">
        <f>IF(B127="","",IF(ISNA(VLOOKUP(A127,'600m'!F$5:K$302,6,FALSE)),"",VLOOKUP(A127,'600m'!F$5:K$302,6,FALSE)))</f>
        <v/>
      </c>
      <c r="L127" s="49">
        <f>IF(B127="","",IF(ISNA(VLOOKUP(A127,LongJump!F$5:G$302,2,FALSE)),"",VLOOKUP(A127,LongJump!F$5:G$302,2,FALSE)))</f>
        <v>2.29</v>
      </c>
      <c r="M127" s="49">
        <f>IF(B127="",0,IF(ISNA(VLOOKUP(A127,LongJump!F$5:J$302,5,FALSE)),0,VLOOKUP(A127,LongJump!F$5:J$302,5,FALSE)))</f>
        <v>13</v>
      </c>
      <c r="N127" s="49" t="str">
        <f>IF(B127="",0,IF(ISNA(VLOOKUP(A127,LongJump!F$5:K$302,6,FALSE)),0,VLOOKUP(A127,LongJump!F$5:K$302,6,FALSE)))</f>
        <v>PB2</v>
      </c>
      <c r="O127" s="49">
        <f>IF(B127="","",IF(ISNA(VLOOKUP(A127,Vortex!F$5:J$302,2,FALSE)),"",VLOOKUP(A127,Vortex!F$5:J$302,2,FALSE)))</f>
        <v>36.99</v>
      </c>
      <c r="P127" s="49">
        <f>IF(B127="",0,IF(ISNA(VLOOKUP(A127,Vortex!F$5:J$302,5,FALSE)),0,VLOOKUP(A127,Vortex!F$5:J$302,5,FALSE)))</f>
        <v>73</v>
      </c>
      <c r="Q127" s="49">
        <f t="shared" si="7"/>
        <v>86</v>
      </c>
      <c r="R127" s="49">
        <f t="shared" si="8"/>
        <v>5</v>
      </c>
      <c r="S127" s="49">
        <f t="shared" si="9"/>
        <v>47</v>
      </c>
      <c r="T127" s="38"/>
      <c r="X127" s="9"/>
      <c r="Y127" s="9"/>
      <c r="AI127"/>
      <c r="AJ127"/>
    </row>
    <row r="128" spans="1:39" ht="13.95" customHeight="1">
      <c r="A128" s="49">
        <f>IF(Declarations!B101=0,"",Declarations!B101)</f>
        <v>96</v>
      </c>
      <c r="B128" s="150" t="str">
        <f>IF(ISNA(VLOOKUP(A128,Declarations!B$6:C$185,2,FALSE)),"",IF(VLOOKUP(A128,Declarations!B$6:C$185,2,FALSE)="","",VLOOKUP(A128,Declarations!B$6:C$185,2,FALSE)))</f>
        <v>TADHG WATSON</v>
      </c>
      <c r="C128" s="150" t="str">
        <f>IF(ISNA(VLOOKUP(A128,Declarations!B$6:F$185,5,FALSE)),"",IF(VLOOKUP(A128,Declarations!B$6:F$185,5,FALSE)="","",VLOOKUP(A128,Declarations!B$6:F$185,5,FALSE)))</f>
        <v>Waverley Athletics Club</v>
      </c>
      <c r="D128" s="150" t="str">
        <f>IF(ISNA(VLOOKUP(A128,Declarations!B$6:F$185,4,FALSE)),"",IF(VLOOKUP(A128,Declarations!B$6:F$185,4,FALSE)="","",VLOOKUP(A128,Declarations!B$6:F$185,4,FALSE)))</f>
        <v>BOYS</v>
      </c>
      <c r="E128" s="150" t="str">
        <f>IF(ISNA(VLOOKUP(A128,Declarations!B$6:D$185,3,FALSE)),"",IF(VLOOKUP(A128,Declarations!B$6:D$185,3,FALSE)="","",VLOOKUP(A128,Declarations!B$6:D$185,3,FALSE)))</f>
        <v>U12</v>
      </c>
      <c r="F128" s="49" t="str">
        <f>IF(B128="","",IF(ISNA(VLOOKUP(A128,'75m'!F$5:G$302,2,FALSE)),"",VLOOKUP(A128,'75m'!F$5:G$302,2,FALSE)))</f>
        <v/>
      </c>
      <c r="G128" s="49">
        <f>IF(B128="",0,IF(ISNA(VLOOKUP(A128,'75m'!F$5:J$302,5,FALSE)),0,VLOOKUP(A128,'75m'!F$5:J$302,5,FALSE)))</f>
        <v>0</v>
      </c>
      <c r="H128" s="49" t="str">
        <f>IF(B128="","",IF(ISNA(VLOOKUP(A128,'75m'!F$5:K$302,6,FALSE)),"",VLOOKUP(A128,'75m'!F$5:K$302,6,FALSE)))</f>
        <v/>
      </c>
      <c r="I128" s="51">
        <f>IF(B128="",0,IF(ISNA(VLOOKUP(A128,'600m'!F$5:J$302,2,FALSE)),0,VLOOKUP(A128,'600m'!F$5:J$302,2,FALSE)))</f>
        <v>1.5312500000000001E-3</v>
      </c>
      <c r="J128" s="49">
        <f>IF(B128="",0,IF(ISNA(VLOOKUP(A128,'600m'!F$5:J$302,5,FALSE)),0,VLOOKUP(A128,'600m'!F$5:J$302,5,FALSE)))</f>
        <v>57</v>
      </c>
      <c r="K128" s="49" t="str">
        <f>IF(B128="","",IF(ISNA(VLOOKUP(A128,'600m'!F$5:K$302,6,FALSE)),"",VLOOKUP(A128,'600m'!F$5:K$302,6,FALSE)))</f>
        <v>PB2</v>
      </c>
      <c r="L128" s="49">
        <f>IF(B128="","",IF(ISNA(VLOOKUP(A128,LongJump!F$5:G$302,2,FALSE)),"",VLOOKUP(A128,LongJump!F$5:G$302,2,FALSE)))</f>
        <v>2.92</v>
      </c>
      <c r="M128" s="49">
        <f>IF(B128="",0,IF(ISNA(VLOOKUP(A128,LongJump!F$5:J$302,5,FALSE)),0,VLOOKUP(A128,LongJump!F$5:J$302,5,FALSE)))</f>
        <v>34</v>
      </c>
      <c r="N128" s="49" t="str">
        <f>IF(B128="",0,IF(ISNA(VLOOKUP(A128,LongJump!F$5:K$302,6,FALSE)),0,VLOOKUP(A128,LongJump!F$5:K$302,6,FALSE)))</f>
        <v>PB4</v>
      </c>
      <c r="O128" s="49">
        <f>IF(B128="","",IF(ISNA(VLOOKUP(A128,Vortex!F$5:J$302,2,FALSE)),"",VLOOKUP(A128,Vortex!F$5:J$302,2,FALSE)))</f>
        <v>0</v>
      </c>
      <c r="P128" s="49">
        <f>IF(B128="",0,IF(ISNA(VLOOKUP(A128,Vortex!F$5:J$302,5,FALSE)),0,VLOOKUP(A128,Vortex!F$5:J$302,5,FALSE)))</f>
        <v>0</v>
      </c>
      <c r="Q128" s="49">
        <f t="shared" si="7"/>
        <v>91</v>
      </c>
      <c r="R128" s="49">
        <f t="shared" si="8"/>
        <v>4</v>
      </c>
      <c r="S128" s="49">
        <f t="shared" si="9"/>
        <v>46</v>
      </c>
      <c r="T128" s="38"/>
      <c r="X128" s="9"/>
      <c r="Y128" s="9"/>
      <c r="AI128"/>
      <c r="AJ128"/>
    </row>
    <row r="129" spans="1:36" ht="13.95" customHeight="1">
      <c r="A129" s="49">
        <f>IF(Declarations!B102=0,"",Declarations!B102)</f>
        <v>97</v>
      </c>
      <c r="B129" s="150" t="str">
        <f>IF(ISNA(VLOOKUP(A129,Declarations!B$6:C$185,2,FALSE)),"",IF(VLOOKUP(A129,Declarations!B$6:C$185,2,FALSE)="","",VLOOKUP(A129,Declarations!B$6:C$185,2,FALSE)))</f>
        <v>STAN CLIPSHAM</v>
      </c>
      <c r="C129" s="150" t="str">
        <f>IF(ISNA(VLOOKUP(A129,Declarations!B$6:F$185,5,FALSE)),"",IF(VLOOKUP(A129,Declarations!B$6:F$185,5,FALSE)="","",VLOOKUP(A129,Declarations!B$6:F$185,5,FALSE)))</f>
        <v>Waverley Athletics Club</v>
      </c>
      <c r="D129" s="150" t="str">
        <f>IF(ISNA(VLOOKUP(A129,Declarations!B$6:F$185,4,FALSE)),"",IF(VLOOKUP(A129,Declarations!B$6:F$185,4,FALSE)="","",VLOOKUP(A129,Declarations!B$6:F$185,4,FALSE)))</f>
        <v>BOYS</v>
      </c>
      <c r="E129" s="150" t="str">
        <f>IF(ISNA(VLOOKUP(A129,Declarations!B$6:D$185,3,FALSE)),"",IF(VLOOKUP(A129,Declarations!B$6:D$185,3,FALSE)="","",VLOOKUP(A129,Declarations!B$6:D$185,3,FALSE)))</f>
        <v>U12</v>
      </c>
      <c r="F129" s="49" t="str">
        <f>IF(B129="","",IF(ISNA(VLOOKUP(A129,'75m'!F$5:G$302,2,FALSE)),"",VLOOKUP(A129,'75m'!F$5:G$302,2,FALSE)))</f>
        <v/>
      </c>
      <c r="G129" s="49">
        <f>IF(B129="",0,IF(ISNA(VLOOKUP(A129,'75m'!F$5:J$302,5,FALSE)),0,VLOOKUP(A129,'75m'!F$5:J$302,5,FALSE)))</f>
        <v>0</v>
      </c>
      <c r="H129" s="49" t="str">
        <f>IF(B129="","",IF(ISNA(VLOOKUP(A129,'75m'!F$5:K$302,6,FALSE)),"",VLOOKUP(A129,'75m'!F$5:K$302,6,FALSE)))</f>
        <v/>
      </c>
      <c r="I129" s="51">
        <f>IF(B129="",0,IF(ISNA(VLOOKUP(A129,'600m'!F$5:J$302,2,FALSE)),0,VLOOKUP(A129,'600m'!F$5:J$302,2,FALSE)))</f>
        <v>0</v>
      </c>
      <c r="J129" s="49">
        <f>IF(B129="",0,IF(ISNA(VLOOKUP(A129,'600m'!F$5:J$302,5,FALSE)),0,VLOOKUP(A129,'600m'!F$5:J$302,5,FALSE)))</f>
        <v>0</v>
      </c>
      <c r="K129" s="49" t="str">
        <f>IF(B129="","",IF(ISNA(VLOOKUP(A129,'600m'!F$5:K$302,6,FALSE)),"",VLOOKUP(A129,'600m'!F$5:K$302,6,FALSE)))</f>
        <v/>
      </c>
      <c r="L129" s="49">
        <f>IF(B129="","",IF(ISNA(VLOOKUP(A129,LongJump!F$5:G$302,2,FALSE)),"",VLOOKUP(A129,LongJump!F$5:G$302,2,FALSE)))</f>
        <v>0</v>
      </c>
      <c r="M129" s="49">
        <f>IF(B129="",0,IF(ISNA(VLOOKUP(A129,LongJump!F$5:J$302,5,FALSE)),0,VLOOKUP(A129,LongJump!F$5:J$302,5,FALSE)))</f>
        <v>0</v>
      </c>
      <c r="N129" s="49" t="str">
        <f>IF(B129="",0,IF(ISNA(VLOOKUP(A129,LongJump!F$5:K$302,6,FALSE)),0,VLOOKUP(A129,LongJump!F$5:K$302,6,FALSE)))</f>
        <v/>
      </c>
      <c r="O129" s="49">
        <f>IF(B129="","",IF(ISNA(VLOOKUP(A129,Vortex!F$5:J$302,2,FALSE)),"",VLOOKUP(A129,Vortex!F$5:J$302,2,FALSE)))</f>
        <v>0</v>
      </c>
      <c r="P129" s="49">
        <f>IF(B129="",0,IF(ISNA(VLOOKUP(A129,Vortex!F$5:J$302,5,FALSE)),0,VLOOKUP(A129,Vortex!F$5:J$302,5,FALSE)))</f>
        <v>0</v>
      </c>
      <c r="Q129" s="49">
        <f t="shared" si="7"/>
        <v>0</v>
      </c>
      <c r="R129" s="49" t="str">
        <f t="shared" si="8"/>
        <v/>
      </c>
      <c r="S129" s="49" t="str">
        <f t="shared" si="9"/>
        <v/>
      </c>
      <c r="T129" s="38"/>
      <c r="X129" s="9"/>
      <c r="Y129" s="9"/>
      <c r="AI129"/>
      <c r="AJ129"/>
    </row>
    <row r="130" spans="1:36" ht="13.95" customHeight="1">
      <c r="A130" s="49">
        <f>IF(Declarations!B103=0,"",Declarations!B103)</f>
        <v>98</v>
      </c>
      <c r="B130" s="150" t="str">
        <f>IF(ISNA(VLOOKUP(A130,Declarations!B$6:C$185,2,FALSE)),"",IF(VLOOKUP(A130,Declarations!B$6:C$185,2,FALSE)="","",VLOOKUP(A130,Declarations!B$6:C$185,2,FALSE)))</f>
        <v/>
      </c>
      <c r="C130" s="150" t="str">
        <f>IF(ISNA(VLOOKUP(A130,Declarations!B$6:F$185,5,FALSE)),"",IF(VLOOKUP(A130,Declarations!B$6:F$185,5,FALSE)="","",VLOOKUP(A130,Declarations!B$6:F$185,5,FALSE)))</f>
        <v>Waverley Athletics Club</v>
      </c>
      <c r="D130" s="150" t="str">
        <f>IF(ISNA(VLOOKUP(A130,Declarations!B$6:F$185,4,FALSE)),"",IF(VLOOKUP(A130,Declarations!B$6:F$185,4,FALSE)="","",VLOOKUP(A130,Declarations!B$6:F$185,4,FALSE)))</f>
        <v>BOYS</v>
      </c>
      <c r="E130" s="150" t="str">
        <f>IF(ISNA(VLOOKUP(A130,Declarations!B$6:D$185,3,FALSE)),"",IF(VLOOKUP(A130,Declarations!B$6:D$185,3,FALSE)="","",VLOOKUP(A130,Declarations!B$6:D$185,3,FALSE)))</f>
        <v>U12</v>
      </c>
      <c r="F130" s="49" t="str">
        <f>IF(B130="","",IF(ISNA(VLOOKUP(A130,'75m'!F$5:G$302,2,FALSE)),"",VLOOKUP(A130,'75m'!F$5:G$302,2,FALSE)))</f>
        <v/>
      </c>
      <c r="G130" s="49">
        <f>IF(B130="",0,IF(ISNA(VLOOKUP(A130,'75m'!F$5:J$302,5,FALSE)),0,VLOOKUP(A130,'75m'!F$5:J$302,5,FALSE)))</f>
        <v>0</v>
      </c>
      <c r="H130" s="49" t="str">
        <f>IF(B130="","",IF(ISNA(VLOOKUP(A130,'75m'!F$5:K$302,6,FALSE)),"",VLOOKUP(A130,'75m'!F$5:K$302,6,FALSE)))</f>
        <v/>
      </c>
      <c r="I130" s="51">
        <f>IF(B130="",0,IF(ISNA(VLOOKUP(A130,'600m'!F$5:J$302,2,FALSE)),0,VLOOKUP(A130,'600m'!F$5:J$302,2,FALSE)))</f>
        <v>0</v>
      </c>
      <c r="J130" s="49">
        <f>IF(B130="",0,IF(ISNA(VLOOKUP(A130,'600m'!F$5:J$302,5,FALSE)),0,VLOOKUP(A130,'600m'!F$5:J$302,5,FALSE)))</f>
        <v>0</v>
      </c>
      <c r="K130" s="49" t="str">
        <f>IF(B130="","",IF(ISNA(VLOOKUP(A130,'600m'!F$5:K$302,6,FALSE)),"",VLOOKUP(A130,'600m'!F$5:K$302,6,FALSE)))</f>
        <v/>
      </c>
      <c r="L130" s="49" t="str">
        <f>IF(B130="","",IF(ISNA(VLOOKUP(A130,LongJump!F$5:G$302,2,FALSE)),"",VLOOKUP(A130,LongJump!F$5:G$302,2,FALSE)))</f>
        <v/>
      </c>
      <c r="M130" s="49">
        <f>IF(B130="",0,IF(ISNA(VLOOKUP(A130,LongJump!F$5:J$302,5,FALSE)),0,VLOOKUP(A130,LongJump!F$5:J$302,5,FALSE)))</f>
        <v>0</v>
      </c>
      <c r="N130" s="49">
        <f>IF(B130="",0,IF(ISNA(VLOOKUP(A130,LongJump!F$5:K$302,6,FALSE)),0,VLOOKUP(A130,LongJump!F$5:K$302,6,FALSE)))</f>
        <v>0</v>
      </c>
      <c r="O130" s="49" t="str">
        <f>IF(B130="","",IF(ISNA(VLOOKUP(A130,Vortex!F$5:J$302,2,FALSE)),"",VLOOKUP(A130,Vortex!F$5:J$302,2,FALSE)))</f>
        <v/>
      </c>
      <c r="P130" s="49">
        <f>IF(B130="",0,IF(ISNA(VLOOKUP(A130,Vortex!F$5:J$302,5,FALSE)),0,VLOOKUP(A130,Vortex!F$5:J$302,5,FALSE)))</f>
        <v>0</v>
      </c>
      <c r="Q130" s="49">
        <f t="shared" si="7"/>
        <v>0</v>
      </c>
      <c r="R130" s="49" t="str">
        <f t="shared" si="8"/>
        <v/>
      </c>
      <c r="S130" s="49" t="str">
        <f t="shared" si="9"/>
        <v/>
      </c>
      <c r="T130" s="38"/>
      <c r="X130" s="9"/>
      <c r="Y130" s="9"/>
      <c r="AI130"/>
      <c r="AJ130"/>
    </row>
    <row r="131" spans="1:36" ht="13.95" customHeight="1">
      <c r="A131" s="49">
        <f>IF(Declarations!B104=0,"",Declarations!B104)</f>
        <v>99</v>
      </c>
      <c r="B131" s="150" t="str">
        <f>IF(ISNA(VLOOKUP(A131,Declarations!B$6:C$185,2,FALSE)),"",IF(VLOOKUP(A131,Declarations!B$6:C$185,2,FALSE)="","",VLOOKUP(A131,Declarations!B$6:C$185,2,FALSE)))</f>
        <v/>
      </c>
      <c r="C131" s="150" t="str">
        <f>IF(ISNA(VLOOKUP(A131,Declarations!B$6:F$185,5,FALSE)),"",IF(VLOOKUP(A131,Declarations!B$6:F$185,5,FALSE)="","",VLOOKUP(A131,Declarations!B$6:F$185,5,FALSE)))</f>
        <v>Waverley Athletics Club</v>
      </c>
      <c r="D131" s="150" t="str">
        <f>IF(ISNA(VLOOKUP(A131,Declarations!B$6:F$185,4,FALSE)),"",IF(VLOOKUP(A131,Declarations!B$6:F$185,4,FALSE)="","",VLOOKUP(A131,Declarations!B$6:F$185,4,FALSE)))</f>
        <v>BOYS</v>
      </c>
      <c r="E131" s="150" t="str">
        <f>IF(ISNA(VLOOKUP(A131,Declarations!B$6:D$185,3,FALSE)),"",IF(VLOOKUP(A131,Declarations!B$6:D$185,3,FALSE)="","",VLOOKUP(A131,Declarations!B$6:D$185,3,FALSE)))</f>
        <v>U12</v>
      </c>
      <c r="F131" s="49" t="str">
        <f>IF(B131="","",IF(ISNA(VLOOKUP(A131,'75m'!F$5:G$302,2,FALSE)),"",VLOOKUP(A131,'75m'!F$5:G$302,2,FALSE)))</f>
        <v/>
      </c>
      <c r="G131" s="49">
        <f>IF(B131="",0,IF(ISNA(VLOOKUP(A131,'75m'!F$5:J$302,5,FALSE)),0,VLOOKUP(A131,'75m'!F$5:J$302,5,FALSE)))</f>
        <v>0</v>
      </c>
      <c r="H131" s="49" t="str">
        <f>IF(B131="","",IF(ISNA(VLOOKUP(A131,'75m'!F$5:K$302,6,FALSE)),"",VLOOKUP(A131,'75m'!F$5:K$302,6,FALSE)))</f>
        <v/>
      </c>
      <c r="I131" s="51">
        <f>IF(B131="",0,IF(ISNA(VLOOKUP(A131,'600m'!F$5:J$302,2,FALSE)),0,VLOOKUP(A131,'600m'!F$5:J$302,2,FALSE)))</f>
        <v>0</v>
      </c>
      <c r="J131" s="49">
        <f>IF(B131="",0,IF(ISNA(VLOOKUP(A131,'600m'!F$5:J$302,5,FALSE)),0,VLOOKUP(A131,'600m'!F$5:J$302,5,FALSE)))</f>
        <v>0</v>
      </c>
      <c r="K131" s="49" t="str">
        <f>IF(B131="","",IF(ISNA(VLOOKUP(A131,'600m'!F$5:K$302,6,FALSE)),"",VLOOKUP(A131,'600m'!F$5:K$302,6,FALSE)))</f>
        <v/>
      </c>
      <c r="L131" s="49" t="str">
        <f>IF(B131="","",IF(ISNA(VLOOKUP(A131,LongJump!F$5:G$302,2,FALSE)),"",VLOOKUP(A131,LongJump!F$5:G$302,2,FALSE)))</f>
        <v/>
      </c>
      <c r="M131" s="49">
        <f>IF(B131="",0,IF(ISNA(VLOOKUP(A131,LongJump!F$5:J$302,5,FALSE)),0,VLOOKUP(A131,LongJump!F$5:J$302,5,FALSE)))</f>
        <v>0</v>
      </c>
      <c r="N131" s="49">
        <f>IF(B131="",0,IF(ISNA(VLOOKUP(A131,LongJump!F$5:K$302,6,FALSE)),0,VLOOKUP(A131,LongJump!F$5:K$302,6,FALSE)))</f>
        <v>0</v>
      </c>
      <c r="O131" s="49" t="str">
        <f>IF(B131="","",IF(ISNA(VLOOKUP(A131,Vortex!F$5:J$302,2,FALSE)),"",VLOOKUP(A131,Vortex!F$5:J$302,2,FALSE)))</f>
        <v/>
      </c>
      <c r="P131" s="49">
        <f>IF(B131="",0,IF(ISNA(VLOOKUP(A131,Vortex!F$5:J$302,5,FALSE)),0,VLOOKUP(A131,Vortex!F$5:J$302,5,FALSE)))</f>
        <v>0</v>
      </c>
      <c r="Q131" s="49">
        <f t="shared" si="7"/>
        <v>0</v>
      </c>
      <c r="R131" s="49" t="str">
        <f t="shared" si="8"/>
        <v/>
      </c>
      <c r="S131" s="49" t="str">
        <f t="shared" si="9"/>
        <v/>
      </c>
      <c r="T131" s="38"/>
      <c r="X131" s="9"/>
      <c r="Y131" s="9"/>
      <c r="AI131"/>
      <c r="AJ131"/>
    </row>
    <row r="132" spans="1:36" ht="13.95" customHeight="1">
      <c r="A132" s="49">
        <f>IF(Declarations!B105=0,"",Declarations!B105)</f>
        <v>100</v>
      </c>
      <c r="B132" s="150" t="str">
        <f>IF(ISNA(VLOOKUP(A132,Declarations!B$6:C$185,2,FALSE)),"",IF(VLOOKUP(A132,Declarations!B$6:C$185,2,FALSE)="","",VLOOKUP(A132,Declarations!B$6:C$185,2,FALSE)))</f>
        <v/>
      </c>
      <c r="C132" s="150" t="str">
        <f>IF(ISNA(VLOOKUP(A132,Declarations!B$6:F$185,5,FALSE)),"",IF(VLOOKUP(A132,Declarations!B$6:F$185,5,FALSE)="","",VLOOKUP(A132,Declarations!B$6:F$185,5,FALSE)))</f>
        <v>Waverley Athletics Club</v>
      </c>
      <c r="D132" s="150" t="str">
        <f>IF(ISNA(VLOOKUP(A132,Declarations!B$6:F$185,4,FALSE)),"",IF(VLOOKUP(A132,Declarations!B$6:F$185,4,FALSE)="","",VLOOKUP(A132,Declarations!B$6:F$185,4,FALSE)))</f>
        <v>BOYS</v>
      </c>
      <c r="E132" s="150" t="str">
        <f>IF(ISNA(VLOOKUP(A132,Declarations!B$6:D$185,3,FALSE)),"",IF(VLOOKUP(A132,Declarations!B$6:D$185,3,FALSE)="","",VLOOKUP(A132,Declarations!B$6:D$185,3,FALSE)))</f>
        <v>U12</v>
      </c>
      <c r="F132" s="49" t="str">
        <f>IF(B132="","",IF(ISNA(VLOOKUP(A132,'75m'!F$5:G$302,2,FALSE)),"",VLOOKUP(A132,'75m'!F$5:G$302,2,FALSE)))</f>
        <v/>
      </c>
      <c r="G132" s="49">
        <f>IF(B132="",0,IF(ISNA(VLOOKUP(A132,'75m'!F$5:J$302,5,FALSE)),0,VLOOKUP(A132,'75m'!F$5:J$302,5,FALSE)))</f>
        <v>0</v>
      </c>
      <c r="H132" s="49" t="str">
        <f>IF(B132="","",IF(ISNA(VLOOKUP(A132,'75m'!F$5:K$302,6,FALSE)),"",VLOOKUP(A132,'75m'!F$5:K$302,6,FALSE)))</f>
        <v/>
      </c>
      <c r="I132" s="51">
        <f>IF(B132="",0,IF(ISNA(VLOOKUP(A132,'600m'!F$5:J$302,2,FALSE)),0,VLOOKUP(A132,'600m'!F$5:J$302,2,FALSE)))</f>
        <v>0</v>
      </c>
      <c r="J132" s="49">
        <f>IF(B132="",0,IF(ISNA(VLOOKUP(A132,'600m'!F$5:J$302,5,FALSE)),0,VLOOKUP(A132,'600m'!F$5:J$302,5,FALSE)))</f>
        <v>0</v>
      </c>
      <c r="K132" s="49" t="str">
        <f>IF(B132="","",IF(ISNA(VLOOKUP(A132,'600m'!F$5:K$302,6,FALSE)),"",VLOOKUP(A132,'600m'!F$5:K$302,6,FALSE)))</f>
        <v/>
      </c>
      <c r="L132" s="49" t="str">
        <f>IF(B132="","",IF(ISNA(VLOOKUP(A132,LongJump!F$5:G$302,2,FALSE)),"",VLOOKUP(A132,LongJump!F$5:G$302,2,FALSE)))</f>
        <v/>
      </c>
      <c r="M132" s="49">
        <f>IF(B132="",0,IF(ISNA(VLOOKUP(A132,LongJump!F$5:J$302,5,FALSE)),0,VLOOKUP(A132,LongJump!F$5:J$302,5,FALSE)))</f>
        <v>0</v>
      </c>
      <c r="N132" s="49">
        <f>IF(B132="",0,IF(ISNA(VLOOKUP(A132,LongJump!F$5:K$302,6,FALSE)),0,VLOOKUP(A132,LongJump!F$5:K$302,6,FALSE)))</f>
        <v>0</v>
      </c>
      <c r="O132" s="49" t="str">
        <f>IF(B132="","",IF(ISNA(VLOOKUP(A132,Vortex!F$5:J$302,2,FALSE)),"",VLOOKUP(A132,Vortex!F$5:J$302,2,FALSE)))</f>
        <v/>
      </c>
      <c r="P132" s="49">
        <f>IF(B132="",0,IF(ISNA(VLOOKUP(A132,Vortex!F$5:J$302,5,FALSE)),0,VLOOKUP(A132,Vortex!F$5:J$302,5,FALSE)))</f>
        <v>0</v>
      </c>
      <c r="Q132" s="49">
        <f t="shared" si="7"/>
        <v>0</v>
      </c>
      <c r="R132" s="49" t="str">
        <f t="shared" si="8"/>
        <v/>
      </c>
      <c r="S132" s="49" t="str">
        <f t="shared" si="9"/>
        <v/>
      </c>
      <c r="T132" s="38"/>
      <c r="X132" s="9"/>
      <c r="Y132" s="9"/>
      <c r="AI132"/>
      <c r="AJ132"/>
    </row>
    <row r="133" spans="1:36" ht="13.95" customHeight="1">
      <c r="A133" s="49">
        <f>IF(Declarations!B106=0,"",Declarations!B106)</f>
        <v>101</v>
      </c>
      <c r="B133" s="150" t="str">
        <f>IF(ISNA(VLOOKUP(A133,Declarations!B$6:C$185,2,FALSE)),"",IF(VLOOKUP(A133,Declarations!B$6:C$185,2,FALSE)="","",VLOOKUP(A133,Declarations!B$6:C$185,2,FALSE)))</f>
        <v>LYRA JINKS</v>
      </c>
      <c r="C133" s="150" t="str">
        <f>IF(ISNA(VLOOKUP(A133,Declarations!B$6:F$185,5,FALSE)),"",IF(VLOOKUP(A133,Declarations!B$6:F$185,5,FALSE)="","",VLOOKUP(A133,Declarations!B$6:F$185,5,FALSE)))</f>
        <v>Basingstoke &amp; Mid Hants AC</v>
      </c>
      <c r="D133" s="150" t="str">
        <f>IF(ISNA(VLOOKUP(A133,Declarations!B$6:F$185,4,FALSE)),"",IF(VLOOKUP(A133,Declarations!B$6:F$185,4,FALSE)="","",VLOOKUP(A133,Declarations!B$6:F$185,4,FALSE)))</f>
        <v>GIRLS</v>
      </c>
      <c r="E133" s="150" t="str">
        <f>IF(ISNA(VLOOKUP(A133,Declarations!B$6:D$185,3,FALSE)),"",IF(VLOOKUP(A133,Declarations!B$6:D$185,3,FALSE)="","",VLOOKUP(A133,Declarations!B$6:D$185,3,FALSE)))</f>
        <v>U12</v>
      </c>
      <c r="F133" s="49">
        <f>IF(B133="","",IF(ISNA(VLOOKUP(A133,'75m'!F$5:G$302,2,FALSE)),"",VLOOKUP(A133,'75m'!F$5:G$302,2,FALSE)))</f>
        <v>12.7</v>
      </c>
      <c r="G133" s="49">
        <f>IF(B133="",0,IF(ISNA(VLOOKUP(A133,'75m'!F$5:J$302,5,FALSE)),0,VLOOKUP(A133,'75m'!F$5:J$302,5,FALSE)))</f>
        <v>43</v>
      </c>
      <c r="H133" s="49" t="str">
        <f>IF(B133="","",IF(ISNA(VLOOKUP(A133,'75m'!F$5:K$302,6,FALSE)),"",VLOOKUP(A133,'75m'!F$5:K$302,6,FALSE)))</f>
        <v>PB6</v>
      </c>
      <c r="I133" s="51">
        <f>IF(B133="",0,IF(ISNA(VLOOKUP(A133,'600m'!F$5:J$302,2,FALSE)),0,VLOOKUP(A133,'600m'!F$5:J$302,2,FALSE)))</f>
        <v>1.5798611111111111E-3</v>
      </c>
      <c r="J133" s="49">
        <f>IF(B133="",0,IF(ISNA(VLOOKUP(A133,'600m'!F$5:J$302,5,FALSE)),0,VLOOKUP(A133,'600m'!F$5:J$302,5,FALSE)))</f>
        <v>53</v>
      </c>
      <c r="K133" s="49" t="str">
        <f>IF(B133="","",IF(ISNA(VLOOKUP(A133,'600m'!F$5:K$302,6,FALSE)),"",VLOOKUP(A133,'600m'!F$5:K$302,6,FALSE)))</f>
        <v>PB2</v>
      </c>
      <c r="L133" s="49">
        <f>IF(B133="","",IF(ISNA(VLOOKUP(A133,LongJump!F$5:G$302,2,FALSE)),"",VLOOKUP(A133,LongJump!F$5:G$302,2,FALSE)))</f>
        <v>2.88</v>
      </c>
      <c r="M133" s="49">
        <f>IF(B133="",0,IF(ISNA(VLOOKUP(A133,LongJump!F$5:J$302,5,FALSE)),0,VLOOKUP(A133,LongJump!F$5:J$302,5,FALSE)))</f>
        <v>32</v>
      </c>
      <c r="N133" s="49" t="str">
        <f>IF(B133="",0,IF(ISNA(VLOOKUP(A133,LongJump!F$5:K$302,6,FALSE)),0,VLOOKUP(A133,LongJump!F$5:K$302,6,FALSE)))</f>
        <v>PB5</v>
      </c>
      <c r="O133" s="49">
        <f>IF(B133="","",IF(ISNA(VLOOKUP(A133,Vortex!F$5:J$302,2,FALSE)),"",VLOOKUP(A133,Vortex!F$5:J$302,2,FALSE)))</f>
        <v>11.46</v>
      </c>
      <c r="P133" s="49">
        <f>IF(B133="",0,IF(ISNA(VLOOKUP(A133,Vortex!F$5:J$302,5,FALSE)),0,VLOOKUP(A133,Vortex!F$5:J$302,5,FALSE)))</f>
        <v>22</v>
      </c>
      <c r="Q133" s="49">
        <f t="shared" si="7"/>
        <v>150</v>
      </c>
      <c r="R133" s="49">
        <f t="shared" si="8"/>
        <v>5</v>
      </c>
      <c r="S133" s="49">
        <f t="shared" si="9"/>
        <v>34</v>
      </c>
      <c r="T133" s="38"/>
      <c r="X133" s="9"/>
      <c r="Y133" s="9"/>
      <c r="AI133"/>
      <c r="AJ133"/>
    </row>
    <row r="134" spans="1:36" ht="13.95" customHeight="1">
      <c r="A134" s="49">
        <f>IF(Declarations!B107=0,"",Declarations!B107)</f>
        <v>102</v>
      </c>
      <c r="B134" s="150" t="str">
        <f>IF(ISNA(VLOOKUP(A134,Declarations!B$6:C$185,2,FALSE)),"",IF(VLOOKUP(A134,Declarations!B$6:C$185,2,FALSE)="","",VLOOKUP(A134,Declarations!B$6:C$185,2,FALSE)))</f>
        <v>NORA POFF</v>
      </c>
      <c r="C134" s="150" t="str">
        <f>IF(ISNA(VLOOKUP(A134,Declarations!B$6:F$185,5,FALSE)),"",IF(VLOOKUP(A134,Declarations!B$6:F$185,5,FALSE)="","",VLOOKUP(A134,Declarations!B$6:F$185,5,FALSE)))</f>
        <v>Basingstoke &amp; Mid Hants AC</v>
      </c>
      <c r="D134" s="150" t="str">
        <f>IF(ISNA(VLOOKUP(A134,Declarations!B$6:F$185,4,FALSE)),"",IF(VLOOKUP(A134,Declarations!B$6:F$185,4,FALSE)="","",VLOOKUP(A134,Declarations!B$6:F$185,4,FALSE)))</f>
        <v>GIRLS</v>
      </c>
      <c r="E134" s="150" t="str">
        <f>IF(ISNA(VLOOKUP(A134,Declarations!B$6:D$185,3,FALSE)),"",IF(VLOOKUP(A134,Declarations!B$6:D$185,3,FALSE)="","",VLOOKUP(A134,Declarations!B$6:D$185,3,FALSE)))</f>
        <v>U12</v>
      </c>
      <c r="F134" s="49">
        <f>IF(B134="","",IF(ISNA(VLOOKUP(A134,'75m'!F$5:G$302,2,FALSE)),"",VLOOKUP(A134,'75m'!F$5:G$302,2,FALSE)))</f>
        <v>12.5</v>
      </c>
      <c r="G134" s="49">
        <f>IF(B134="",0,IF(ISNA(VLOOKUP(A134,'75m'!F$5:J$302,5,FALSE)),0,VLOOKUP(A134,'75m'!F$5:J$302,5,FALSE)))</f>
        <v>45</v>
      </c>
      <c r="H134" s="49" t="str">
        <f>IF(B134="","",IF(ISNA(VLOOKUP(A134,'75m'!F$5:K$302,6,FALSE)),"",VLOOKUP(A134,'75m'!F$5:K$302,6,FALSE)))</f>
        <v>PB7</v>
      </c>
      <c r="I134" s="51">
        <f>IF(B134="",0,IF(ISNA(VLOOKUP(A134,'600m'!F$5:J$302,2,FALSE)),0,VLOOKUP(A134,'600m'!F$5:J$302,2,FALSE)))</f>
        <v>1.5312500000000001E-3</v>
      </c>
      <c r="J134" s="49">
        <f>IF(B134="",0,IF(ISNA(VLOOKUP(A134,'600m'!F$5:J$302,5,FALSE)),0,VLOOKUP(A134,'600m'!F$5:J$302,5,FALSE)))</f>
        <v>57</v>
      </c>
      <c r="K134" s="49" t="str">
        <f>IF(B134="","",IF(ISNA(VLOOKUP(A134,'600m'!F$5:K$302,6,FALSE)),"",VLOOKUP(A134,'600m'!F$5:K$302,6,FALSE)))</f>
        <v>PB3</v>
      </c>
      <c r="L134" s="49">
        <f>IF(B134="","",IF(ISNA(VLOOKUP(A134,LongJump!F$5:G$302,2,FALSE)),"",VLOOKUP(A134,LongJump!F$5:G$302,2,FALSE)))</f>
        <v>2.87</v>
      </c>
      <c r="M134" s="49">
        <f>IF(B134="",0,IF(ISNA(VLOOKUP(A134,LongJump!F$5:J$302,5,FALSE)),0,VLOOKUP(A134,LongJump!F$5:J$302,5,FALSE)))</f>
        <v>32</v>
      </c>
      <c r="N134" s="49" t="str">
        <f>IF(B134="",0,IF(ISNA(VLOOKUP(A134,LongJump!F$5:K$302,6,FALSE)),0,VLOOKUP(A134,LongJump!F$5:K$302,6,FALSE)))</f>
        <v>PB5</v>
      </c>
      <c r="O134" s="49">
        <f>IF(B134="","",IF(ISNA(VLOOKUP(A134,Vortex!F$5:J$302,2,FALSE)),"",VLOOKUP(A134,Vortex!F$5:J$302,2,FALSE)))</f>
        <v>15.4</v>
      </c>
      <c r="P134" s="49">
        <f>IF(B134="",0,IF(ISNA(VLOOKUP(A134,Vortex!F$5:J$302,5,FALSE)),0,VLOOKUP(A134,Vortex!F$5:J$302,5,FALSE)))</f>
        <v>30</v>
      </c>
      <c r="Q134" s="49">
        <f t="shared" si="7"/>
        <v>164</v>
      </c>
      <c r="R134" s="49">
        <f t="shared" si="8"/>
        <v>2</v>
      </c>
      <c r="S134" s="49">
        <f t="shared" si="9"/>
        <v>26</v>
      </c>
      <c r="T134" s="38"/>
      <c r="X134" s="9"/>
      <c r="Y134" s="9"/>
      <c r="AI134"/>
      <c r="AJ134"/>
    </row>
    <row r="135" spans="1:36" ht="13.95" customHeight="1">
      <c r="A135" s="49">
        <f>IF(Declarations!B108=0,"",Declarations!B108)</f>
        <v>103</v>
      </c>
      <c r="B135" s="150" t="str">
        <f>IF(ISNA(VLOOKUP(A135,Declarations!B$6:C$185,2,FALSE)),"",IF(VLOOKUP(A135,Declarations!B$6:C$185,2,FALSE)="","",VLOOKUP(A135,Declarations!B$6:C$185,2,FALSE)))</f>
        <v>ISLA HOBBINS</v>
      </c>
      <c r="C135" s="150" t="str">
        <f>IF(ISNA(VLOOKUP(A135,Declarations!B$6:F$185,5,FALSE)),"",IF(VLOOKUP(A135,Declarations!B$6:F$185,5,FALSE)="","",VLOOKUP(A135,Declarations!B$6:F$185,5,FALSE)))</f>
        <v>Basingstoke &amp; Mid Hants AC</v>
      </c>
      <c r="D135" s="150" t="str">
        <f>IF(ISNA(VLOOKUP(A135,Declarations!B$6:F$185,4,FALSE)),"",IF(VLOOKUP(A135,Declarations!B$6:F$185,4,FALSE)="","",VLOOKUP(A135,Declarations!B$6:F$185,4,FALSE)))</f>
        <v>GIRLS</v>
      </c>
      <c r="E135" s="150" t="str">
        <f>IF(ISNA(VLOOKUP(A135,Declarations!B$6:D$185,3,FALSE)),"",IF(VLOOKUP(A135,Declarations!B$6:D$185,3,FALSE)="","",VLOOKUP(A135,Declarations!B$6:D$185,3,FALSE)))</f>
        <v>U12</v>
      </c>
      <c r="F135" s="49">
        <f>IF(B135="","",IF(ISNA(VLOOKUP(A135,'75m'!F$5:G$302,2,FALSE)),"",VLOOKUP(A135,'75m'!F$5:G$302,2,FALSE)))</f>
        <v>12.6</v>
      </c>
      <c r="G135" s="49">
        <f>IF(B135="",0,IF(ISNA(VLOOKUP(A135,'75m'!F$5:J$302,5,FALSE)),0,VLOOKUP(A135,'75m'!F$5:J$302,5,FALSE)))</f>
        <v>44</v>
      </c>
      <c r="H135" s="49" t="str">
        <f>IF(B135="","",IF(ISNA(VLOOKUP(A135,'75m'!F$5:K$302,6,FALSE)),"",VLOOKUP(A135,'75m'!F$5:K$302,6,FALSE)))</f>
        <v>PB6</v>
      </c>
      <c r="I135" s="51">
        <f>IF(B135="",0,IF(ISNA(VLOOKUP(A135,'600m'!F$5:J$302,2,FALSE)),0,VLOOKUP(A135,'600m'!F$5:J$302,2,FALSE)))</f>
        <v>1.5879629629629629E-3</v>
      </c>
      <c r="J135" s="49">
        <f>IF(B135="",0,IF(ISNA(VLOOKUP(A135,'600m'!F$5:J$302,5,FALSE)),0,VLOOKUP(A135,'600m'!F$5:J$302,5,FALSE)))</f>
        <v>52</v>
      </c>
      <c r="K135" s="49" t="str">
        <f>IF(B135="","",IF(ISNA(VLOOKUP(A135,'600m'!F$5:K$302,6,FALSE)),"",VLOOKUP(A135,'600m'!F$5:K$302,6,FALSE)))</f>
        <v>PB2</v>
      </c>
      <c r="L135" s="49">
        <f>IF(B135="","",IF(ISNA(VLOOKUP(A135,LongJump!F$5:G$302,2,FALSE)),"",VLOOKUP(A135,LongJump!F$5:G$302,2,FALSE)))</f>
        <v>2.83</v>
      </c>
      <c r="M135" s="49">
        <f>IF(B135="",0,IF(ISNA(VLOOKUP(A135,LongJump!F$5:J$302,5,FALSE)),0,VLOOKUP(A135,LongJump!F$5:J$302,5,FALSE)))</f>
        <v>31</v>
      </c>
      <c r="N135" s="49" t="str">
        <f>IF(B135="",0,IF(ISNA(VLOOKUP(A135,LongJump!F$5:K$302,6,FALSE)),0,VLOOKUP(A135,LongJump!F$5:K$302,6,FALSE)))</f>
        <v>PB5</v>
      </c>
      <c r="O135" s="49">
        <f>IF(B135="","",IF(ISNA(VLOOKUP(A135,Vortex!F$5:J$302,2,FALSE)),"",VLOOKUP(A135,Vortex!F$5:J$302,2,FALSE)))</f>
        <v>17.350000000000001</v>
      </c>
      <c r="P135" s="49">
        <f>IF(B135="",0,IF(ISNA(VLOOKUP(A135,Vortex!F$5:J$302,5,FALSE)),0,VLOOKUP(A135,Vortex!F$5:J$302,5,FALSE)))</f>
        <v>34</v>
      </c>
      <c r="Q135" s="49">
        <f t="shared" si="7"/>
        <v>161</v>
      </c>
      <c r="R135" s="49">
        <f t="shared" si="8"/>
        <v>3</v>
      </c>
      <c r="S135" s="49">
        <f t="shared" si="9"/>
        <v>29</v>
      </c>
      <c r="T135" s="38"/>
      <c r="X135" s="9"/>
      <c r="Y135" s="9"/>
      <c r="AI135"/>
      <c r="AJ135"/>
    </row>
    <row r="136" spans="1:36" ht="13.95" customHeight="1">
      <c r="A136" s="49">
        <f>IF(Declarations!B109=0,"",Declarations!B109)</f>
        <v>104</v>
      </c>
      <c r="B136" s="150" t="str">
        <f>IF(ISNA(VLOOKUP(A136,Declarations!B$6:C$185,2,FALSE)),"",IF(VLOOKUP(A136,Declarations!B$6:C$185,2,FALSE)="","",VLOOKUP(A136,Declarations!B$6:C$185,2,FALSE)))</f>
        <v>BEATRICE MONCAD</v>
      </c>
      <c r="C136" s="150" t="str">
        <f>IF(ISNA(VLOOKUP(A136,Declarations!B$6:F$185,5,FALSE)),"",IF(VLOOKUP(A136,Declarations!B$6:F$185,5,FALSE)="","",VLOOKUP(A136,Declarations!B$6:F$185,5,FALSE)))</f>
        <v>Basingstoke &amp; Mid Hants AC</v>
      </c>
      <c r="D136" s="150" t="str">
        <f>IF(ISNA(VLOOKUP(A136,Declarations!B$6:F$185,4,FALSE)),"",IF(VLOOKUP(A136,Declarations!B$6:F$185,4,FALSE)="","",VLOOKUP(A136,Declarations!B$6:F$185,4,FALSE)))</f>
        <v>GIRLS</v>
      </c>
      <c r="E136" s="150" t="str">
        <f>IF(ISNA(VLOOKUP(A136,Declarations!B$6:D$185,3,FALSE)),"",IF(VLOOKUP(A136,Declarations!B$6:D$185,3,FALSE)="","",VLOOKUP(A136,Declarations!B$6:D$185,3,FALSE)))</f>
        <v>U12</v>
      </c>
      <c r="F136" s="49">
        <f>IF(B136="","",IF(ISNA(VLOOKUP(A136,'75m'!F$5:G$302,2,FALSE)),"",VLOOKUP(A136,'75m'!F$5:G$302,2,FALSE)))</f>
        <v>12.4</v>
      </c>
      <c r="G136" s="49">
        <f>IF(B136="",0,IF(ISNA(VLOOKUP(A136,'75m'!F$5:J$302,5,FALSE)),0,VLOOKUP(A136,'75m'!F$5:J$302,5,FALSE)))</f>
        <v>46</v>
      </c>
      <c r="H136" s="49" t="str">
        <f>IF(B136="","",IF(ISNA(VLOOKUP(A136,'75m'!F$5:K$302,6,FALSE)),"",VLOOKUP(A136,'75m'!F$5:K$302,6,FALSE)))</f>
        <v>PB7</v>
      </c>
      <c r="I136" s="51">
        <f>IF(B136="",0,IF(ISNA(VLOOKUP(A136,'600m'!F$5:J$302,2,FALSE)),0,VLOOKUP(A136,'600m'!F$5:J$302,2,FALSE)))</f>
        <v>1.5405092592592593E-3</v>
      </c>
      <c r="J136" s="49">
        <f>IF(B136="",0,IF(ISNA(VLOOKUP(A136,'600m'!F$5:J$302,5,FALSE)),0,VLOOKUP(A136,'600m'!F$5:J$302,5,FALSE)))</f>
        <v>56</v>
      </c>
      <c r="K136" s="49" t="str">
        <f>IF(B136="","",IF(ISNA(VLOOKUP(A136,'600m'!F$5:K$302,6,FALSE)),"",VLOOKUP(A136,'600m'!F$5:K$302,6,FALSE)))</f>
        <v>PB3</v>
      </c>
      <c r="L136" s="49">
        <f>IF(B136="","",IF(ISNA(VLOOKUP(A136,LongJump!F$5:G$302,2,FALSE)),"",VLOOKUP(A136,LongJump!F$5:G$302,2,FALSE)))</f>
        <v>2.5499999999999998</v>
      </c>
      <c r="M136" s="49">
        <f>IF(B136="",0,IF(ISNA(VLOOKUP(A136,LongJump!F$5:J$302,5,FALSE)),0,VLOOKUP(A136,LongJump!F$5:J$302,5,FALSE)))</f>
        <v>21</v>
      </c>
      <c r="N136" s="49" t="str">
        <f>IF(B136="",0,IF(ISNA(VLOOKUP(A136,LongJump!F$5:K$302,6,FALSE)),0,VLOOKUP(A136,LongJump!F$5:K$302,6,FALSE)))</f>
        <v>PB4</v>
      </c>
      <c r="O136" s="49">
        <f>IF(B136="","",IF(ISNA(VLOOKUP(A136,Vortex!F$5:J$302,2,FALSE)),"",VLOOKUP(A136,Vortex!F$5:J$302,2,FALSE)))</f>
        <v>14.13</v>
      </c>
      <c r="P136" s="49">
        <f>IF(B136="",0,IF(ISNA(VLOOKUP(A136,Vortex!F$5:J$302,5,FALSE)),0,VLOOKUP(A136,Vortex!F$5:J$302,5,FALSE)))</f>
        <v>28</v>
      </c>
      <c r="Q136" s="49">
        <f t="shared" si="7"/>
        <v>151</v>
      </c>
      <c r="R136" s="49">
        <f t="shared" si="8"/>
        <v>4</v>
      </c>
      <c r="S136" s="49">
        <f t="shared" si="9"/>
        <v>32</v>
      </c>
      <c r="T136" s="38"/>
      <c r="X136" s="9"/>
      <c r="Y136" s="9"/>
      <c r="AI136"/>
      <c r="AJ136"/>
    </row>
    <row r="137" spans="1:36" ht="13.95" customHeight="1">
      <c r="A137" s="49">
        <f>IF(Declarations!B110=0,"",Declarations!B110)</f>
        <v>105</v>
      </c>
      <c r="B137" s="150" t="str">
        <f>IF(ISNA(VLOOKUP(A137,Declarations!B$6:C$185,2,FALSE)),"",IF(VLOOKUP(A137,Declarations!B$6:C$185,2,FALSE)="","",VLOOKUP(A137,Declarations!B$6:C$185,2,FALSE)))</f>
        <v>BETH BOLE</v>
      </c>
      <c r="C137" s="150" t="str">
        <f>IF(ISNA(VLOOKUP(A137,Declarations!B$6:F$185,5,FALSE)),"",IF(VLOOKUP(A137,Declarations!B$6:F$185,5,FALSE)="","",VLOOKUP(A137,Declarations!B$6:F$185,5,FALSE)))</f>
        <v>Basingstoke &amp; Mid Hants AC</v>
      </c>
      <c r="D137" s="150" t="str">
        <f>IF(ISNA(VLOOKUP(A137,Declarations!B$6:F$185,4,FALSE)),"",IF(VLOOKUP(A137,Declarations!B$6:F$185,4,FALSE)="","",VLOOKUP(A137,Declarations!B$6:F$185,4,FALSE)))</f>
        <v>GIRLS</v>
      </c>
      <c r="E137" s="150" t="str">
        <f>IF(ISNA(VLOOKUP(A137,Declarations!B$6:D$185,3,FALSE)),"",IF(VLOOKUP(A137,Declarations!B$6:D$185,3,FALSE)="","",VLOOKUP(A137,Declarations!B$6:D$185,3,FALSE)))</f>
        <v>U12</v>
      </c>
      <c r="F137" s="49">
        <f>IF(B137="","",IF(ISNA(VLOOKUP(A137,'75m'!F$5:G$302,2,FALSE)),"",VLOOKUP(A137,'75m'!F$5:G$302,2,FALSE)))</f>
        <v>13.5</v>
      </c>
      <c r="G137" s="49">
        <f>IF(B137="",0,IF(ISNA(VLOOKUP(A137,'75m'!F$5:J$302,5,FALSE)),0,VLOOKUP(A137,'75m'!F$5:J$302,5,FALSE)))</f>
        <v>35</v>
      </c>
      <c r="H137" s="49" t="str">
        <f>IF(B137="","",IF(ISNA(VLOOKUP(A137,'75m'!F$5:K$302,6,FALSE)),"",VLOOKUP(A137,'75m'!F$5:K$302,6,FALSE)))</f>
        <v>PB5</v>
      </c>
      <c r="I137" s="51">
        <f>IF(B137="",0,IF(ISNA(VLOOKUP(A137,'600m'!F$5:J$302,2,FALSE)),0,VLOOKUP(A137,'600m'!F$5:J$302,2,FALSE)))</f>
        <v>1.6932870370370372E-3</v>
      </c>
      <c r="J137" s="49">
        <f>IF(B137="",0,IF(ISNA(VLOOKUP(A137,'600m'!F$5:J$302,5,FALSE)),0,VLOOKUP(A137,'600m'!F$5:J$302,5,FALSE)))</f>
        <v>43</v>
      </c>
      <c r="K137" s="49" t="str">
        <f>IF(B137="","",IF(ISNA(VLOOKUP(A137,'600m'!F$5:K$302,6,FALSE)),"",VLOOKUP(A137,'600m'!F$5:K$302,6,FALSE)))</f>
        <v>PB1</v>
      </c>
      <c r="L137" s="49">
        <f>IF(B137="","",IF(ISNA(VLOOKUP(A137,LongJump!F$5:G$302,2,FALSE)),"",VLOOKUP(A137,LongJump!F$5:G$302,2,FALSE)))</f>
        <v>2.83</v>
      </c>
      <c r="M137" s="49">
        <f>IF(B137="",0,IF(ISNA(VLOOKUP(A137,LongJump!F$5:J$302,5,FALSE)),0,VLOOKUP(A137,LongJump!F$5:J$302,5,FALSE)))</f>
        <v>31</v>
      </c>
      <c r="N137" s="49" t="str">
        <f>IF(B137="",0,IF(ISNA(VLOOKUP(A137,LongJump!F$5:K$302,6,FALSE)),0,VLOOKUP(A137,LongJump!F$5:K$302,6,FALSE)))</f>
        <v>PB5</v>
      </c>
      <c r="O137" s="49">
        <f>IF(B137="","",IF(ISNA(VLOOKUP(A137,Vortex!F$5:J$302,2,FALSE)),"",VLOOKUP(A137,Vortex!F$5:J$302,2,FALSE)))</f>
        <v>16.2</v>
      </c>
      <c r="P137" s="49">
        <f>IF(B137="",0,IF(ISNA(VLOOKUP(A137,Vortex!F$5:J$302,5,FALSE)),0,VLOOKUP(A137,Vortex!F$5:J$302,5,FALSE)))</f>
        <v>32</v>
      </c>
      <c r="Q137" s="49">
        <f t="shared" si="7"/>
        <v>141</v>
      </c>
      <c r="R137" s="49">
        <f t="shared" si="8"/>
        <v>6</v>
      </c>
      <c r="S137" s="49">
        <f t="shared" si="9"/>
        <v>40</v>
      </c>
      <c r="T137" s="38"/>
      <c r="X137" s="9"/>
      <c r="Y137" s="9"/>
      <c r="AI137"/>
      <c r="AJ137"/>
    </row>
    <row r="138" spans="1:36" ht="13.95" customHeight="1">
      <c r="A138" s="49">
        <f>IF(Declarations!B111=0,"",Declarations!B111)</f>
        <v>106</v>
      </c>
      <c r="B138" s="150" t="str">
        <f>IF(ISNA(VLOOKUP(A138,Declarations!B$6:C$185,2,FALSE)),"",IF(VLOOKUP(A138,Declarations!B$6:C$185,2,FALSE)="","",VLOOKUP(A138,Declarations!B$6:C$185,2,FALSE)))</f>
        <v>KLEMANTINE PATA</v>
      </c>
      <c r="C138" s="150" t="str">
        <f>IF(ISNA(VLOOKUP(A138,Declarations!B$6:F$185,5,FALSE)),"",IF(VLOOKUP(A138,Declarations!B$6:F$185,5,FALSE)="","",VLOOKUP(A138,Declarations!B$6:F$185,5,FALSE)))</f>
        <v>Basingstoke &amp; Mid Hants AC</v>
      </c>
      <c r="D138" s="150" t="str">
        <f>IF(ISNA(VLOOKUP(A138,Declarations!B$6:F$185,4,FALSE)),"",IF(VLOOKUP(A138,Declarations!B$6:F$185,4,FALSE)="","",VLOOKUP(A138,Declarations!B$6:F$185,4,FALSE)))</f>
        <v>GIRLS</v>
      </c>
      <c r="E138" s="150" t="str">
        <f>IF(ISNA(VLOOKUP(A138,Declarations!B$6:D$185,3,FALSE)),"",IF(VLOOKUP(A138,Declarations!B$6:D$185,3,FALSE)="","",VLOOKUP(A138,Declarations!B$6:D$185,3,FALSE)))</f>
        <v>U12</v>
      </c>
      <c r="F138" s="49">
        <f>IF(B138="","",IF(ISNA(VLOOKUP(A138,'75m'!F$5:G$302,2,FALSE)),"",VLOOKUP(A138,'75m'!F$5:G$302,2,FALSE)))</f>
        <v>12.3</v>
      </c>
      <c r="G138" s="49">
        <f>IF(B138="",0,IF(ISNA(VLOOKUP(A138,'75m'!F$5:J$302,5,FALSE)),0,VLOOKUP(A138,'75m'!F$5:J$302,5,FALSE)))</f>
        <v>47</v>
      </c>
      <c r="H138" s="49" t="str">
        <f>IF(B138="","",IF(ISNA(VLOOKUP(A138,'75m'!F$5:K$302,6,FALSE)),"",VLOOKUP(A138,'75m'!F$5:K$302,6,FALSE)))</f>
        <v>PB7</v>
      </c>
      <c r="I138" s="51">
        <f>IF(B138="",0,IF(ISNA(VLOOKUP(A138,'600m'!F$5:J$302,2,FALSE)),0,VLOOKUP(A138,'600m'!F$5:J$302,2,FALSE)))</f>
        <v>1.5706018518518517E-3</v>
      </c>
      <c r="J138" s="49">
        <f>IF(B138="",0,IF(ISNA(VLOOKUP(A138,'600m'!F$5:J$302,5,FALSE)),0,VLOOKUP(A138,'600m'!F$5:J$302,5,FALSE)))</f>
        <v>54</v>
      </c>
      <c r="K138" s="49" t="str">
        <f>IF(B138="","",IF(ISNA(VLOOKUP(A138,'600m'!F$5:K$302,6,FALSE)),"",VLOOKUP(A138,'600m'!F$5:K$302,6,FALSE)))</f>
        <v>PB2</v>
      </c>
      <c r="L138" s="49">
        <f>IF(B138="","",IF(ISNA(VLOOKUP(A138,LongJump!F$5:G$302,2,FALSE)),"",VLOOKUP(A138,LongJump!F$5:G$302,2,FALSE)))</f>
        <v>3.23</v>
      </c>
      <c r="M138" s="49">
        <f>IF(B138="",0,IF(ISNA(VLOOKUP(A138,LongJump!F$5:J$302,5,FALSE)),0,VLOOKUP(A138,LongJump!F$5:J$302,5,FALSE)))</f>
        <v>44</v>
      </c>
      <c r="N138" s="49" t="str">
        <f>IF(B138="",0,IF(ISNA(VLOOKUP(A138,LongJump!F$5:K$302,6,FALSE)),0,VLOOKUP(A138,LongJump!F$5:K$302,6,FALSE)))</f>
        <v>PB6</v>
      </c>
      <c r="O138" s="49">
        <f>IF(B138="","",IF(ISNA(VLOOKUP(A138,Vortex!F$5:J$302,2,FALSE)),"",VLOOKUP(A138,Vortex!F$5:J$302,2,FALSE)))</f>
        <v>16.68</v>
      </c>
      <c r="P138" s="49">
        <f>IF(B138="",0,IF(ISNA(VLOOKUP(A138,Vortex!F$5:J$302,5,FALSE)),0,VLOOKUP(A138,Vortex!F$5:J$302,5,FALSE)))</f>
        <v>33</v>
      </c>
      <c r="Q138" s="49">
        <f t="shared" si="7"/>
        <v>178</v>
      </c>
      <c r="R138" s="49">
        <f t="shared" si="8"/>
        <v>1</v>
      </c>
      <c r="S138" s="49">
        <f t="shared" si="9"/>
        <v>19</v>
      </c>
      <c r="T138" s="38"/>
      <c r="X138" s="9"/>
      <c r="Y138" s="9"/>
      <c r="AI138"/>
      <c r="AJ138"/>
    </row>
    <row r="139" spans="1:36" ht="13.95" customHeight="1">
      <c r="A139" s="49">
        <f>IF(Declarations!B112=0,"",Declarations!B112)</f>
        <v>107</v>
      </c>
      <c r="B139" s="150" t="str">
        <f>IF(ISNA(VLOOKUP(A139,Declarations!B$6:C$185,2,FALSE)),"",IF(VLOOKUP(A139,Declarations!B$6:C$185,2,FALSE)="","",VLOOKUP(A139,Declarations!B$6:C$185,2,FALSE)))</f>
        <v/>
      </c>
      <c r="C139" s="150" t="str">
        <f>IF(ISNA(VLOOKUP(A139,Declarations!B$6:F$185,5,FALSE)),"",IF(VLOOKUP(A139,Declarations!B$6:F$185,5,FALSE)="","",VLOOKUP(A139,Declarations!B$6:F$185,5,FALSE)))</f>
        <v>Basingstoke &amp; Mid Hants AC</v>
      </c>
      <c r="D139" s="150" t="str">
        <f>IF(ISNA(VLOOKUP(A139,Declarations!B$6:F$185,4,FALSE)),"",IF(VLOOKUP(A139,Declarations!B$6:F$185,4,FALSE)="","",VLOOKUP(A139,Declarations!B$6:F$185,4,FALSE)))</f>
        <v>GIRLS</v>
      </c>
      <c r="E139" s="150" t="str">
        <f>IF(ISNA(VLOOKUP(A139,Declarations!B$6:D$185,3,FALSE)),"",IF(VLOOKUP(A139,Declarations!B$6:D$185,3,FALSE)="","",VLOOKUP(A139,Declarations!B$6:D$185,3,FALSE)))</f>
        <v>U12</v>
      </c>
      <c r="F139" s="49" t="str">
        <f>IF(B139="","",IF(ISNA(VLOOKUP(A139,'75m'!F$5:G$302,2,FALSE)),"",VLOOKUP(A139,'75m'!F$5:G$302,2,FALSE)))</f>
        <v/>
      </c>
      <c r="G139" s="49">
        <f>IF(B139="",0,IF(ISNA(VLOOKUP(A139,'75m'!F$5:J$302,5,FALSE)),0,VLOOKUP(A139,'75m'!F$5:J$302,5,FALSE)))</f>
        <v>0</v>
      </c>
      <c r="H139" s="49" t="str">
        <f>IF(B139="","",IF(ISNA(VLOOKUP(A139,'75m'!F$5:K$302,6,FALSE)),"",VLOOKUP(A139,'75m'!F$5:K$302,6,FALSE)))</f>
        <v/>
      </c>
      <c r="I139" s="51">
        <f>IF(B139="",0,IF(ISNA(VLOOKUP(A139,'600m'!F$5:J$302,2,FALSE)),0,VLOOKUP(A139,'600m'!F$5:J$302,2,FALSE)))</f>
        <v>0</v>
      </c>
      <c r="J139" s="49">
        <f>IF(B139="",0,IF(ISNA(VLOOKUP(A139,'600m'!F$5:J$302,5,FALSE)),0,VLOOKUP(A139,'600m'!F$5:J$302,5,FALSE)))</f>
        <v>0</v>
      </c>
      <c r="K139" s="49" t="str">
        <f>IF(B139="","",IF(ISNA(VLOOKUP(A139,'600m'!F$5:K$302,6,FALSE)),"",VLOOKUP(A139,'600m'!F$5:K$302,6,FALSE)))</f>
        <v/>
      </c>
      <c r="L139" s="49" t="str">
        <f>IF(B139="","",IF(ISNA(VLOOKUP(A139,LongJump!F$5:G$302,2,FALSE)),"",VLOOKUP(A139,LongJump!F$5:G$302,2,FALSE)))</f>
        <v/>
      </c>
      <c r="M139" s="49">
        <f>IF(B139="",0,IF(ISNA(VLOOKUP(A139,LongJump!F$5:J$302,5,FALSE)),0,VLOOKUP(A139,LongJump!F$5:J$302,5,FALSE)))</f>
        <v>0</v>
      </c>
      <c r="N139" s="49">
        <f>IF(B139="",0,IF(ISNA(VLOOKUP(A139,LongJump!F$5:K$302,6,FALSE)),0,VLOOKUP(A139,LongJump!F$5:K$302,6,FALSE)))</f>
        <v>0</v>
      </c>
      <c r="O139" s="49" t="str">
        <f>IF(B139="","",IF(ISNA(VLOOKUP(A139,Vortex!F$5:J$302,2,FALSE)),"",VLOOKUP(A139,Vortex!F$5:J$302,2,FALSE)))</f>
        <v/>
      </c>
      <c r="P139" s="49">
        <f>IF(B139="",0,IF(ISNA(VLOOKUP(A139,Vortex!F$5:J$302,5,FALSE)),0,VLOOKUP(A139,Vortex!F$5:J$302,5,FALSE)))</f>
        <v>0</v>
      </c>
      <c r="Q139" s="49">
        <f t="shared" si="7"/>
        <v>0</v>
      </c>
      <c r="R139" s="49" t="str">
        <f t="shared" si="8"/>
        <v/>
      </c>
      <c r="S139" s="49" t="str">
        <f t="shared" si="9"/>
        <v/>
      </c>
      <c r="T139" s="38"/>
      <c r="X139" s="9"/>
      <c r="Y139" s="9"/>
      <c r="AI139"/>
      <c r="AJ139"/>
    </row>
    <row r="140" spans="1:36" ht="13.95" customHeight="1">
      <c r="A140" s="49">
        <f>IF(Declarations!B113=0,"",Declarations!B113)</f>
        <v>108</v>
      </c>
      <c r="B140" s="150" t="str">
        <f>IF(ISNA(VLOOKUP(A140,Declarations!B$6:C$185,2,FALSE)),"",IF(VLOOKUP(A140,Declarations!B$6:C$185,2,FALSE)="","",VLOOKUP(A140,Declarations!B$6:C$185,2,FALSE)))</f>
        <v/>
      </c>
      <c r="C140" s="150" t="str">
        <f>IF(ISNA(VLOOKUP(A140,Declarations!B$6:F$185,5,FALSE)),"",IF(VLOOKUP(A140,Declarations!B$6:F$185,5,FALSE)="","",VLOOKUP(A140,Declarations!B$6:F$185,5,FALSE)))</f>
        <v>Basingstoke &amp; Mid Hants AC</v>
      </c>
      <c r="D140" s="150" t="str">
        <f>IF(ISNA(VLOOKUP(A140,Declarations!B$6:F$185,4,FALSE)),"",IF(VLOOKUP(A140,Declarations!B$6:F$185,4,FALSE)="","",VLOOKUP(A140,Declarations!B$6:F$185,4,FALSE)))</f>
        <v>GIRLS</v>
      </c>
      <c r="E140" s="150" t="str">
        <f>IF(ISNA(VLOOKUP(A140,Declarations!B$6:D$185,3,FALSE)),"",IF(VLOOKUP(A140,Declarations!B$6:D$185,3,FALSE)="","",VLOOKUP(A140,Declarations!B$6:D$185,3,FALSE)))</f>
        <v>U12</v>
      </c>
      <c r="F140" s="49" t="str">
        <f>IF(B140="","",IF(ISNA(VLOOKUP(A140,'75m'!F$5:G$302,2,FALSE)),"",VLOOKUP(A140,'75m'!F$5:G$302,2,FALSE)))</f>
        <v/>
      </c>
      <c r="G140" s="49">
        <f>IF(B140="",0,IF(ISNA(VLOOKUP(A140,'75m'!F$5:J$302,5,FALSE)),0,VLOOKUP(A140,'75m'!F$5:J$302,5,FALSE)))</f>
        <v>0</v>
      </c>
      <c r="H140" s="49" t="str">
        <f>IF(B140="","",IF(ISNA(VLOOKUP(A140,'75m'!F$5:K$302,6,FALSE)),"",VLOOKUP(A140,'75m'!F$5:K$302,6,FALSE)))</f>
        <v/>
      </c>
      <c r="I140" s="51">
        <f>IF(B140="",0,IF(ISNA(VLOOKUP(A140,'600m'!F$5:J$302,2,FALSE)),0,VLOOKUP(A140,'600m'!F$5:J$302,2,FALSE)))</f>
        <v>0</v>
      </c>
      <c r="J140" s="49">
        <f>IF(B140="",0,IF(ISNA(VLOOKUP(A140,'600m'!F$5:J$302,5,FALSE)),0,VLOOKUP(A140,'600m'!F$5:J$302,5,FALSE)))</f>
        <v>0</v>
      </c>
      <c r="K140" s="49" t="str">
        <f>IF(B140="","",IF(ISNA(VLOOKUP(A140,'600m'!F$5:K$302,6,FALSE)),"",VLOOKUP(A140,'600m'!F$5:K$302,6,FALSE)))</f>
        <v/>
      </c>
      <c r="L140" s="49" t="str">
        <f>IF(B140="","",IF(ISNA(VLOOKUP(A140,LongJump!F$5:G$302,2,FALSE)),"",VLOOKUP(A140,LongJump!F$5:G$302,2,FALSE)))</f>
        <v/>
      </c>
      <c r="M140" s="49">
        <f>IF(B140="",0,IF(ISNA(VLOOKUP(A140,LongJump!F$5:J$302,5,FALSE)),0,VLOOKUP(A140,LongJump!F$5:J$302,5,FALSE)))</f>
        <v>0</v>
      </c>
      <c r="N140" s="49">
        <f>IF(B140="",0,IF(ISNA(VLOOKUP(A140,LongJump!F$5:K$302,6,FALSE)),0,VLOOKUP(A140,LongJump!F$5:K$302,6,FALSE)))</f>
        <v>0</v>
      </c>
      <c r="O140" s="49" t="str">
        <f>IF(B140="","",IF(ISNA(VLOOKUP(A140,Vortex!F$5:J$302,2,FALSE)),"",VLOOKUP(A140,Vortex!F$5:J$302,2,FALSE)))</f>
        <v/>
      </c>
      <c r="P140" s="49">
        <f>IF(B140="",0,IF(ISNA(VLOOKUP(A140,Vortex!F$5:J$302,5,FALSE)),0,VLOOKUP(A140,Vortex!F$5:J$302,5,FALSE)))</f>
        <v>0</v>
      </c>
      <c r="Q140" s="49">
        <f t="shared" si="7"/>
        <v>0</v>
      </c>
      <c r="R140" s="49" t="str">
        <f t="shared" si="8"/>
        <v/>
      </c>
      <c r="S140" s="49" t="str">
        <f t="shared" si="9"/>
        <v/>
      </c>
      <c r="T140" s="38"/>
      <c r="X140" s="9"/>
      <c r="Y140" s="9"/>
      <c r="AI140"/>
      <c r="AJ140"/>
    </row>
    <row r="141" spans="1:36" ht="13.95" customHeight="1">
      <c r="A141" s="49">
        <f>IF(Declarations!B114=0,"",Declarations!B114)</f>
        <v>109</v>
      </c>
      <c r="B141" s="150" t="str">
        <f>IF(ISNA(VLOOKUP(A141,Declarations!B$6:C$185,2,FALSE)),"",IF(VLOOKUP(A141,Declarations!B$6:C$185,2,FALSE)="","",VLOOKUP(A141,Declarations!B$6:C$185,2,FALSE)))</f>
        <v/>
      </c>
      <c r="C141" s="150" t="str">
        <f>IF(ISNA(VLOOKUP(A141,Declarations!B$6:F$185,5,FALSE)),"",IF(VLOOKUP(A141,Declarations!B$6:F$185,5,FALSE)="","",VLOOKUP(A141,Declarations!B$6:F$185,5,FALSE)))</f>
        <v>Basingstoke &amp; Mid Hants AC</v>
      </c>
      <c r="D141" s="150" t="str">
        <f>IF(ISNA(VLOOKUP(A141,Declarations!B$6:F$185,4,FALSE)),"",IF(VLOOKUP(A141,Declarations!B$6:F$185,4,FALSE)="","",VLOOKUP(A141,Declarations!B$6:F$185,4,FALSE)))</f>
        <v>GIRLS</v>
      </c>
      <c r="E141" s="150" t="str">
        <f>IF(ISNA(VLOOKUP(A141,Declarations!B$6:D$185,3,FALSE)),"",IF(VLOOKUP(A141,Declarations!B$6:D$185,3,FALSE)="","",VLOOKUP(A141,Declarations!B$6:D$185,3,FALSE)))</f>
        <v>U12</v>
      </c>
      <c r="F141" s="49" t="str">
        <f>IF(B141="","",IF(ISNA(VLOOKUP(A141,'75m'!F$5:G$302,2,FALSE)),"",VLOOKUP(A141,'75m'!F$5:G$302,2,FALSE)))</f>
        <v/>
      </c>
      <c r="G141" s="49">
        <f>IF(B141="",0,IF(ISNA(VLOOKUP(A141,'75m'!F$5:J$302,5,FALSE)),0,VLOOKUP(A141,'75m'!F$5:J$302,5,FALSE)))</f>
        <v>0</v>
      </c>
      <c r="H141" s="49" t="str">
        <f>IF(B141="","",IF(ISNA(VLOOKUP(A141,'75m'!F$5:K$302,6,FALSE)),"",VLOOKUP(A141,'75m'!F$5:K$302,6,FALSE)))</f>
        <v/>
      </c>
      <c r="I141" s="51">
        <f>IF(B141="",0,IF(ISNA(VLOOKUP(A141,'600m'!F$5:J$302,2,FALSE)),0,VLOOKUP(A141,'600m'!F$5:J$302,2,FALSE)))</f>
        <v>0</v>
      </c>
      <c r="J141" s="49">
        <f>IF(B141="",0,IF(ISNA(VLOOKUP(A141,'600m'!F$5:J$302,5,FALSE)),0,VLOOKUP(A141,'600m'!F$5:J$302,5,FALSE)))</f>
        <v>0</v>
      </c>
      <c r="K141" s="49" t="str">
        <f>IF(B141="","",IF(ISNA(VLOOKUP(A141,'600m'!F$5:K$302,6,FALSE)),"",VLOOKUP(A141,'600m'!F$5:K$302,6,FALSE)))</f>
        <v/>
      </c>
      <c r="L141" s="49" t="str">
        <f>IF(B141="","",IF(ISNA(VLOOKUP(A141,LongJump!F$5:G$302,2,FALSE)),"",VLOOKUP(A141,LongJump!F$5:G$302,2,FALSE)))</f>
        <v/>
      </c>
      <c r="M141" s="49">
        <f>IF(B141="",0,IF(ISNA(VLOOKUP(A141,LongJump!F$5:J$302,5,FALSE)),0,VLOOKUP(A141,LongJump!F$5:J$302,5,FALSE)))</f>
        <v>0</v>
      </c>
      <c r="N141" s="49">
        <f>IF(B141="",0,IF(ISNA(VLOOKUP(A141,LongJump!F$5:K$302,6,FALSE)),0,VLOOKUP(A141,LongJump!F$5:K$302,6,FALSE)))</f>
        <v>0</v>
      </c>
      <c r="O141" s="49" t="str">
        <f>IF(B141="","",IF(ISNA(VLOOKUP(A141,Vortex!F$5:J$302,2,FALSE)),"",VLOOKUP(A141,Vortex!F$5:J$302,2,FALSE)))</f>
        <v/>
      </c>
      <c r="P141" s="49">
        <f>IF(B141="",0,IF(ISNA(VLOOKUP(A141,Vortex!F$5:J$302,5,FALSE)),0,VLOOKUP(A141,Vortex!F$5:J$302,5,FALSE)))</f>
        <v>0</v>
      </c>
      <c r="Q141" s="49">
        <f t="shared" si="7"/>
        <v>0</v>
      </c>
      <c r="R141" s="49" t="str">
        <f t="shared" si="8"/>
        <v/>
      </c>
      <c r="S141" s="49" t="str">
        <f t="shared" si="9"/>
        <v/>
      </c>
      <c r="T141" s="38"/>
      <c r="X141" s="9"/>
      <c r="Y141" s="9"/>
      <c r="AI141"/>
      <c r="AJ141"/>
    </row>
    <row r="142" spans="1:36" ht="13.95" customHeight="1">
      <c r="A142" s="49">
        <f>IF(Declarations!B115=0,"",Declarations!B115)</f>
        <v>110</v>
      </c>
      <c r="B142" s="150" t="str">
        <f>IF(ISNA(VLOOKUP(A142,Declarations!B$6:C$185,2,FALSE)),"",IF(VLOOKUP(A142,Declarations!B$6:C$185,2,FALSE)="","",VLOOKUP(A142,Declarations!B$6:C$185,2,FALSE)))</f>
        <v/>
      </c>
      <c r="C142" s="150" t="str">
        <f>IF(ISNA(VLOOKUP(A142,Declarations!B$6:F$185,5,FALSE)),"",IF(VLOOKUP(A142,Declarations!B$6:F$185,5,FALSE)="","",VLOOKUP(A142,Declarations!B$6:F$185,5,FALSE)))</f>
        <v>Basingstoke &amp; Mid Hants AC</v>
      </c>
      <c r="D142" s="150" t="str">
        <f>IF(ISNA(VLOOKUP(A142,Declarations!B$6:F$185,4,FALSE)),"",IF(VLOOKUP(A142,Declarations!B$6:F$185,4,FALSE)="","",VLOOKUP(A142,Declarations!B$6:F$185,4,FALSE)))</f>
        <v>GIRLS</v>
      </c>
      <c r="E142" s="150" t="str">
        <f>IF(ISNA(VLOOKUP(A142,Declarations!B$6:D$185,3,FALSE)),"",IF(VLOOKUP(A142,Declarations!B$6:D$185,3,FALSE)="","",VLOOKUP(A142,Declarations!B$6:D$185,3,FALSE)))</f>
        <v>U12</v>
      </c>
      <c r="F142" s="49" t="str">
        <f>IF(B142="","",IF(ISNA(VLOOKUP(A142,'75m'!F$5:G$302,2,FALSE)),"",VLOOKUP(A142,'75m'!F$5:G$302,2,FALSE)))</f>
        <v/>
      </c>
      <c r="G142" s="49">
        <f>IF(B142="",0,IF(ISNA(VLOOKUP(A142,'75m'!F$5:J$302,5,FALSE)),0,VLOOKUP(A142,'75m'!F$5:J$302,5,FALSE)))</f>
        <v>0</v>
      </c>
      <c r="H142" s="49" t="str">
        <f>IF(B142="","",IF(ISNA(VLOOKUP(A142,'75m'!F$5:K$302,6,FALSE)),"",VLOOKUP(A142,'75m'!F$5:K$302,6,FALSE)))</f>
        <v/>
      </c>
      <c r="I142" s="51">
        <f>IF(B142="",0,IF(ISNA(VLOOKUP(A142,'600m'!F$5:J$302,2,FALSE)),0,VLOOKUP(A142,'600m'!F$5:J$302,2,FALSE)))</f>
        <v>0</v>
      </c>
      <c r="J142" s="49">
        <f>IF(B142="",0,IF(ISNA(VLOOKUP(A142,'600m'!F$5:J$302,5,FALSE)),0,VLOOKUP(A142,'600m'!F$5:J$302,5,FALSE)))</f>
        <v>0</v>
      </c>
      <c r="K142" s="49" t="str">
        <f>IF(B142="","",IF(ISNA(VLOOKUP(A142,'600m'!F$5:K$302,6,FALSE)),"",VLOOKUP(A142,'600m'!F$5:K$302,6,FALSE)))</f>
        <v/>
      </c>
      <c r="L142" s="49" t="str">
        <f>IF(B142="","",IF(ISNA(VLOOKUP(A142,LongJump!F$5:G$302,2,FALSE)),"",VLOOKUP(A142,LongJump!F$5:G$302,2,FALSE)))</f>
        <v/>
      </c>
      <c r="M142" s="49">
        <f>IF(B142="",0,IF(ISNA(VLOOKUP(A142,LongJump!F$5:J$302,5,FALSE)),0,VLOOKUP(A142,LongJump!F$5:J$302,5,FALSE)))</f>
        <v>0</v>
      </c>
      <c r="N142" s="49">
        <f>IF(B142="",0,IF(ISNA(VLOOKUP(A142,LongJump!F$5:K$302,6,FALSE)),0,VLOOKUP(A142,LongJump!F$5:K$302,6,FALSE)))</f>
        <v>0</v>
      </c>
      <c r="O142" s="49" t="str">
        <f>IF(B142="","",IF(ISNA(VLOOKUP(A142,Vortex!F$5:J$302,2,FALSE)),"",VLOOKUP(A142,Vortex!F$5:J$302,2,FALSE)))</f>
        <v/>
      </c>
      <c r="P142" s="49">
        <f>IF(B142="",0,IF(ISNA(VLOOKUP(A142,Vortex!F$5:J$302,5,FALSE)),0,VLOOKUP(A142,Vortex!F$5:J$302,5,FALSE)))</f>
        <v>0</v>
      </c>
      <c r="Q142" s="49">
        <f t="shared" si="7"/>
        <v>0</v>
      </c>
      <c r="R142" s="49" t="str">
        <f t="shared" si="8"/>
        <v/>
      </c>
      <c r="S142" s="49" t="str">
        <f t="shared" si="9"/>
        <v/>
      </c>
      <c r="T142" s="38"/>
      <c r="X142" s="9"/>
      <c r="Y142" s="9"/>
      <c r="AI142"/>
      <c r="AJ142"/>
    </row>
    <row r="143" spans="1:36" ht="13.95" customHeight="1">
      <c r="A143" s="49">
        <f>IF(Declarations!B116=0,"",Declarations!B116)</f>
        <v>111</v>
      </c>
      <c r="B143" s="150" t="str">
        <f>IF(ISNA(VLOOKUP(A143,Declarations!B$6:C$185,2,FALSE)),"",IF(VLOOKUP(A143,Declarations!B$6:C$185,2,FALSE)="","",VLOOKUP(A143,Declarations!B$6:C$185,2,FALSE)))</f>
        <v>JENSON PROUT</v>
      </c>
      <c r="C143" s="150" t="str">
        <f>IF(ISNA(VLOOKUP(A143,Declarations!B$6:F$185,5,FALSE)),"",IF(VLOOKUP(A143,Declarations!B$6:F$185,5,FALSE)="","",VLOOKUP(A143,Declarations!B$6:F$185,5,FALSE)))</f>
        <v>Basingstoke &amp; Mid Hants AC</v>
      </c>
      <c r="D143" s="150" t="str">
        <f>IF(ISNA(VLOOKUP(A143,Declarations!B$6:F$185,4,FALSE)),"",IF(VLOOKUP(A143,Declarations!B$6:F$185,4,FALSE)="","",VLOOKUP(A143,Declarations!B$6:F$185,4,FALSE)))</f>
        <v>BOYS</v>
      </c>
      <c r="E143" s="150" t="str">
        <f>IF(ISNA(VLOOKUP(A143,Declarations!B$6:D$185,3,FALSE)),"",IF(VLOOKUP(A143,Declarations!B$6:D$185,3,FALSE)="","",VLOOKUP(A143,Declarations!B$6:D$185,3,FALSE)))</f>
        <v>U12</v>
      </c>
      <c r="F143" s="49">
        <f>IF(B143="","",IF(ISNA(VLOOKUP(A143,'75m'!F$5:G$302,2,FALSE)),"",VLOOKUP(A143,'75m'!F$5:G$302,2,FALSE)))</f>
        <v>12</v>
      </c>
      <c r="G143" s="49">
        <f>IF(B143="",0,IF(ISNA(VLOOKUP(A143,'75m'!F$5:J$302,5,FALSE)),0,VLOOKUP(A143,'75m'!F$5:J$302,5,FALSE)))</f>
        <v>50</v>
      </c>
      <c r="H143" s="49" t="str">
        <f>IF(B143="","",IF(ISNA(VLOOKUP(A143,'75m'!F$5:K$302,6,FALSE)),"",VLOOKUP(A143,'75m'!F$5:K$302,6,FALSE)))</f>
        <v>PB7</v>
      </c>
      <c r="I143" s="51">
        <f>IF(B143="",0,IF(ISNA(VLOOKUP(A143,'600m'!F$5:J$302,2,FALSE)),0,VLOOKUP(A143,'600m'!F$5:J$302,2,FALSE)))</f>
        <v>1.5740740740740741E-3</v>
      </c>
      <c r="J143" s="49">
        <f>IF(B143="",0,IF(ISNA(VLOOKUP(A143,'600m'!F$5:J$302,5,FALSE)),0,VLOOKUP(A143,'600m'!F$5:J$302,5,FALSE)))</f>
        <v>54</v>
      </c>
      <c r="K143" s="49" t="str">
        <f>IF(B143="","",IF(ISNA(VLOOKUP(A143,'600m'!F$5:K$302,6,FALSE)),"",VLOOKUP(A143,'600m'!F$5:K$302,6,FALSE)))</f>
        <v>PB2</v>
      </c>
      <c r="L143" s="49">
        <f>IF(B143="","",IF(ISNA(VLOOKUP(A143,LongJump!F$5:G$302,2,FALSE)),"",VLOOKUP(A143,LongJump!F$5:G$302,2,FALSE)))</f>
        <v>2.74</v>
      </c>
      <c r="M143" s="49">
        <f>IF(B143="",0,IF(ISNA(VLOOKUP(A143,LongJump!F$5:J$302,5,FALSE)),0,VLOOKUP(A143,LongJump!F$5:J$302,5,FALSE)))</f>
        <v>28</v>
      </c>
      <c r="N143" s="49" t="str">
        <f>IF(B143="",0,IF(ISNA(VLOOKUP(A143,LongJump!F$5:K$302,6,FALSE)),0,VLOOKUP(A143,LongJump!F$5:K$302,6,FALSE)))</f>
        <v>PB3</v>
      </c>
      <c r="O143" s="49">
        <f>IF(B143="","",IF(ISNA(VLOOKUP(A143,Vortex!F$5:J$302,2,FALSE)),"",VLOOKUP(A143,Vortex!F$5:J$302,2,FALSE)))</f>
        <v>32.86</v>
      </c>
      <c r="P143" s="49">
        <f>IF(B143="",0,IF(ISNA(VLOOKUP(A143,Vortex!F$5:J$302,5,FALSE)),0,VLOOKUP(A143,Vortex!F$5:J$302,5,FALSE)))</f>
        <v>65</v>
      </c>
      <c r="Q143" s="49">
        <f t="shared" si="7"/>
        <v>197</v>
      </c>
      <c r="R143" s="49">
        <f t="shared" si="8"/>
        <v>6</v>
      </c>
      <c r="S143" s="49">
        <f t="shared" si="9"/>
        <v>23</v>
      </c>
      <c r="T143" s="38"/>
      <c r="X143" s="9"/>
      <c r="Y143" s="9"/>
      <c r="AI143"/>
      <c r="AJ143"/>
    </row>
    <row r="144" spans="1:36" ht="13.95" customHeight="1">
      <c r="A144" s="49">
        <f>IF(Declarations!B117=0,"",Declarations!B117)</f>
        <v>112</v>
      </c>
      <c r="B144" s="150" t="str">
        <f>IF(ISNA(VLOOKUP(A144,Declarations!B$6:C$185,2,FALSE)),"",IF(VLOOKUP(A144,Declarations!B$6:C$185,2,FALSE)="","",VLOOKUP(A144,Declarations!B$6:C$185,2,FALSE)))</f>
        <v>NOAH GRAHAM</v>
      </c>
      <c r="C144" s="150" t="str">
        <f>IF(ISNA(VLOOKUP(A144,Declarations!B$6:F$185,5,FALSE)),"",IF(VLOOKUP(A144,Declarations!B$6:F$185,5,FALSE)="","",VLOOKUP(A144,Declarations!B$6:F$185,5,FALSE)))</f>
        <v>Basingstoke &amp; Mid Hants AC</v>
      </c>
      <c r="D144" s="150" t="str">
        <f>IF(ISNA(VLOOKUP(A144,Declarations!B$6:F$185,4,FALSE)),"",IF(VLOOKUP(A144,Declarations!B$6:F$185,4,FALSE)="","",VLOOKUP(A144,Declarations!B$6:F$185,4,FALSE)))</f>
        <v>BOYS</v>
      </c>
      <c r="E144" s="150" t="str">
        <f>IF(ISNA(VLOOKUP(A144,Declarations!B$6:D$185,3,FALSE)),"",IF(VLOOKUP(A144,Declarations!B$6:D$185,3,FALSE)="","",VLOOKUP(A144,Declarations!B$6:D$185,3,FALSE)))</f>
        <v>U12</v>
      </c>
      <c r="F144" s="49">
        <f>IF(B144="","",IF(ISNA(VLOOKUP(A144,'75m'!F$5:G$302,2,FALSE)),"",VLOOKUP(A144,'75m'!F$5:G$302,2,FALSE)))</f>
        <v>11.3</v>
      </c>
      <c r="G144" s="49">
        <f>IF(B144="",0,IF(ISNA(VLOOKUP(A144,'75m'!F$5:J$302,5,FALSE)),0,VLOOKUP(A144,'75m'!F$5:J$302,5,FALSE)))</f>
        <v>57</v>
      </c>
      <c r="H144" s="49" t="str">
        <f>IF(B144="","",IF(ISNA(VLOOKUP(A144,'75m'!F$5:K$302,6,FALSE)),"",VLOOKUP(A144,'75m'!F$5:K$302,6,FALSE)))</f>
        <v>PB8</v>
      </c>
      <c r="I144" s="51">
        <f>IF(B144="",0,IF(ISNA(VLOOKUP(A144,'600m'!F$5:J$302,2,FALSE)),0,VLOOKUP(A144,'600m'!F$5:J$302,2,FALSE)))</f>
        <v>1.3287037037037037E-3</v>
      </c>
      <c r="J144" s="49">
        <f>IF(B144="",0,IF(ISNA(VLOOKUP(A144,'600m'!F$5:J$302,5,FALSE)),0,VLOOKUP(A144,'600m'!F$5:J$302,5,FALSE)))</f>
        <v>75</v>
      </c>
      <c r="K144" s="49" t="str">
        <f>IF(B144="","",IF(ISNA(VLOOKUP(A144,'600m'!F$5:K$302,6,FALSE)),"",VLOOKUP(A144,'600m'!F$5:K$302,6,FALSE)))</f>
        <v>PB6</v>
      </c>
      <c r="L144" s="49">
        <f>IF(B144="","",IF(ISNA(VLOOKUP(A144,LongJump!F$5:G$302,2,FALSE)),"",VLOOKUP(A144,LongJump!F$5:G$302,2,FALSE)))</f>
        <v>3.82</v>
      </c>
      <c r="M144" s="49">
        <f>IF(B144="",0,IF(ISNA(VLOOKUP(A144,LongJump!F$5:J$302,5,FALSE)),0,VLOOKUP(A144,LongJump!F$5:J$302,5,FALSE)))</f>
        <v>64</v>
      </c>
      <c r="N144" s="49" t="str">
        <f>IF(B144="",0,IF(ISNA(VLOOKUP(A144,LongJump!F$5:K$302,6,FALSE)),0,VLOOKUP(A144,LongJump!F$5:K$302,6,FALSE)))</f>
        <v>PB8</v>
      </c>
      <c r="O144" s="49">
        <f>IF(B144="","",IF(ISNA(VLOOKUP(A144,Vortex!F$5:J$302,2,FALSE)),"",VLOOKUP(A144,Vortex!F$5:J$302,2,FALSE)))</f>
        <v>33.53</v>
      </c>
      <c r="P144" s="49">
        <f>IF(B144="",0,IF(ISNA(VLOOKUP(A144,Vortex!F$5:J$302,5,FALSE)),0,VLOOKUP(A144,Vortex!F$5:J$302,5,FALSE)))</f>
        <v>67</v>
      </c>
      <c r="Q144" s="49">
        <f t="shared" si="7"/>
        <v>263</v>
      </c>
      <c r="R144" s="49">
        <f t="shared" si="8"/>
        <v>1</v>
      </c>
      <c r="S144" s="49">
        <f t="shared" si="9"/>
        <v>2</v>
      </c>
      <c r="T144" s="38"/>
      <c r="X144" s="9"/>
      <c r="Y144" s="9"/>
      <c r="AI144"/>
      <c r="AJ144"/>
    </row>
    <row r="145" spans="1:36" ht="13.95" customHeight="1">
      <c r="A145" s="49">
        <f>IF(Declarations!B118=0,"",Declarations!B118)</f>
        <v>113</v>
      </c>
      <c r="B145" s="150" t="str">
        <f>IF(ISNA(VLOOKUP(A145,Declarations!B$6:C$185,2,FALSE)),"",IF(VLOOKUP(A145,Declarations!B$6:C$185,2,FALSE)="","",VLOOKUP(A145,Declarations!B$6:C$185,2,FALSE)))</f>
        <v>ROME ALEXANDER SOLOMAN</v>
      </c>
      <c r="C145" s="150" t="str">
        <f>IF(ISNA(VLOOKUP(A145,Declarations!B$6:F$185,5,FALSE)),"",IF(VLOOKUP(A145,Declarations!B$6:F$185,5,FALSE)="","",VLOOKUP(A145,Declarations!B$6:F$185,5,FALSE)))</f>
        <v>Basingstoke &amp; Mid Hants AC</v>
      </c>
      <c r="D145" s="150" t="str">
        <f>IF(ISNA(VLOOKUP(A145,Declarations!B$6:F$185,4,FALSE)),"",IF(VLOOKUP(A145,Declarations!B$6:F$185,4,FALSE)="","",VLOOKUP(A145,Declarations!B$6:F$185,4,FALSE)))</f>
        <v>BOYS</v>
      </c>
      <c r="E145" s="150" t="str">
        <f>IF(ISNA(VLOOKUP(A145,Declarations!B$6:D$185,3,FALSE)),"",IF(VLOOKUP(A145,Declarations!B$6:D$185,3,FALSE)="","",VLOOKUP(A145,Declarations!B$6:D$185,3,FALSE)))</f>
        <v>U12</v>
      </c>
      <c r="F145" s="49">
        <f>IF(B145="","",IF(ISNA(VLOOKUP(A145,'75m'!F$5:G$302,2,FALSE)),"",VLOOKUP(A145,'75m'!F$5:G$302,2,FALSE)))</f>
        <v>10.8</v>
      </c>
      <c r="G145" s="49">
        <f>IF(B145="",0,IF(ISNA(VLOOKUP(A145,'75m'!F$5:J$302,5,FALSE)),0,VLOOKUP(A145,'75m'!F$5:J$302,5,FALSE)))</f>
        <v>62</v>
      </c>
      <c r="H145" s="49" t="str">
        <f>IF(B145="","",IF(ISNA(VLOOKUP(A145,'75m'!F$5:K$302,6,FALSE)),"",VLOOKUP(A145,'75m'!F$5:K$302,6,FALSE)))</f>
        <v>PB9</v>
      </c>
      <c r="I145" s="51">
        <f>IF(B145="",0,IF(ISNA(VLOOKUP(A145,'600m'!F$5:J$302,2,FALSE)),0,VLOOKUP(A145,'600m'!F$5:J$302,2,FALSE)))</f>
        <v>1.4108796296296298E-3</v>
      </c>
      <c r="J145" s="49">
        <f>IF(B145="",0,IF(ISNA(VLOOKUP(A145,'600m'!F$5:J$302,5,FALSE)),0,VLOOKUP(A145,'600m'!F$5:J$302,5,FALSE)))</f>
        <v>68</v>
      </c>
      <c r="K145" s="49" t="str">
        <f>IF(B145="","",IF(ISNA(VLOOKUP(A145,'600m'!F$5:K$302,6,FALSE)),"",VLOOKUP(A145,'600m'!F$5:K$302,6,FALSE)))</f>
        <v>PB4</v>
      </c>
      <c r="L145" s="49">
        <f>IF(B145="","",IF(ISNA(VLOOKUP(A145,LongJump!F$5:G$302,2,FALSE)),"",VLOOKUP(A145,LongJump!F$5:G$302,2,FALSE)))</f>
        <v>3.93</v>
      </c>
      <c r="M145" s="49">
        <f>IF(B145="",0,IF(ISNA(VLOOKUP(A145,LongJump!F$5:J$302,5,FALSE)),0,VLOOKUP(A145,LongJump!F$5:J$302,5,FALSE)))</f>
        <v>67</v>
      </c>
      <c r="N145" s="49" t="str">
        <f>IF(B145="",0,IF(ISNA(VLOOKUP(A145,LongJump!F$5:K$302,6,FALSE)),0,VLOOKUP(A145,LongJump!F$5:K$302,6,FALSE)))</f>
        <v>PB8</v>
      </c>
      <c r="O145" s="49">
        <f>IF(B145="","",IF(ISNA(VLOOKUP(A145,Vortex!F$5:J$302,2,FALSE)),"",VLOOKUP(A145,Vortex!F$5:J$302,2,FALSE)))</f>
        <v>23.78</v>
      </c>
      <c r="P145" s="49">
        <f>IF(B145="",0,IF(ISNA(VLOOKUP(A145,Vortex!F$5:J$302,5,FALSE)),0,VLOOKUP(A145,Vortex!F$5:J$302,5,FALSE)))</f>
        <v>47</v>
      </c>
      <c r="Q145" s="49">
        <f t="shared" si="7"/>
        <v>244</v>
      </c>
      <c r="R145" s="49">
        <f t="shared" si="8"/>
        <v>2</v>
      </c>
      <c r="S145" s="49">
        <f t="shared" si="9"/>
        <v>8</v>
      </c>
      <c r="T145" s="38"/>
      <c r="X145" s="9"/>
      <c r="Y145" s="9"/>
      <c r="AI145"/>
      <c r="AJ145"/>
    </row>
    <row r="146" spans="1:36" ht="13.95" customHeight="1">
      <c r="A146" s="49">
        <f>IF(Declarations!B119=0,"",Declarations!B119)</f>
        <v>114</v>
      </c>
      <c r="B146" s="150" t="str">
        <f>IF(ISNA(VLOOKUP(A146,Declarations!B$6:C$185,2,FALSE)),"",IF(VLOOKUP(A146,Declarations!B$6:C$185,2,FALSE)="","",VLOOKUP(A146,Declarations!B$6:C$185,2,FALSE)))</f>
        <v>ISAAC STEWART</v>
      </c>
      <c r="C146" s="150" t="str">
        <f>IF(ISNA(VLOOKUP(A146,Declarations!B$6:F$185,5,FALSE)),"",IF(VLOOKUP(A146,Declarations!B$6:F$185,5,FALSE)="","",VLOOKUP(A146,Declarations!B$6:F$185,5,FALSE)))</f>
        <v>Basingstoke &amp; Mid Hants AC</v>
      </c>
      <c r="D146" s="150" t="str">
        <f>IF(ISNA(VLOOKUP(A146,Declarations!B$6:F$185,4,FALSE)),"",IF(VLOOKUP(A146,Declarations!B$6:F$185,4,FALSE)="","",VLOOKUP(A146,Declarations!B$6:F$185,4,FALSE)))</f>
        <v>BOYS</v>
      </c>
      <c r="E146" s="150" t="str">
        <f>IF(ISNA(VLOOKUP(A146,Declarations!B$6:D$185,3,FALSE)),"",IF(VLOOKUP(A146,Declarations!B$6:D$185,3,FALSE)="","",VLOOKUP(A146,Declarations!B$6:D$185,3,FALSE)))</f>
        <v>U12</v>
      </c>
      <c r="F146" s="49">
        <f>IF(B146="","",IF(ISNA(VLOOKUP(A146,'75m'!F$5:G$302,2,FALSE)),"",VLOOKUP(A146,'75m'!F$5:G$302,2,FALSE)))</f>
        <v>11.2</v>
      </c>
      <c r="G146" s="49">
        <f>IF(B146="",0,IF(ISNA(VLOOKUP(A146,'75m'!F$5:J$302,5,FALSE)),0,VLOOKUP(A146,'75m'!F$5:J$302,5,FALSE)))</f>
        <v>58</v>
      </c>
      <c r="H146" s="49" t="str">
        <f>IF(B146="","",IF(ISNA(VLOOKUP(A146,'75m'!F$5:K$302,6,FALSE)),"",VLOOKUP(A146,'75m'!F$5:K$302,6,FALSE)))</f>
        <v>PB9</v>
      </c>
      <c r="I146" s="51">
        <f>IF(B146="",0,IF(ISNA(VLOOKUP(A146,'600m'!F$5:J$302,2,FALSE)),0,VLOOKUP(A146,'600m'!F$5:J$302,2,FALSE)))</f>
        <v>1.4675925925925926E-3</v>
      </c>
      <c r="J146" s="49">
        <f>IF(B146="",0,IF(ISNA(VLOOKUP(A146,'600m'!F$5:J$302,5,FALSE)),0,VLOOKUP(A146,'600m'!F$5:J$302,5,FALSE)))</f>
        <v>63</v>
      </c>
      <c r="K146" s="49" t="str">
        <f>IF(B146="","",IF(ISNA(VLOOKUP(A146,'600m'!F$5:K$302,6,FALSE)),"",VLOOKUP(A146,'600m'!F$5:K$302,6,FALSE)))</f>
        <v>PB3</v>
      </c>
      <c r="L146" s="49">
        <f>IF(B146="","",IF(ISNA(VLOOKUP(A146,LongJump!F$5:G$302,2,FALSE)),"",VLOOKUP(A146,LongJump!F$5:G$302,2,FALSE)))</f>
        <v>3.56</v>
      </c>
      <c r="M146" s="49">
        <f>IF(B146="",0,IF(ISNA(VLOOKUP(A146,LongJump!F$5:J$302,5,FALSE)),0,VLOOKUP(A146,LongJump!F$5:J$302,5,FALSE)))</f>
        <v>55</v>
      </c>
      <c r="N146" s="49" t="str">
        <f>IF(B146="",0,IF(ISNA(VLOOKUP(A146,LongJump!F$5:K$302,6,FALSE)),0,VLOOKUP(A146,LongJump!F$5:K$302,6,FALSE)))</f>
        <v>PB7</v>
      </c>
      <c r="O146" s="49">
        <f>IF(B146="","",IF(ISNA(VLOOKUP(A146,Vortex!F$5:J$302,2,FALSE)),"",VLOOKUP(A146,Vortex!F$5:J$302,2,FALSE)))</f>
        <v>16.239999999999998</v>
      </c>
      <c r="P146" s="49">
        <f>IF(B146="",0,IF(ISNA(VLOOKUP(A146,Vortex!F$5:J$302,5,FALSE)),0,VLOOKUP(A146,Vortex!F$5:J$302,5,FALSE)))</f>
        <v>32</v>
      </c>
      <c r="Q146" s="49">
        <f t="shared" si="7"/>
        <v>208</v>
      </c>
      <c r="R146" s="49">
        <f t="shared" si="8"/>
        <v>5</v>
      </c>
      <c r="S146" s="49">
        <f t="shared" si="9"/>
        <v>19</v>
      </c>
      <c r="T146" s="38"/>
      <c r="X146" s="9"/>
      <c r="Y146" s="9"/>
      <c r="AI146"/>
      <c r="AJ146"/>
    </row>
    <row r="147" spans="1:36" ht="13.95" customHeight="1">
      <c r="A147" s="49">
        <f>IF(Declarations!B120=0,"",Declarations!B120)</f>
        <v>115</v>
      </c>
      <c r="B147" s="150" t="str">
        <f>IF(ISNA(VLOOKUP(A147,Declarations!B$6:C$185,2,FALSE)),"",IF(VLOOKUP(A147,Declarations!B$6:C$185,2,FALSE)="","",VLOOKUP(A147,Declarations!B$6:C$185,2,FALSE)))</f>
        <v>ELLIOTT LEAVEY</v>
      </c>
      <c r="C147" s="150" t="str">
        <f>IF(ISNA(VLOOKUP(A147,Declarations!B$6:F$185,5,FALSE)),"",IF(VLOOKUP(A147,Declarations!B$6:F$185,5,FALSE)="","",VLOOKUP(A147,Declarations!B$6:F$185,5,FALSE)))</f>
        <v>Basingstoke &amp; Mid Hants AC</v>
      </c>
      <c r="D147" s="150" t="str">
        <f>IF(ISNA(VLOOKUP(A147,Declarations!B$6:F$185,4,FALSE)),"",IF(VLOOKUP(A147,Declarations!B$6:F$185,4,FALSE)="","",VLOOKUP(A147,Declarations!B$6:F$185,4,FALSE)))</f>
        <v>BOYS</v>
      </c>
      <c r="E147" s="150" t="str">
        <f>IF(ISNA(VLOOKUP(A147,Declarations!B$6:D$185,3,FALSE)),"",IF(VLOOKUP(A147,Declarations!B$6:D$185,3,FALSE)="","",VLOOKUP(A147,Declarations!B$6:D$185,3,FALSE)))</f>
        <v>U12</v>
      </c>
      <c r="F147" s="49">
        <f>IF(B147="","",IF(ISNA(VLOOKUP(A147,'75m'!F$5:G$302,2,FALSE)),"",VLOOKUP(A147,'75m'!F$5:G$302,2,FALSE)))</f>
        <v>12</v>
      </c>
      <c r="G147" s="49">
        <f>IF(B147="",0,IF(ISNA(VLOOKUP(A147,'75m'!F$5:J$302,5,FALSE)),0,VLOOKUP(A147,'75m'!F$5:J$302,5,FALSE)))</f>
        <v>50</v>
      </c>
      <c r="H147" s="49" t="str">
        <f>IF(B147="","",IF(ISNA(VLOOKUP(A147,'75m'!F$5:K$302,6,FALSE)),"",VLOOKUP(A147,'75m'!F$5:K$302,6,FALSE)))</f>
        <v>PB7</v>
      </c>
      <c r="I147" s="51">
        <f>IF(B147="",0,IF(ISNA(VLOOKUP(A147,'600m'!F$5:J$302,2,FALSE)),0,VLOOKUP(A147,'600m'!F$5:J$302,2,FALSE)))</f>
        <v>1.5648148148148147E-3</v>
      </c>
      <c r="J147" s="49">
        <f>IF(B147="",0,IF(ISNA(VLOOKUP(A147,'600m'!F$5:J$302,5,FALSE)),0,VLOOKUP(A147,'600m'!F$5:J$302,5,FALSE)))</f>
        <v>54</v>
      </c>
      <c r="K147" s="49" t="str">
        <f>IF(B147="","",IF(ISNA(VLOOKUP(A147,'600m'!F$5:K$302,6,FALSE)),"",VLOOKUP(A147,'600m'!F$5:K$302,6,FALSE)))</f>
        <v>PB2</v>
      </c>
      <c r="L147" s="49">
        <f>IF(B147="","",IF(ISNA(VLOOKUP(A147,LongJump!F$5:G$302,2,FALSE)),"",VLOOKUP(A147,LongJump!F$5:G$302,2,FALSE)))</f>
        <v>2.36</v>
      </c>
      <c r="M147" s="49">
        <f>IF(B147="",0,IF(ISNA(VLOOKUP(A147,LongJump!F$5:J$302,5,FALSE)),0,VLOOKUP(A147,LongJump!F$5:J$302,5,FALSE)))</f>
        <v>15</v>
      </c>
      <c r="N147" s="49" t="str">
        <f>IF(B147="",0,IF(ISNA(VLOOKUP(A147,LongJump!F$5:K$302,6,FALSE)),0,VLOOKUP(A147,LongJump!F$5:K$302,6,FALSE)))</f>
        <v>PB2</v>
      </c>
      <c r="O147" s="49">
        <f>IF(B147="","",IF(ISNA(VLOOKUP(A147,Vortex!F$5:J$302,2,FALSE)),"",VLOOKUP(A147,Vortex!F$5:J$302,2,FALSE)))</f>
        <v>27.31</v>
      </c>
      <c r="P147" s="49">
        <f>IF(B147="",0,IF(ISNA(VLOOKUP(A147,Vortex!F$5:J$302,5,FALSE)),0,VLOOKUP(A147,Vortex!F$5:J$302,5,FALSE)))</f>
        <v>54</v>
      </c>
      <c r="Q147" s="49">
        <f t="shared" si="7"/>
        <v>173</v>
      </c>
      <c r="R147" s="49">
        <f t="shared" si="8"/>
        <v>8</v>
      </c>
      <c r="S147" s="49">
        <f t="shared" si="9"/>
        <v>34</v>
      </c>
      <c r="T147" s="38"/>
      <c r="X147" s="9"/>
      <c r="Y147" s="9"/>
      <c r="AI147"/>
      <c r="AJ147"/>
    </row>
    <row r="148" spans="1:36" ht="13.95" customHeight="1">
      <c r="A148" s="49">
        <f>IF(Declarations!B121=0,"",Declarations!B121)</f>
        <v>116</v>
      </c>
      <c r="B148" s="150" t="str">
        <f>IF(ISNA(VLOOKUP(A148,Declarations!B$6:C$185,2,FALSE)),"",IF(VLOOKUP(A148,Declarations!B$6:C$185,2,FALSE)="","",VLOOKUP(A148,Declarations!B$6:C$185,2,FALSE)))</f>
        <v>MYLES GODDARD</v>
      </c>
      <c r="C148" s="150" t="str">
        <f>IF(ISNA(VLOOKUP(A148,Declarations!B$6:F$185,5,FALSE)),"",IF(VLOOKUP(A148,Declarations!B$6:F$185,5,FALSE)="","",VLOOKUP(A148,Declarations!B$6:F$185,5,FALSE)))</f>
        <v>Basingstoke &amp; Mid Hants AC</v>
      </c>
      <c r="D148" s="150" t="str">
        <f>IF(ISNA(VLOOKUP(A148,Declarations!B$6:F$185,4,FALSE)),"",IF(VLOOKUP(A148,Declarations!B$6:F$185,4,FALSE)="","",VLOOKUP(A148,Declarations!B$6:F$185,4,FALSE)))</f>
        <v>BOYS</v>
      </c>
      <c r="E148" s="150" t="str">
        <f>IF(ISNA(VLOOKUP(A148,Declarations!B$6:D$185,3,FALSE)),"",IF(VLOOKUP(A148,Declarations!B$6:D$185,3,FALSE)="","",VLOOKUP(A148,Declarations!B$6:D$185,3,FALSE)))</f>
        <v>U12</v>
      </c>
      <c r="F148" s="49">
        <f>IF(B148="","",IF(ISNA(VLOOKUP(A148,'75m'!F$5:G$302,2,FALSE)),"",VLOOKUP(A148,'75m'!F$5:G$302,2,FALSE)))</f>
        <v>11.8</v>
      </c>
      <c r="G148" s="49">
        <f>IF(B148="",0,IF(ISNA(VLOOKUP(A148,'75m'!F$5:J$302,5,FALSE)),0,VLOOKUP(A148,'75m'!F$5:J$302,5,FALSE)))</f>
        <v>52</v>
      </c>
      <c r="H148" s="49" t="str">
        <f>IF(B148="","",IF(ISNA(VLOOKUP(A148,'75m'!F$5:K$302,6,FALSE)),"",VLOOKUP(A148,'75m'!F$5:K$302,6,FALSE)))</f>
        <v>PB7</v>
      </c>
      <c r="I148" s="51">
        <f>IF(B148="",0,IF(ISNA(VLOOKUP(A148,'600m'!F$5:J$302,2,FALSE)),0,VLOOKUP(A148,'600m'!F$5:J$302,2,FALSE)))</f>
        <v>0</v>
      </c>
      <c r="J148" s="49">
        <f>IF(B148="",0,IF(ISNA(VLOOKUP(A148,'600m'!F$5:J$302,5,FALSE)),0,VLOOKUP(A148,'600m'!F$5:J$302,5,FALSE)))</f>
        <v>0</v>
      </c>
      <c r="K148" s="49" t="str">
        <f>IF(B148="","",IF(ISNA(VLOOKUP(A148,'600m'!F$5:K$302,6,FALSE)),"",VLOOKUP(A148,'600m'!F$5:K$302,6,FALSE)))</f>
        <v/>
      </c>
      <c r="L148" s="49">
        <f>IF(B148="","",IF(ISNA(VLOOKUP(A148,LongJump!F$5:G$302,2,FALSE)),"",VLOOKUP(A148,LongJump!F$5:G$302,2,FALSE)))</f>
        <v>2.78</v>
      </c>
      <c r="M148" s="49">
        <f>IF(B148="",0,IF(ISNA(VLOOKUP(A148,LongJump!F$5:J$302,5,FALSE)),0,VLOOKUP(A148,LongJump!F$5:J$302,5,FALSE)))</f>
        <v>29</v>
      </c>
      <c r="N148" s="49" t="str">
        <f>IF(B148="",0,IF(ISNA(VLOOKUP(A148,LongJump!F$5:K$302,6,FALSE)),0,VLOOKUP(A148,LongJump!F$5:K$302,6,FALSE)))</f>
        <v>PB4</v>
      </c>
      <c r="O148" s="49">
        <f>IF(B148="","",IF(ISNA(VLOOKUP(A148,Vortex!F$5:J$302,2,FALSE)),"",VLOOKUP(A148,Vortex!F$5:J$302,2,FALSE)))</f>
        <v>17.43</v>
      </c>
      <c r="P148" s="49">
        <f>IF(B148="",0,IF(ISNA(VLOOKUP(A148,Vortex!F$5:J$302,5,FALSE)),0,VLOOKUP(A148,Vortex!F$5:J$302,5,FALSE)))</f>
        <v>34</v>
      </c>
      <c r="Q148" s="49">
        <f t="shared" si="7"/>
        <v>115</v>
      </c>
      <c r="R148" s="49">
        <f t="shared" si="8"/>
        <v>10</v>
      </c>
      <c r="S148" s="49">
        <f t="shared" si="9"/>
        <v>44</v>
      </c>
      <c r="T148" s="38"/>
      <c r="X148" s="9"/>
      <c r="Y148" s="9"/>
      <c r="AI148"/>
      <c r="AJ148"/>
    </row>
    <row r="149" spans="1:36" ht="13.95" customHeight="1">
      <c r="A149" s="49">
        <f>IF(Declarations!B122=0,"",Declarations!B122)</f>
        <v>117</v>
      </c>
      <c r="B149" s="150" t="str">
        <f>IF(ISNA(VLOOKUP(A149,Declarations!B$6:C$185,2,FALSE)),"",IF(VLOOKUP(A149,Declarations!B$6:C$185,2,FALSE)="","",VLOOKUP(A149,Declarations!B$6:C$185,2,FALSE)))</f>
        <v>JAY GOVIND</v>
      </c>
      <c r="C149" s="150" t="str">
        <f>IF(ISNA(VLOOKUP(A149,Declarations!B$6:F$185,5,FALSE)),"",IF(VLOOKUP(A149,Declarations!B$6:F$185,5,FALSE)="","",VLOOKUP(A149,Declarations!B$6:F$185,5,FALSE)))</f>
        <v>Basingstoke &amp; Mid Hants AC</v>
      </c>
      <c r="D149" s="150" t="str">
        <f>IF(ISNA(VLOOKUP(A149,Declarations!B$6:F$185,4,FALSE)),"",IF(VLOOKUP(A149,Declarations!B$6:F$185,4,FALSE)="","",VLOOKUP(A149,Declarations!B$6:F$185,4,FALSE)))</f>
        <v>BOYS</v>
      </c>
      <c r="E149" s="150" t="str">
        <f>IF(ISNA(VLOOKUP(A149,Declarations!B$6:D$185,3,FALSE)),"",IF(VLOOKUP(A149,Declarations!B$6:D$185,3,FALSE)="","",VLOOKUP(A149,Declarations!B$6:D$185,3,FALSE)))</f>
        <v>U12</v>
      </c>
      <c r="F149" s="49">
        <f>IF(B149="","",IF(ISNA(VLOOKUP(A149,'75m'!F$5:G$302,2,FALSE)),"",VLOOKUP(A149,'75m'!F$5:G$302,2,FALSE)))</f>
        <v>11.7</v>
      </c>
      <c r="G149" s="49">
        <f>IF(B149="",0,IF(ISNA(VLOOKUP(A149,'75m'!F$5:J$302,5,FALSE)),0,VLOOKUP(A149,'75m'!F$5:J$302,5,FALSE)))</f>
        <v>53</v>
      </c>
      <c r="H149" s="49" t="str">
        <f>IF(B149="","",IF(ISNA(VLOOKUP(A149,'75m'!F$5:K$302,6,FALSE)),"",VLOOKUP(A149,'75m'!F$5:K$302,6,FALSE)))</f>
        <v>PB7</v>
      </c>
      <c r="I149" s="51">
        <f>IF(B149="",0,IF(ISNA(VLOOKUP(A149,'600m'!F$5:J$302,2,FALSE)),0,VLOOKUP(A149,'600m'!F$5:J$302,2,FALSE)))</f>
        <v>1.517361111111111E-3</v>
      </c>
      <c r="J149" s="49">
        <f>IF(B149="",0,IF(ISNA(VLOOKUP(A149,'600m'!F$5:J$302,5,FALSE)),0,VLOOKUP(A149,'600m'!F$5:J$302,5,FALSE)))</f>
        <v>58</v>
      </c>
      <c r="K149" s="49" t="str">
        <f>IF(B149="","",IF(ISNA(VLOOKUP(A149,'600m'!F$5:K$302,6,FALSE)),"",VLOOKUP(A149,'600m'!F$5:K$302,6,FALSE)))</f>
        <v>PB2</v>
      </c>
      <c r="L149" s="49">
        <f>IF(B149="","",IF(ISNA(VLOOKUP(A149,LongJump!F$5:G$302,2,FALSE)),"",VLOOKUP(A149,LongJump!F$5:G$302,2,FALSE)))</f>
        <v>2.87</v>
      </c>
      <c r="M149" s="49">
        <f>IF(B149="",0,IF(ISNA(VLOOKUP(A149,LongJump!F$5:J$302,5,FALSE)),0,VLOOKUP(A149,LongJump!F$5:J$302,5,FALSE)))</f>
        <v>32</v>
      </c>
      <c r="N149" s="49" t="str">
        <f>IF(B149="",0,IF(ISNA(VLOOKUP(A149,LongJump!F$5:K$302,6,FALSE)),0,VLOOKUP(A149,LongJump!F$5:K$302,6,FALSE)))</f>
        <v>PB4</v>
      </c>
      <c r="O149" s="49">
        <f>IF(B149="","",IF(ISNA(VLOOKUP(A149,Vortex!F$5:J$302,2,FALSE)),"",VLOOKUP(A149,Vortex!F$5:J$302,2,FALSE)))</f>
        <v>36</v>
      </c>
      <c r="P149" s="49">
        <f>IF(B149="",0,IF(ISNA(VLOOKUP(A149,Vortex!F$5:J$302,5,FALSE)),0,VLOOKUP(A149,Vortex!F$5:J$302,5,FALSE)))</f>
        <v>72</v>
      </c>
      <c r="Q149" s="49">
        <f t="shared" si="7"/>
        <v>215</v>
      </c>
      <c r="R149" s="49">
        <f t="shared" si="8"/>
        <v>4</v>
      </c>
      <c r="S149" s="49">
        <f t="shared" si="9"/>
        <v>15</v>
      </c>
      <c r="T149" s="38"/>
      <c r="X149" s="9"/>
      <c r="Y149" s="9"/>
      <c r="AI149"/>
      <c r="AJ149"/>
    </row>
    <row r="150" spans="1:36" ht="13.95" customHeight="1">
      <c r="A150" s="49">
        <f>IF(Declarations!B123=0,"",Declarations!B123)</f>
        <v>118</v>
      </c>
      <c r="B150" s="150" t="str">
        <f>IF(ISNA(VLOOKUP(A150,Declarations!B$6:C$185,2,FALSE)),"",IF(VLOOKUP(A150,Declarations!B$6:C$185,2,FALSE)="","",VLOOKUP(A150,Declarations!B$6:C$185,2,FALSE)))</f>
        <v>TOBY POWELL</v>
      </c>
      <c r="C150" s="150" t="str">
        <f>IF(ISNA(VLOOKUP(A150,Declarations!B$6:F$185,5,FALSE)),"",IF(VLOOKUP(A150,Declarations!B$6:F$185,5,FALSE)="","",VLOOKUP(A150,Declarations!B$6:F$185,5,FALSE)))</f>
        <v>Basingstoke &amp; Mid Hants AC</v>
      </c>
      <c r="D150" s="150" t="str">
        <f>IF(ISNA(VLOOKUP(A150,Declarations!B$6:F$185,4,FALSE)),"",IF(VLOOKUP(A150,Declarations!B$6:F$185,4,FALSE)="","",VLOOKUP(A150,Declarations!B$6:F$185,4,FALSE)))</f>
        <v>BOYS</v>
      </c>
      <c r="E150" s="150" t="str">
        <f>IF(ISNA(VLOOKUP(A150,Declarations!B$6:D$185,3,FALSE)),"",IF(VLOOKUP(A150,Declarations!B$6:D$185,3,FALSE)="","",VLOOKUP(A150,Declarations!B$6:D$185,3,FALSE)))</f>
        <v>U12</v>
      </c>
      <c r="F150" s="49">
        <f>IF(B150="","",IF(ISNA(VLOOKUP(A150,'75m'!F$5:G$302,2,FALSE)),"",VLOOKUP(A150,'75m'!F$5:G$302,2,FALSE)))</f>
        <v>12.1</v>
      </c>
      <c r="G150" s="49">
        <f>IF(B150="",0,IF(ISNA(VLOOKUP(A150,'75m'!F$5:J$302,5,FALSE)),0,VLOOKUP(A150,'75m'!F$5:J$302,5,FALSE)))</f>
        <v>49</v>
      </c>
      <c r="H150" s="49" t="str">
        <f>IF(B150="","",IF(ISNA(VLOOKUP(A150,'75m'!F$5:K$302,6,FALSE)),"",VLOOKUP(A150,'75m'!F$5:K$302,6,FALSE)))</f>
        <v>PB6</v>
      </c>
      <c r="I150" s="51">
        <f>IF(B150="",0,IF(ISNA(VLOOKUP(A150,'600m'!F$5:J$302,2,FALSE)),0,VLOOKUP(A150,'600m'!F$5:J$302,2,FALSE)))</f>
        <v>1.3368055555555555E-3</v>
      </c>
      <c r="J150" s="49">
        <f>IF(B150="",0,IF(ISNA(VLOOKUP(A150,'600m'!F$5:J$302,5,FALSE)),0,VLOOKUP(A150,'600m'!F$5:J$302,5,FALSE)))</f>
        <v>74</v>
      </c>
      <c r="K150" s="49" t="str">
        <f>IF(B150="","",IF(ISNA(VLOOKUP(A150,'600m'!F$5:K$302,6,FALSE)),"",VLOOKUP(A150,'600m'!F$5:K$302,6,FALSE)))</f>
        <v>PB5</v>
      </c>
      <c r="L150" s="49">
        <f>IF(B150="","",IF(ISNA(VLOOKUP(A150,LongJump!F$5:G$302,2,FALSE)),"",VLOOKUP(A150,LongJump!F$5:G$302,2,FALSE)))</f>
        <v>2.98</v>
      </c>
      <c r="M150" s="49">
        <f>IF(B150="",0,IF(ISNA(VLOOKUP(A150,LongJump!F$5:J$302,5,FALSE)),0,VLOOKUP(A150,LongJump!F$5:J$302,5,FALSE)))</f>
        <v>36</v>
      </c>
      <c r="N150" s="49" t="str">
        <f>IF(B150="",0,IF(ISNA(VLOOKUP(A150,LongJump!F$5:K$302,6,FALSE)),0,VLOOKUP(A150,LongJump!F$5:K$302,6,FALSE)))</f>
        <v>PB4</v>
      </c>
      <c r="O150" s="49">
        <f>IF(B150="","",IF(ISNA(VLOOKUP(A150,Vortex!F$5:J$302,2,FALSE)),"",VLOOKUP(A150,Vortex!F$5:J$302,2,FALSE)))</f>
        <v>32.950000000000003</v>
      </c>
      <c r="P150" s="49">
        <f>IF(B150="",0,IF(ISNA(VLOOKUP(A150,Vortex!F$5:J$302,5,FALSE)),0,VLOOKUP(A150,Vortex!F$5:J$302,5,FALSE)))</f>
        <v>65</v>
      </c>
      <c r="Q150" s="49">
        <f t="shared" si="7"/>
        <v>224</v>
      </c>
      <c r="R150" s="49">
        <f t="shared" si="8"/>
        <v>3</v>
      </c>
      <c r="S150" s="49">
        <f t="shared" si="9"/>
        <v>12</v>
      </c>
      <c r="T150" s="38"/>
      <c r="X150" s="9"/>
      <c r="Y150" s="9"/>
      <c r="AI150"/>
      <c r="AJ150"/>
    </row>
    <row r="151" spans="1:36" ht="13.95" customHeight="1">
      <c r="A151" s="49">
        <f>IF(Declarations!B124=0,"",Declarations!B124)</f>
        <v>119</v>
      </c>
      <c r="B151" s="150" t="str">
        <f>IF(ISNA(VLOOKUP(A151,Declarations!B$6:C$185,2,FALSE)),"",IF(VLOOKUP(A151,Declarations!B$6:C$185,2,FALSE)="","",VLOOKUP(A151,Declarations!B$6:C$185,2,FALSE)))</f>
        <v>ALEX WILKINSON</v>
      </c>
      <c r="C151" s="150" t="str">
        <f>IF(ISNA(VLOOKUP(A151,Declarations!B$6:F$185,5,FALSE)),"",IF(VLOOKUP(A151,Declarations!B$6:F$185,5,FALSE)="","",VLOOKUP(A151,Declarations!B$6:F$185,5,FALSE)))</f>
        <v>Basingstoke &amp; Mid Hants AC</v>
      </c>
      <c r="D151" s="150" t="str">
        <f>IF(ISNA(VLOOKUP(A151,Declarations!B$6:F$185,4,FALSE)),"",IF(VLOOKUP(A151,Declarations!B$6:F$185,4,FALSE)="","",VLOOKUP(A151,Declarations!B$6:F$185,4,FALSE)))</f>
        <v>BOYS</v>
      </c>
      <c r="E151" s="150" t="str">
        <f>IF(ISNA(VLOOKUP(A151,Declarations!B$6:D$185,3,FALSE)),"",IF(VLOOKUP(A151,Declarations!B$6:D$185,3,FALSE)="","",VLOOKUP(A151,Declarations!B$6:D$185,3,FALSE)))</f>
        <v>U12</v>
      </c>
      <c r="F151" s="49">
        <f>IF(B151="","",IF(ISNA(VLOOKUP(A151,'75m'!F$5:G$302,2,FALSE)),"",VLOOKUP(A151,'75m'!F$5:G$302,2,FALSE)))</f>
        <v>12.5</v>
      </c>
      <c r="G151" s="49">
        <f>IF(B151="",0,IF(ISNA(VLOOKUP(A151,'75m'!F$5:J$302,5,FALSE)),0,VLOOKUP(A151,'75m'!F$5:J$302,5,FALSE)))</f>
        <v>45</v>
      </c>
      <c r="H151" s="49" t="str">
        <f>IF(B151="","",IF(ISNA(VLOOKUP(A151,'75m'!F$5:K$302,6,FALSE)),"",VLOOKUP(A151,'75m'!F$5:K$302,6,FALSE)))</f>
        <v>PB6</v>
      </c>
      <c r="I151" s="51">
        <f>IF(B151="",0,IF(ISNA(VLOOKUP(A151,'600m'!F$5:J$302,2,FALSE)),0,VLOOKUP(A151,'600m'!F$5:J$302,2,FALSE)))</f>
        <v>1.523148148148148E-3</v>
      </c>
      <c r="J151" s="49">
        <f>IF(B151="",0,IF(ISNA(VLOOKUP(A151,'600m'!F$5:J$302,5,FALSE)),0,VLOOKUP(A151,'600m'!F$5:J$302,5,FALSE)))</f>
        <v>58</v>
      </c>
      <c r="K151" s="49" t="str">
        <f>IF(B151="","",IF(ISNA(VLOOKUP(A151,'600m'!F$5:K$302,6,FALSE)),"",VLOOKUP(A151,'600m'!F$5:K$302,6,FALSE)))</f>
        <v>PB2</v>
      </c>
      <c r="L151" s="49">
        <f>IF(B151="","",IF(ISNA(VLOOKUP(A151,LongJump!F$5:G$302,2,FALSE)),"",VLOOKUP(A151,LongJump!F$5:G$302,2,FALSE)))</f>
        <v>2.92</v>
      </c>
      <c r="M151" s="49">
        <f>IF(B151="",0,IF(ISNA(VLOOKUP(A151,LongJump!F$5:J$302,5,FALSE)),0,VLOOKUP(A151,LongJump!F$5:J$302,5,FALSE)))</f>
        <v>34</v>
      </c>
      <c r="N151" s="49" t="str">
        <f>IF(B151="",0,IF(ISNA(VLOOKUP(A151,LongJump!F$5:K$302,6,FALSE)),0,VLOOKUP(A151,LongJump!F$5:K$302,6,FALSE)))</f>
        <v>PB4</v>
      </c>
      <c r="O151" s="49">
        <f>IF(B151="","",IF(ISNA(VLOOKUP(A151,Vortex!F$5:J$302,2,FALSE)),"",VLOOKUP(A151,Vortex!F$5:J$302,2,FALSE)))</f>
        <v>26.94</v>
      </c>
      <c r="P151" s="49">
        <f>IF(B151="",0,IF(ISNA(VLOOKUP(A151,Vortex!F$5:J$302,5,FALSE)),0,VLOOKUP(A151,Vortex!F$5:J$302,5,FALSE)))</f>
        <v>53</v>
      </c>
      <c r="Q151" s="49">
        <f t="shared" si="7"/>
        <v>190</v>
      </c>
      <c r="R151" s="49">
        <f t="shared" si="8"/>
        <v>7</v>
      </c>
      <c r="S151" s="49">
        <f t="shared" si="9"/>
        <v>28</v>
      </c>
      <c r="T151" s="38"/>
      <c r="X151" s="9"/>
      <c r="Y151" s="9"/>
      <c r="AI151"/>
      <c r="AJ151"/>
    </row>
    <row r="152" spans="1:36" ht="13.95" customHeight="1">
      <c r="A152" s="49">
        <f>IF(Declarations!B125=0,"",Declarations!B125)</f>
        <v>120</v>
      </c>
      <c r="B152" s="150" t="str">
        <f>IF(ISNA(VLOOKUP(A152,Declarations!B$6:C$185,2,FALSE)),"",IF(VLOOKUP(A152,Declarations!B$6:C$185,2,FALSE)="","",VLOOKUP(A152,Declarations!B$6:C$185,2,FALSE)))</f>
        <v>ETHAN WEIGHT</v>
      </c>
      <c r="C152" s="150" t="str">
        <f>IF(ISNA(VLOOKUP(A152,Declarations!B$6:F$185,5,FALSE)),"",IF(VLOOKUP(A152,Declarations!B$6:F$185,5,FALSE)="","",VLOOKUP(A152,Declarations!B$6:F$185,5,FALSE)))</f>
        <v>Basingstoke &amp; Mid Hants AC</v>
      </c>
      <c r="D152" s="150" t="str">
        <f>IF(ISNA(VLOOKUP(A152,Declarations!B$6:F$185,4,FALSE)),"",IF(VLOOKUP(A152,Declarations!B$6:F$185,4,FALSE)="","",VLOOKUP(A152,Declarations!B$6:F$185,4,FALSE)))</f>
        <v>BOYS</v>
      </c>
      <c r="E152" s="150" t="str">
        <f>IF(ISNA(VLOOKUP(A152,Declarations!B$6:D$185,3,FALSE)),"",IF(VLOOKUP(A152,Declarations!B$6:D$185,3,FALSE)="","",VLOOKUP(A152,Declarations!B$6:D$185,3,FALSE)))</f>
        <v>U12</v>
      </c>
      <c r="F152" s="49">
        <f>IF(B152="","",IF(ISNA(VLOOKUP(A152,'75m'!F$5:G$302,2,FALSE)),"",VLOOKUP(A152,'75m'!F$5:G$302,2,FALSE)))</f>
        <v>12.2</v>
      </c>
      <c r="G152" s="49">
        <f>IF(B152="",0,IF(ISNA(VLOOKUP(A152,'75m'!F$5:J$302,5,FALSE)),0,VLOOKUP(A152,'75m'!F$5:J$302,5,FALSE)))</f>
        <v>48</v>
      </c>
      <c r="H152" s="49" t="str">
        <f>IF(B152="","",IF(ISNA(VLOOKUP(A152,'75m'!F$5:K$302,6,FALSE)),"",VLOOKUP(A152,'75m'!F$5:K$302,6,FALSE)))</f>
        <v>PB6</v>
      </c>
      <c r="I152" s="51">
        <f>IF(B152="",0,IF(ISNA(VLOOKUP(A152,'600m'!F$5:J$302,2,FALSE)),0,VLOOKUP(A152,'600m'!F$5:J$302,2,FALSE)))</f>
        <v>1.5671296296296297E-3</v>
      </c>
      <c r="J152" s="49">
        <f>IF(B152="",0,IF(ISNA(VLOOKUP(A152,'600m'!F$5:J$302,5,FALSE)),0,VLOOKUP(A152,'600m'!F$5:J$302,5,FALSE)))</f>
        <v>54</v>
      </c>
      <c r="K152" s="49" t="str">
        <f>IF(B152="","",IF(ISNA(VLOOKUP(A152,'600m'!F$5:K$302,6,FALSE)),"",VLOOKUP(A152,'600m'!F$5:K$302,6,FALSE)))</f>
        <v>PB2</v>
      </c>
      <c r="L152" s="49">
        <f>IF(B152="","",IF(ISNA(VLOOKUP(A152,LongJump!F$5:G$302,2,FALSE)),"",VLOOKUP(A152,LongJump!F$5:G$302,2,FALSE)))</f>
        <v>2.56</v>
      </c>
      <c r="M152" s="49">
        <f>IF(B152="",0,IF(ISNA(VLOOKUP(A152,LongJump!F$5:J$302,5,FALSE)),0,VLOOKUP(A152,LongJump!F$5:J$302,5,FALSE)))</f>
        <v>22</v>
      </c>
      <c r="N152" s="49" t="str">
        <f>IF(B152="",0,IF(ISNA(VLOOKUP(A152,LongJump!F$5:K$302,6,FALSE)),0,VLOOKUP(A152,LongJump!F$5:K$302,6,FALSE)))</f>
        <v>PB3</v>
      </c>
      <c r="O152" s="49">
        <f>IF(B152="","",IF(ISNA(VLOOKUP(A152,Vortex!F$5:J$302,2,FALSE)),"",VLOOKUP(A152,Vortex!F$5:J$302,2,FALSE)))</f>
        <v>15.66</v>
      </c>
      <c r="P152" s="49">
        <f>IF(B152="",0,IF(ISNA(VLOOKUP(A152,Vortex!F$5:J$302,5,FALSE)),0,VLOOKUP(A152,Vortex!F$5:J$302,5,FALSE)))</f>
        <v>31</v>
      </c>
      <c r="Q152" s="49">
        <f t="shared" si="7"/>
        <v>155</v>
      </c>
      <c r="R152" s="49">
        <f t="shared" si="8"/>
        <v>9</v>
      </c>
      <c r="S152" s="49">
        <f t="shared" si="9"/>
        <v>39</v>
      </c>
      <c r="T152" s="38"/>
      <c r="X152" s="9"/>
      <c r="Y152" s="9"/>
      <c r="AI152"/>
      <c r="AJ152"/>
    </row>
    <row r="153" spans="1:36" ht="13.95" customHeight="1">
      <c r="A153" s="49">
        <f>IF(Declarations!B126=0,"",Declarations!B126)</f>
        <v>121</v>
      </c>
      <c r="B153" s="150" t="str">
        <f>IF(ISNA(VLOOKUP(A153,Declarations!B$6:C$185,2,FALSE)),"",IF(VLOOKUP(A153,Declarations!B$6:C$185,2,FALSE)="","",VLOOKUP(A153,Declarations!B$6:C$185,2,FALSE)))</f>
        <v/>
      </c>
      <c r="C153" s="150" t="str">
        <f>IF(ISNA(VLOOKUP(A153,Declarations!B$6:F$185,5,FALSE)),"",IF(VLOOKUP(A153,Declarations!B$6:F$185,5,FALSE)="","",VLOOKUP(A153,Declarations!B$6:F$185,5,FALSE)))</f>
        <v/>
      </c>
      <c r="D153" s="150" t="str">
        <f>IF(ISNA(VLOOKUP(A153,Declarations!B$6:F$185,4,FALSE)),"",IF(VLOOKUP(A153,Declarations!B$6:F$185,4,FALSE)="","",VLOOKUP(A153,Declarations!B$6:F$185,4,FALSE)))</f>
        <v>GIRLS</v>
      </c>
      <c r="E153" s="150" t="str">
        <f>IF(ISNA(VLOOKUP(A153,Declarations!B$6:D$185,3,FALSE)),"",IF(VLOOKUP(A153,Declarations!B$6:D$185,3,FALSE)="","",VLOOKUP(A153,Declarations!B$6:D$185,3,FALSE)))</f>
        <v>U12</v>
      </c>
      <c r="F153" s="49" t="str">
        <f>IF(B153="","",IF(ISNA(VLOOKUP(A153,'75m'!F$5:G$302,2,FALSE)),"",VLOOKUP(A153,'75m'!F$5:G$302,2,FALSE)))</f>
        <v/>
      </c>
      <c r="G153" s="49">
        <f>IF(B153="",0,IF(ISNA(VLOOKUP(A153,'75m'!F$5:J$302,5,FALSE)),0,VLOOKUP(A153,'75m'!F$5:J$302,5,FALSE)))</f>
        <v>0</v>
      </c>
      <c r="H153" s="49" t="str">
        <f>IF(B153="","",IF(ISNA(VLOOKUP(A153,'75m'!F$5:K$302,6,FALSE)),"",VLOOKUP(A153,'75m'!F$5:K$302,6,FALSE)))</f>
        <v/>
      </c>
      <c r="I153" s="51">
        <f>IF(B153="",0,IF(ISNA(VLOOKUP(A153,'600m'!F$5:J$302,2,FALSE)),0,VLOOKUP(A153,'600m'!F$5:J$302,2,FALSE)))</f>
        <v>0</v>
      </c>
      <c r="J153" s="49">
        <f>IF(B153="",0,IF(ISNA(VLOOKUP(A153,'600m'!F$5:J$302,5,FALSE)),0,VLOOKUP(A153,'600m'!F$5:J$302,5,FALSE)))</f>
        <v>0</v>
      </c>
      <c r="K153" s="49" t="str">
        <f>IF(B153="","",IF(ISNA(VLOOKUP(A153,'600m'!F$5:K$302,6,FALSE)),"",VLOOKUP(A153,'600m'!F$5:K$302,6,FALSE)))</f>
        <v/>
      </c>
      <c r="L153" s="49" t="str">
        <f>IF(B153="","",IF(ISNA(VLOOKUP(A153,LongJump!F$5:G$302,2,FALSE)),"",VLOOKUP(A153,LongJump!F$5:G$302,2,FALSE)))</f>
        <v/>
      </c>
      <c r="M153" s="49">
        <f>IF(B153="",0,IF(ISNA(VLOOKUP(A153,LongJump!F$5:J$302,5,FALSE)),0,VLOOKUP(A153,LongJump!F$5:J$302,5,FALSE)))</f>
        <v>0</v>
      </c>
      <c r="N153" s="49">
        <f>IF(B153="",0,IF(ISNA(VLOOKUP(A153,LongJump!F$5:K$302,6,FALSE)),0,VLOOKUP(A153,LongJump!F$5:K$302,6,FALSE)))</f>
        <v>0</v>
      </c>
      <c r="O153" s="49" t="str">
        <f>IF(B153="","",IF(ISNA(VLOOKUP(A153,Vortex!F$5:J$302,2,FALSE)),"",VLOOKUP(A153,Vortex!F$5:J$302,2,FALSE)))</f>
        <v/>
      </c>
      <c r="P153" s="49">
        <f>IF(B153="",0,IF(ISNA(VLOOKUP(A153,Vortex!F$5:J$302,5,FALSE)),0,VLOOKUP(A153,Vortex!F$5:J$302,5,FALSE)))</f>
        <v>0</v>
      </c>
      <c r="Q153" s="49">
        <f t="shared" si="7"/>
        <v>0</v>
      </c>
      <c r="R153" s="49" t="str">
        <f t="shared" si="8"/>
        <v/>
      </c>
      <c r="S153" s="49" t="str">
        <f t="shared" si="9"/>
        <v/>
      </c>
      <c r="T153" s="38"/>
      <c r="X153" s="9"/>
      <c r="Y153" s="9"/>
      <c r="AI153"/>
      <c r="AJ153"/>
    </row>
    <row r="154" spans="1:36" ht="13.95" customHeight="1">
      <c r="A154" s="49">
        <f>IF(Declarations!B127=0,"",Declarations!B127)</f>
        <v>122</v>
      </c>
      <c r="B154" s="150" t="str">
        <f>IF(ISNA(VLOOKUP(A154,Declarations!B$6:C$185,2,FALSE)),"",IF(VLOOKUP(A154,Declarations!B$6:C$185,2,FALSE)="","",VLOOKUP(A154,Declarations!B$6:C$185,2,FALSE)))</f>
        <v/>
      </c>
      <c r="C154" s="150" t="str">
        <f>IF(ISNA(VLOOKUP(A154,Declarations!B$6:F$185,5,FALSE)),"",IF(VLOOKUP(A154,Declarations!B$6:F$185,5,FALSE)="","",VLOOKUP(A154,Declarations!B$6:F$185,5,FALSE)))</f>
        <v/>
      </c>
      <c r="D154" s="150" t="str">
        <f>IF(ISNA(VLOOKUP(A154,Declarations!B$6:F$185,4,FALSE)),"",IF(VLOOKUP(A154,Declarations!B$6:F$185,4,FALSE)="","",VLOOKUP(A154,Declarations!B$6:F$185,4,FALSE)))</f>
        <v>GIRLS</v>
      </c>
      <c r="E154" s="150" t="str">
        <f>IF(ISNA(VLOOKUP(A154,Declarations!B$6:D$185,3,FALSE)),"",IF(VLOOKUP(A154,Declarations!B$6:D$185,3,FALSE)="","",VLOOKUP(A154,Declarations!B$6:D$185,3,FALSE)))</f>
        <v>U12</v>
      </c>
      <c r="F154" s="49" t="str">
        <f>IF(B154="","",IF(ISNA(VLOOKUP(A154,'75m'!F$5:G$302,2,FALSE)),"",VLOOKUP(A154,'75m'!F$5:G$302,2,FALSE)))</f>
        <v/>
      </c>
      <c r="G154" s="49">
        <f>IF(B154="",0,IF(ISNA(VLOOKUP(A154,'75m'!F$5:J$302,5,FALSE)),0,VLOOKUP(A154,'75m'!F$5:J$302,5,FALSE)))</f>
        <v>0</v>
      </c>
      <c r="H154" s="49" t="str">
        <f>IF(B154="","",IF(ISNA(VLOOKUP(A154,'75m'!F$5:K$302,6,FALSE)),"",VLOOKUP(A154,'75m'!F$5:K$302,6,FALSE)))</f>
        <v/>
      </c>
      <c r="I154" s="51">
        <f>IF(B154="",0,IF(ISNA(VLOOKUP(A154,'600m'!F$5:J$302,2,FALSE)),0,VLOOKUP(A154,'600m'!F$5:J$302,2,FALSE)))</f>
        <v>0</v>
      </c>
      <c r="J154" s="49">
        <f>IF(B154="",0,IF(ISNA(VLOOKUP(A154,'600m'!F$5:J$302,5,FALSE)),0,VLOOKUP(A154,'600m'!F$5:J$302,5,FALSE)))</f>
        <v>0</v>
      </c>
      <c r="K154" s="49" t="str">
        <f>IF(B154="","",IF(ISNA(VLOOKUP(A154,'600m'!F$5:K$302,6,FALSE)),"",VLOOKUP(A154,'600m'!F$5:K$302,6,FALSE)))</f>
        <v/>
      </c>
      <c r="L154" s="49" t="str">
        <f>IF(B154="","",IF(ISNA(VLOOKUP(A154,LongJump!F$5:G$302,2,FALSE)),"",VLOOKUP(A154,LongJump!F$5:G$302,2,FALSE)))</f>
        <v/>
      </c>
      <c r="M154" s="49">
        <f>IF(B154="",0,IF(ISNA(VLOOKUP(A154,LongJump!F$5:J$302,5,FALSE)),0,VLOOKUP(A154,LongJump!F$5:J$302,5,FALSE)))</f>
        <v>0</v>
      </c>
      <c r="N154" s="49">
        <f>IF(B154="",0,IF(ISNA(VLOOKUP(A154,LongJump!F$5:K$302,6,FALSE)),0,VLOOKUP(A154,LongJump!F$5:K$302,6,FALSE)))</f>
        <v>0</v>
      </c>
      <c r="O154" s="49" t="str">
        <f>IF(B154="","",IF(ISNA(VLOOKUP(A154,Vortex!F$5:J$302,2,FALSE)),"",VLOOKUP(A154,Vortex!F$5:J$302,2,FALSE)))</f>
        <v/>
      </c>
      <c r="P154" s="49">
        <f>IF(B154="",0,IF(ISNA(VLOOKUP(A154,Vortex!F$5:J$302,5,FALSE)),0,VLOOKUP(A154,Vortex!F$5:J$302,5,FALSE)))</f>
        <v>0</v>
      </c>
      <c r="Q154" s="49">
        <f t="shared" si="7"/>
        <v>0</v>
      </c>
      <c r="R154" s="49" t="str">
        <f t="shared" si="8"/>
        <v/>
      </c>
      <c r="S154" s="49" t="str">
        <f t="shared" si="9"/>
        <v/>
      </c>
      <c r="T154" s="38"/>
      <c r="X154" s="9"/>
      <c r="Y154" s="9"/>
      <c r="AI154"/>
      <c r="AJ154"/>
    </row>
    <row r="155" spans="1:36" ht="13.95" customHeight="1">
      <c r="A155" s="49">
        <f>IF(Declarations!B128=0,"",Declarations!B128)</f>
        <v>123</v>
      </c>
      <c r="B155" s="150" t="str">
        <f>IF(ISNA(VLOOKUP(A155,Declarations!B$6:C$185,2,FALSE)),"",IF(VLOOKUP(A155,Declarations!B$6:C$185,2,FALSE)="","",VLOOKUP(A155,Declarations!B$6:C$185,2,FALSE)))</f>
        <v/>
      </c>
      <c r="C155" s="150" t="str">
        <f>IF(ISNA(VLOOKUP(A155,Declarations!B$6:F$185,5,FALSE)),"",IF(VLOOKUP(A155,Declarations!B$6:F$185,5,FALSE)="","",VLOOKUP(A155,Declarations!B$6:F$185,5,FALSE)))</f>
        <v/>
      </c>
      <c r="D155" s="150" t="str">
        <f>IF(ISNA(VLOOKUP(A155,Declarations!B$6:F$185,4,FALSE)),"",IF(VLOOKUP(A155,Declarations!B$6:F$185,4,FALSE)="","",VLOOKUP(A155,Declarations!B$6:F$185,4,FALSE)))</f>
        <v>GIRLS</v>
      </c>
      <c r="E155" s="150" t="str">
        <f>IF(ISNA(VLOOKUP(A155,Declarations!B$6:D$185,3,FALSE)),"",IF(VLOOKUP(A155,Declarations!B$6:D$185,3,FALSE)="","",VLOOKUP(A155,Declarations!B$6:D$185,3,FALSE)))</f>
        <v>U12</v>
      </c>
      <c r="F155" s="49" t="str">
        <f>IF(B155="","",IF(ISNA(VLOOKUP(A155,'75m'!F$5:G$302,2,FALSE)),"",VLOOKUP(A155,'75m'!F$5:G$302,2,FALSE)))</f>
        <v/>
      </c>
      <c r="G155" s="49">
        <f>IF(B155="",0,IF(ISNA(VLOOKUP(A155,'75m'!F$5:J$302,5,FALSE)),0,VLOOKUP(A155,'75m'!F$5:J$302,5,FALSE)))</f>
        <v>0</v>
      </c>
      <c r="H155" s="49" t="str">
        <f>IF(B155="","",IF(ISNA(VLOOKUP(A155,'75m'!F$5:K$302,6,FALSE)),"",VLOOKUP(A155,'75m'!F$5:K$302,6,FALSE)))</f>
        <v/>
      </c>
      <c r="I155" s="51">
        <f>IF(B155="",0,IF(ISNA(VLOOKUP(A155,'600m'!F$5:J$302,2,FALSE)),0,VLOOKUP(A155,'600m'!F$5:J$302,2,FALSE)))</f>
        <v>0</v>
      </c>
      <c r="J155" s="49">
        <f>IF(B155="",0,IF(ISNA(VLOOKUP(A155,'600m'!F$5:J$302,5,FALSE)),0,VLOOKUP(A155,'600m'!F$5:J$302,5,FALSE)))</f>
        <v>0</v>
      </c>
      <c r="K155" s="49" t="str">
        <f>IF(B155="","",IF(ISNA(VLOOKUP(A155,'600m'!F$5:K$302,6,FALSE)),"",VLOOKUP(A155,'600m'!F$5:K$302,6,FALSE)))</f>
        <v/>
      </c>
      <c r="L155" s="49" t="str">
        <f>IF(B155="","",IF(ISNA(VLOOKUP(A155,LongJump!F$5:G$302,2,FALSE)),"",VLOOKUP(A155,LongJump!F$5:G$302,2,FALSE)))</f>
        <v/>
      </c>
      <c r="M155" s="49">
        <f>IF(B155="",0,IF(ISNA(VLOOKUP(A155,LongJump!F$5:J$302,5,FALSE)),0,VLOOKUP(A155,LongJump!F$5:J$302,5,FALSE)))</f>
        <v>0</v>
      </c>
      <c r="N155" s="49">
        <f>IF(B155="",0,IF(ISNA(VLOOKUP(A155,LongJump!F$5:K$302,6,FALSE)),0,VLOOKUP(A155,LongJump!F$5:K$302,6,FALSE)))</f>
        <v>0</v>
      </c>
      <c r="O155" s="49" t="str">
        <f>IF(B155="","",IF(ISNA(VLOOKUP(A155,Vortex!F$5:J$302,2,FALSE)),"",VLOOKUP(A155,Vortex!F$5:J$302,2,FALSE)))</f>
        <v/>
      </c>
      <c r="P155" s="49">
        <f>IF(B155="",0,IF(ISNA(VLOOKUP(A155,Vortex!F$5:J$302,5,FALSE)),0,VLOOKUP(A155,Vortex!F$5:J$302,5,FALSE)))</f>
        <v>0</v>
      </c>
      <c r="Q155" s="49">
        <f t="shared" si="7"/>
        <v>0</v>
      </c>
      <c r="R155" s="49" t="str">
        <f t="shared" si="8"/>
        <v/>
      </c>
      <c r="S155" s="49" t="str">
        <f t="shared" si="9"/>
        <v/>
      </c>
      <c r="T155" s="38"/>
      <c r="X155" s="9"/>
      <c r="Y155" s="9"/>
      <c r="AI155"/>
      <c r="AJ155"/>
    </row>
    <row r="156" spans="1:36" ht="13.95" customHeight="1">
      <c r="A156" s="49">
        <f>IF(Declarations!B129=0,"",Declarations!B129)</f>
        <v>124</v>
      </c>
      <c r="B156" s="150" t="str">
        <f>IF(ISNA(VLOOKUP(A156,Declarations!B$6:C$185,2,FALSE)),"",IF(VLOOKUP(A156,Declarations!B$6:C$185,2,FALSE)="","",VLOOKUP(A156,Declarations!B$6:C$185,2,FALSE)))</f>
        <v/>
      </c>
      <c r="C156" s="150" t="str">
        <f>IF(ISNA(VLOOKUP(A156,Declarations!B$6:F$185,5,FALSE)),"",IF(VLOOKUP(A156,Declarations!B$6:F$185,5,FALSE)="","",VLOOKUP(A156,Declarations!B$6:F$185,5,FALSE)))</f>
        <v/>
      </c>
      <c r="D156" s="150" t="str">
        <f>IF(ISNA(VLOOKUP(A156,Declarations!B$6:F$185,4,FALSE)),"",IF(VLOOKUP(A156,Declarations!B$6:F$185,4,FALSE)="","",VLOOKUP(A156,Declarations!B$6:F$185,4,FALSE)))</f>
        <v>GIRLS</v>
      </c>
      <c r="E156" s="150" t="str">
        <f>IF(ISNA(VLOOKUP(A156,Declarations!B$6:D$185,3,FALSE)),"",IF(VLOOKUP(A156,Declarations!B$6:D$185,3,FALSE)="","",VLOOKUP(A156,Declarations!B$6:D$185,3,FALSE)))</f>
        <v>U12</v>
      </c>
      <c r="F156" s="49" t="str">
        <f>IF(B156="","",IF(ISNA(VLOOKUP(A156,'75m'!F$5:G$302,2,FALSE)),"",VLOOKUP(A156,'75m'!F$5:G$302,2,FALSE)))</f>
        <v/>
      </c>
      <c r="G156" s="49">
        <f>IF(B156="",0,IF(ISNA(VLOOKUP(A156,'75m'!F$5:J$302,5,FALSE)),0,VLOOKUP(A156,'75m'!F$5:J$302,5,FALSE)))</f>
        <v>0</v>
      </c>
      <c r="H156" s="49" t="str">
        <f>IF(B156="","",IF(ISNA(VLOOKUP(A156,'75m'!F$5:K$302,6,FALSE)),"",VLOOKUP(A156,'75m'!F$5:K$302,6,FALSE)))</f>
        <v/>
      </c>
      <c r="I156" s="51">
        <f>IF(B156="",0,IF(ISNA(VLOOKUP(A156,'600m'!F$5:J$302,2,FALSE)),0,VLOOKUP(A156,'600m'!F$5:J$302,2,FALSE)))</f>
        <v>0</v>
      </c>
      <c r="J156" s="49">
        <f>IF(B156="",0,IF(ISNA(VLOOKUP(A156,'600m'!F$5:J$302,5,FALSE)),0,VLOOKUP(A156,'600m'!F$5:J$302,5,FALSE)))</f>
        <v>0</v>
      </c>
      <c r="K156" s="49" t="str">
        <f>IF(B156="","",IF(ISNA(VLOOKUP(A156,'600m'!F$5:K$302,6,FALSE)),"",VLOOKUP(A156,'600m'!F$5:K$302,6,FALSE)))</f>
        <v/>
      </c>
      <c r="L156" s="49" t="str">
        <f>IF(B156="","",IF(ISNA(VLOOKUP(A156,LongJump!F$5:G$302,2,FALSE)),"",VLOOKUP(A156,LongJump!F$5:G$302,2,FALSE)))</f>
        <v/>
      </c>
      <c r="M156" s="49">
        <f>IF(B156="",0,IF(ISNA(VLOOKUP(A156,LongJump!F$5:J$302,5,FALSE)),0,VLOOKUP(A156,LongJump!F$5:J$302,5,FALSE)))</f>
        <v>0</v>
      </c>
      <c r="N156" s="49">
        <f>IF(B156="",0,IF(ISNA(VLOOKUP(A156,LongJump!F$5:K$302,6,FALSE)),0,VLOOKUP(A156,LongJump!F$5:K$302,6,FALSE)))</f>
        <v>0</v>
      </c>
      <c r="O156" s="49" t="str">
        <f>IF(B156="","",IF(ISNA(VLOOKUP(A156,Vortex!F$5:J$302,2,FALSE)),"",VLOOKUP(A156,Vortex!F$5:J$302,2,FALSE)))</f>
        <v/>
      </c>
      <c r="P156" s="49">
        <f>IF(B156="",0,IF(ISNA(VLOOKUP(A156,Vortex!F$5:J$302,5,FALSE)),0,VLOOKUP(A156,Vortex!F$5:J$302,5,FALSE)))</f>
        <v>0</v>
      </c>
      <c r="Q156" s="49">
        <f t="shared" si="7"/>
        <v>0</v>
      </c>
      <c r="R156" s="49" t="str">
        <f t="shared" si="8"/>
        <v/>
      </c>
      <c r="S156" s="49" t="str">
        <f t="shared" si="9"/>
        <v/>
      </c>
      <c r="T156" s="38"/>
      <c r="X156" s="9"/>
      <c r="Y156" s="9"/>
      <c r="AI156"/>
      <c r="AJ156"/>
    </row>
    <row r="157" spans="1:36" ht="13.95" customHeight="1">
      <c r="A157" s="49">
        <f>IF(Declarations!B130=0,"",Declarations!B130)</f>
        <v>125</v>
      </c>
      <c r="B157" s="150" t="str">
        <f>IF(ISNA(VLOOKUP(A157,Declarations!B$6:C$185,2,FALSE)),"",IF(VLOOKUP(A157,Declarations!B$6:C$185,2,FALSE)="","",VLOOKUP(A157,Declarations!B$6:C$185,2,FALSE)))</f>
        <v/>
      </c>
      <c r="C157" s="150" t="str">
        <f>IF(ISNA(VLOOKUP(A157,Declarations!B$6:F$185,5,FALSE)),"",IF(VLOOKUP(A157,Declarations!B$6:F$185,5,FALSE)="","",VLOOKUP(A157,Declarations!B$6:F$185,5,FALSE)))</f>
        <v/>
      </c>
      <c r="D157" s="150" t="str">
        <f>IF(ISNA(VLOOKUP(A157,Declarations!B$6:F$185,4,FALSE)),"",IF(VLOOKUP(A157,Declarations!B$6:F$185,4,FALSE)="","",VLOOKUP(A157,Declarations!B$6:F$185,4,FALSE)))</f>
        <v>GIRLS</v>
      </c>
      <c r="E157" s="150" t="str">
        <f>IF(ISNA(VLOOKUP(A157,Declarations!B$6:D$185,3,FALSE)),"",IF(VLOOKUP(A157,Declarations!B$6:D$185,3,FALSE)="","",VLOOKUP(A157,Declarations!B$6:D$185,3,FALSE)))</f>
        <v>U12</v>
      </c>
      <c r="F157" s="49" t="str">
        <f>IF(B157="","",IF(ISNA(VLOOKUP(A157,'75m'!F$5:G$302,2,FALSE)),"",VLOOKUP(A157,'75m'!F$5:G$302,2,FALSE)))</f>
        <v/>
      </c>
      <c r="G157" s="49">
        <f>IF(B157="",0,IF(ISNA(VLOOKUP(A157,'75m'!F$5:J$302,5,FALSE)),0,VLOOKUP(A157,'75m'!F$5:J$302,5,FALSE)))</f>
        <v>0</v>
      </c>
      <c r="H157" s="49" t="str">
        <f>IF(B157="","",IF(ISNA(VLOOKUP(A157,'75m'!F$5:K$302,6,FALSE)),"",VLOOKUP(A157,'75m'!F$5:K$302,6,FALSE)))</f>
        <v/>
      </c>
      <c r="I157" s="51">
        <f>IF(B157="",0,IF(ISNA(VLOOKUP(A157,'600m'!F$5:J$302,2,FALSE)),0,VLOOKUP(A157,'600m'!F$5:J$302,2,FALSE)))</f>
        <v>0</v>
      </c>
      <c r="J157" s="49">
        <f>IF(B157="",0,IF(ISNA(VLOOKUP(A157,'600m'!F$5:J$302,5,FALSE)),0,VLOOKUP(A157,'600m'!F$5:J$302,5,FALSE)))</f>
        <v>0</v>
      </c>
      <c r="K157" s="49" t="str">
        <f>IF(B157="","",IF(ISNA(VLOOKUP(A157,'600m'!F$5:K$302,6,FALSE)),"",VLOOKUP(A157,'600m'!F$5:K$302,6,FALSE)))</f>
        <v/>
      </c>
      <c r="L157" s="49" t="str">
        <f>IF(B157="","",IF(ISNA(VLOOKUP(A157,LongJump!F$5:G$302,2,FALSE)),"",VLOOKUP(A157,LongJump!F$5:G$302,2,FALSE)))</f>
        <v/>
      </c>
      <c r="M157" s="49">
        <f>IF(B157="",0,IF(ISNA(VLOOKUP(A157,LongJump!F$5:J$302,5,FALSE)),0,VLOOKUP(A157,LongJump!F$5:J$302,5,FALSE)))</f>
        <v>0</v>
      </c>
      <c r="N157" s="49">
        <f>IF(B157="",0,IF(ISNA(VLOOKUP(A157,LongJump!F$5:K$302,6,FALSE)),0,VLOOKUP(A157,LongJump!F$5:K$302,6,FALSE)))</f>
        <v>0</v>
      </c>
      <c r="O157" s="49" t="str">
        <f>IF(B157="","",IF(ISNA(VLOOKUP(A157,Vortex!F$5:J$302,2,FALSE)),"",VLOOKUP(A157,Vortex!F$5:J$302,2,FALSE)))</f>
        <v/>
      </c>
      <c r="P157" s="49">
        <f>IF(B157="",0,IF(ISNA(VLOOKUP(A157,Vortex!F$5:J$302,5,FALSE)),0,VLOOKUP(A157,Vortex!F$5:J$302,5,FALSE)))</f>
        <v>0</v>
      </c>
      <c r="Q157" s="49">
        <f t="shared" si="7"/>
        <v>0</v>
      </c>
      <c r="R157" s="49" t="str">
        <f t="shared" si="8"/>
        <v/>
      </c>
      <c r="S157" s="49" t="str">
        <f t="shared" si="9"/>
        <v/>
      </c>
      <c r="T157" s="38"/>
      <c r="X157" s="9"/>
      <c r="Y157" s="9"/>
      <c r="AI157"/>
      <c r="AJ157"/>
    </row>
    <row r="158" spans="1:36" ht="13.95" customHeight="1">
      <c r="A158" s="49">
        <f>IF(Declarations!B131=0,"",Declarations!B131)</f>
        <v>126</v>
      </c>
      <c r="B158" s="150" t="str">
        <f>IF(ISNA(VLOOKUP(A158,Declarations!B$6:C$185,2,FALSE)),"",IF(VLOOKUP(A158,Declarations!B$6:C$185,2,FALSE)="","",VLOOKUP(A158,Declarations!B$6:C$185,2,FALSE)))</f>
        <v/>
      </c>
      <c r="C158" s="150" t="str">
        <f>IF(ISNA(VLOOKUP(A158,Declarations!B$6:F$185,5,FALSE)),"",IF(VLOOKUP(A158,Declarations!B$6:F$185,5,FALSE)="","",VLOOKUP(A158,Declarations!B$6:F$185,5,FALSE)))</f>
        <v/>
      </c>
      <c r="D158" s="150" t="str">
        <f>IF(ISNA(VLOOKUP(A158,Declarations!B$6:F$185,4,FALSE)),"",IF(VLOOKUP(A158,Declarations!B$6:F$185,4,FALSE)="","",VLOOKUP(A158,Declarations!B$6:F$185,4,FALSE)))</f>
        <v>GIRLS</v>
      </c>
      <c r="E158" s="150" t="str">
        <f>IF(ISNA(VLOOKUP(A158,Declarations!B$6:D$185,3,FALSE)),"",IF(VLOOKUP(A158,Declarations!B$6:D$185,3,FALSE)="","",VLOOKUP(A158,Declarations!B$6:D$185,3,FALSE)))</f>
        <v>U12</v>
      </c>
      <c r="F158" s="49" t="str">
        <f>IF(B158="","",IF(ISNA(VLOOKUP(A158,'75m'!F$5:G$302,2,FALSE)),"",VLOOKUP(A158,'75m'!F$5:G$302,2,FALSE)))</f>
        <v/>
      </c>
      <c r="G158" s="49">
        <f>IF(B158="",0,IF(ISNA(VLOOKUP(A158,'75m'!F$5:J$302,5,FALSE)),0,VLOOKUP(A158,'75m'!F$5:J$302,5,FALSE)))</f>
        <v>0</v>
      </c>
      <c r="H158" s="49" t="str">
        <f>IF(B158="","",IF(ISNA(VLOOKUP(A158,'75m'!F$5:K$302,6,FALSE)),"",VLOOKUP(A158,'75m'!F$5:K$302,6,FALSE)))</f>
        <v/>
      </c>
      <c r="I158" s="51">
        <f>IF(B158="",0,IF(ISNA(VLOOKUP(A158,'600m'!F$5:J$302,2,FALSE)),0,VLOOKUP(A158,'600m'!F$5:J$302,2,FALSE)))</f>
        <v>0</v>
      </c>
      <c r="J158" s="49">
        <f>IF(B158="",0,IF(ISNA(VLOOKUP(A158,'600m'!F$5:J$302,5,FALSE)),0,VLOOKUP(A158,'600m'!F$5:J$302,5,FALSE)))</f>
        <v>0</v>
      </c>
      <c r="K158" s="49" t="str">
        <f>IF(B158="","",IF(ISNA(VLOOKUP(A158,'600m'!F$5:K$302,6,FALSE)),"",VLOOKUP(A158,'600m'!F$5:K$302,6,FALSE)))</f>
        <v/>
      </c>
      <c r="L158" s="49" t="str">
        <f>IF(B158="","",IF(ISNA(VLOOKUP(A158,LongJump!F$5:G$302,2,FALSE)),"",VLOOKUP(A158,LongJump!F$5:G$302,2,FALSE)))</f>
        <v/>
      </c>
      <c r="M158" s="49">
        <f>IF(B158="",0,IF(ISNA(VLOOKUP(A158,LongJump!F$5:J$302,5,FALSE)),0,VLOOKUP(A158,LongJump!F$5:J$302,5,FALSE)))</f>
        <v>0</v>
      </c>
      <c r="N158" s="49">
        <f>IF(B158="",0,IF(ISNA(VLOOKUP(A158,LongJump!F$5:K$302,6,FALSE)),0,VLOOKUP(A158,LongJump!F$5:K$302,6,FALSE)))</f>
        <v>0</v>
      </c>
      <c r="O158" s="49" t="str">
        <f>IF(B158="","",IF(ISNA(VLOOKUP(A158,Vortex!F$5:J$302,2,FALSE)),"",VLOOKUP(A158,Vortex!F$5:J$302,2,FALSE)))</f>
        <v/>
      </c>
      <c r="P158" s="49">
        <f>IF(B158="",0,IF(ISNA(VLOOKUP(A158,Vortex!F$5:J$302,5,FALSE)),0,VLOOKUP(A158,Vortex!F$5:J$302,5,FALSE)))</f>
        <v>0</v>
      </c>
      <c r="Q158" s="49">
        <f t="shared" si="7"/>
        <v>0</v>
      </c>
      <c r="R158" s="49" t="str">
        <f t="shared" si="8"/>
        <v/>
      </c>
      <c r="S158" s="49" t="str">
        <f t="shared" si="9"/>
        <v/>
      </c>
      <c r="T158" s="38"/>
      <c r="X158" s="9"/>
      <c r="Y158" s="9"/>
      <c r="AI158"/>
      <c r="AJ158"/>
    </row>
    <row r="159" spans="1:36" ht="13.95" customHeight="1">
      <c r="A159" s="49">
        <f>IF(Declarations!B132=0,"",Declarations!B132)</f>
        <v>127</v>
      </c>
      <c r="B159" s="150" t="str">
        <f>IF(ISNA(VLOOKUP(A159,Declarations!B$6:C$185,2,FALSE)),"",IF(VLOOKUP(A159,Declarations!B$6:C$185,2,FALSE)="","",VLOOKUP(A159,Declarations!B$6:C$185,2,FALSE)))</f>
        <v/>
      </c>
      <c r="C159" s="150" t="str">
        <f>IF(ISNA(VLOOKUP(A159,Declarations!B$6:F$185,5,FALSE)),"",IF(VLOOKUP(A159,Declarations!B$6:F$185,5,FALSE)="","",VLOOKUP(A159,Declarations!B$6:F$185,5,FALSE)))</f>
        <v/>
      </c>
      <c r="D159" s="150" t="str">
        <f>IF(ISNA(VLOOKUP(A159,Declarations!B$6:F$185,4,FALSE)),"",IF(VLOOKUP(A159,Declarations!B$6:F$185,4,FALSE)="","",VLOOKUP(A159,Declarations!B$6:F$185,4,FALSE)))</f>
        <v>GIRLS</v>
      </c>
      <c r="E159" s="150" t="str">
        <f>IF(ISNA(VLOOKUP(A159,Declarations!B$6:D$185,3,FALSE)),"",IF(VLOOKUP(A159,Declarations!B$6:D$185,3,FALSE)="","",VLOOKUP(A159,Declarations!B$6:D$185,3,FALSE)))</f>
        <v>U12</v>
      </c>
      <c r="F159" s="49" t="str">
        <f>IF(B159="","",IF(ISNA(VLOOKUP(A159,'75m'!F$5:G$302,2,FALSE)),"",VLOOKUP(A159,'75m'!F$5:G$302,2,FALSE)))</f>
        <v/>
      </c>
      <c r="G159" s="49">
        <f>IF(B159="",0,IF(ISNA(VLOOKUP(A159,'75m'!F$5:J$302,5,FALSE)),0,VLOOKUP(A159,'75m'!F$5:J$302,5,FALSE)))</f>
        <v>0</v>
      </c>
      <c r="H159" s="49" t="str">
        <f>IF(B159="","",IF(ISNA(VLOOKUP(A159,'75m'!F$5:K$302,6,FALSE)),"",VLOOKUP(A159,'75m'!F$5:K$302,6,FALSE)))</f>
        <v/>
      </c>
      <c r="I159" s="51">
        <f>IF(B159="",0,IF(ISNA(VLOOKUP(A159,'600m'!F$5:J$302,2,FALSE)),0,VLOOKUP(A159,'600m'!F$5:J$302,2,FALSE)))</f>
        <v>0</v>
      </c>
      <c r="J159" s="49">
        <f>IF(B159="",0,IF(ISNA(VLOOKUP(A159,'600m'!F$5:J$302,5,FALSE)),0,VLOOKUP(A159,'600m'!F$5:J$302,5,FALSE)))</f>
        <v>0</v>
      </c>
      <c r="K159" s="49" t="str">
        <f>IF(B159="","",IF(ISNA(VLOOKUP(A159,'600m'!F$5:K$302,6,FALSE)),"",VLOOKUP(A159,'600m'!F$5:K$302,6,FALSE)))</f>
        <v/>
      </c>
      <c r="L159" s="49" t="str">
        <f>IF(B159="","",IF(ISNA(VLOOKUP(A159,LongJump!F$5:G$302,2,FALSE)),"",VLOOKUP(A159,LongJump!F$5:G$302,2,FALSE)))</f>
        <v/>
      </c>
      <c r="M159" s="49">
        <f>IF(B159="",0,IF(ISNA(VLOOKUP(A159,LongJump!F$5:J$302,5,FALSE)),0,VLOOKUP(A159,LongJump!F$5:J$302,5,FALSE)))</f>
        <v>0</v>
      </c>
      <c r="N159" s="49">
        <f>IF(B159="",0,IF(ISNA(VLOOKUP(A159,LongJump!F$5:K$302,6,FALSE)),0,VLOOKUP(A159,LongJump!F$5:K$302,6,FALSE)))</f>
        <v>0</v>
      </c>
      <c r="O159" s="49" t="str">
        <f>IF(B159="","",IF(ISNA(VLOOKUP(A159,Vortex!F$5:J$302,2,FALSE)),"",VLOOKUP(A159,Vortex!F$5:J$302,2,FALSE)))</f>
        <v/>
      </c>
      <c r="P159" s="49">
        <f>IF(B159="",0,IF(ISNA(VLOOKUP(A159,Vortex!F$5:J$302,5,FALSE)),0,VLOOKUP(A159,Vortex!F$5:J$302,5,FALSE)))</f>
        <v>0</v>
      </c>
      <c r="Q159" s="49">
        <f t="shared" si="7"/>
        <v>0</v>
      </c>
      <c r="R159" s="49" t="str">
        <f t="shared" si="8"/>
        <v/>
      </c>
      <c r="S159" s="49" t="str">
        <f t="shared" si="9"/>
        <v/>
      </c>
      <c r="T159" s="38"/>
      <c r="X159" s="9"/>
      <c r="Y159" s="9"/>
      <c r="AI159"/>
      <c r="AJ159"/>
    </row>
    <row r="160" spans="1:36" ht="13.95" customHeight="1">
      <c r="A160" s="49">
        <f>IF(Declarations!B133=0,"",Declarations!B133)</f>
        <v>128</v>
      </c>
      <c r="B160" s="150" t="str">
        <f>IF(ISNA(VLOOKUP(A160,Declarations!B$6:C$185,2,FALSE)),"",IF(VLOOKUP(A160,Declarations!B$6:C$185,2,FALSE)="","",VLOOKUP(A160,Declarations!B$6:C$185,2,FALSE)))</f>
        <v/>
      </c>
      <c r="C160" s="150" t="str">
        <f>IF(ISNA(VLOOKUP(A160,Declarations!B$6:F$185,5,FALSE)),"",IF(VLOOKUP(A160,Declarations!B$6:F$185,5,FALSE)="","",VLOOKUP(A160,Declarations!B$6:F$185,5,FALSE)))</f>
        <v/>
      </c>
      <c r="D160" s="150" t="str">
        <f>IF(ISNA(VLOOKUP(A160,Declarations!B$6:F$185,4,FALSE)),"",IF(VLOOKUP(A160,Declarations!B$6:F$185,4,FALSE)="","",VLOOKUP(A160,Declarations!B$6:F$185,4,FALSE)))</f>
        <v>GIRLS</v>
      </c>
      <c r="E160" s="150" t="str">
        <f>IF(ISNA(VLOOKUP(A160,Declarations!B$6:D$185,3,FALSE)),"",IF(VLOOKUP(A160,Declarations!B$6:D$185,3,FALSE)="","",VLOOKUP(A160,Declarations!B$6:D$185,3,FALSE)))</f>
        <v>U12</v>
      </c>
      <c r="F160" s="49" t="str">
        <f>IF(B160="","",IF(ISNA(VLOOKUP(A160,'75m'!F$5:G$302,2,FALSE)),"",VLOOKUP(A160,'75m'!F$5:G$302,2,FALSE)))</f>
        <v/>
      </c>
      <c r="G160" s="49">
        <f>IF(B160="",0,IF(ISNA(VLOOKUP(A160,'75m'!F$5:J$302,5,FALSE)),0,VLOOKUP(A160,'75m'!F$5:J$302,5,FALSE)))</f>
        <v>0</v>
      </c>
      <c r="H160" s="49" t="str">
        <f>IF(B160="","",IF(ISNA(VLOOKUP(A160,'75m'!F$5:K$302,6,FALSE)),"",VLOOKUP(A160,'75m'!F$5:K$302,6,FALSE)))</f>
        <v/>
      </c>
      <c r="I160" s="51">
        <f>IF(B160="",0,IF(ISNA(VLOOKUP(A160,'600m'!F$5:J$302,2,FALSE)),0,VLOOKUP(A160,'600m'!F$5:J$302,2,FALSE)))</f>
        <v>0</v>
      </c>
      <c r="J160" s="49">
        <f>IF(B160="",0,IF(ISNA(VLOOKUP(A160,'600m'!F$5:J$302,5,FALSE)),0,VLOOKUP(A160,'600m'!F$5:J$302,5,FALSE)))</f>
        <v>0</v>
      </c>
      <c r="K160" s="49" t="str">
        <f>IF(B160="","",IF(ISNA(VLOOKUP(A160,'600m'!F$5:K$302,6,FALSE)),"",VLOOKUP(A160,'600m'!F$5:K$302,6,FALSE)))</f>
        <v/>
      </c>
      <c r="L160" s="49" t="str">
        <f>IF(B160="","",IF(ISNA(VLOOKUP(A160,LongJump!F$5:G$302,2,FALSE)),"",VLOOKUP(A160,LongJump!F$5:G$302,2,FALSE)))</f>
        <v/>
      </c>
      <c r="M160" s="49">
        <f>IF(B160="",0,IF(ISNA(VLOOKUP(A160,LongJump!F$5:J$302,5,FALSE)),0,VLOOKUP(A160,LongJump!F$5:J$302,5,FALSE)))</f>
        <v>0</v>
      </c>
      <c r="N160" s="49">
        <f>IF(B160="",0,IF(ISNA(VLOOKUP(A160,LongJump!F$5:K$302,6,FALSE)),0,VLOOKUP(A160,LongJump!F$5:K$302,6,FALSE)))</f>
        <v>0</v>
      </c>
      <c r="O160" s="49" t="str">
        <f>IF(B160="","",IF(ISNA(VLOOKUP(A160,Vortex!F$5:J$302,2,FALSE)),"",VLOOKUP(A160,Vortex!F$5:J$302,2,FALSE)))</f>
        <v/>
      </c>
      <c r="P160" s="49">
        <f>IF(B160="",0,IF(ISNA(VLOOKUP(A160,Vortex!F$5:J$302,5,FALSE)),0,VLOOKUP(A160,Vortex!F$5:J$302,5,FALSE)))</f>
        <v>0</v>
      </c>
      <c r="Q160" s="49">
        <f t="shared" si="7"/>
        <v>0</v>
      </c>
      <c r="R160" s="49" t="str">
        <f t="shared" si="8"/>
        <v/>
      </c>
      <c r="S160" s="49" t="str">
        <f t="shared" si="9"/>
        <v/>
      </c>
      <c r="T160" s="38"/>
      <c r="X160" s="9"/>
      <c r="Y160" s="9"/>
      <c r="AI160"/>
      <c r="AJ160"/>
    </row>
    <row r="161" spans="1:36" ht="13.95" customHeight="1">
      <c r="A161" s="49">
        <f>IF(Declarations!B134=0,"",Declarations!B134)</f>
        <v>129</v>
      </c>
      <c r="B161" s="150" t="str">
        <f>IF(ISNA(VLOOKUP(A161,Declarations!B$6:C$185,2,FALSE)),"",IF(VLOOKUP(A161,Declarations!B$6:C$185,2,FALSE)="","",VLOOKUP(A161,Declarations!B$6:C$185,2,FALSE)))</f>
        <v/>
      </c>
      <c r="C161" s="150" t="str">
        <f>IF(ISNA(VLOOKUP(A161,Declarations!B$6:F$185,5,FALSE)),"",IF(VLOOKUP(A161,Declarations!B$6:F$185,5,FALSE)="","",VLOOKUP(A161,Declarations!B$6:F$185,5,FALSE)))</f>
        <v/>
      </c>
      <c r="D161" s="150" t="str">
        <f>IF(ISNA(VLOOKUP(A161,Declarations!B$6:F$185,4,FALSE)),"",IF(VLOOKUP(A161,Declarations!B$6:F$185,4,FALSE)="","",VLOOKUP(A161,Declarations!B$6:F$185,4,FALSE)))</f>
        <v>GIRLS</v>
      </c>
      <c r="E161" s="150" t="str">
        <f>IF(ISNA(VLOOKUP(A161,Declarations!B$6:D$185,3,FALSE)),"",IF(VLOOKUP(A161,Declarations!B$6:D$185,3,FALSE)="","",VLOOKUP(A161,Declarations!B$6:D$185,3,FALSE)))</f>
        <v>U12</v>
      </c>
      <c r="F161" s="49" t="str">
        <f>IF(B161="","",IF(ISNA(VLOOKUP(A161,'75m'!F$5:G$302,2,FALSE)),"",VLOOKUP(A161,'75m'!F$5:G$302,2,FALSE)))</f>
        <v/>
      </c>
      <c r="G161" s="49">
        <f>IF(B161="",0,IF(ISNA(VLOOKUP(A161,'75m'!F$5:J$302,5,FALSE)),0,VLOOKUP(A161,'75m'!F$5:J$302,5,FALSE)))</f>
        <v>0</v>
      </c>
      <c r="H161" s="49" t="str">
        <f>IF(B161="","",IF(ISNA(VLOOKUP(A161,'75m'!F$5:K$302,6,FALSE)),"",VLOOKUP(A161,'75m'!F$5:K$302,6,FALSE)))</f>
        <v/>
      </c>
      <c r="I161" s="51">
        <f>IF(B161="",0,IF(ISNA(VLOOKUP(A161,'600m'!F$5:J$302,2,FALSE)),0,VLOOKUP(A161,'600m'!F$5:J$302,2,FALSE)))</f>
        <v>0</v>
      </c>
      <c r="J161" s="49">
        <f>IF(B161="",0,IF(ISNA(VLOOKUP(A161,'600m'!F$5:J$302,5,FALSE)),0,VLOOKUP(A161,'600m'!F$5:J$302,5,FALSE)))</f>
        <v>0</v>
      </c>
      <c r="K161" s="49" t="str">
        <f>IF(B161="","",IF(ISNA(VLOOKUP(A161,'600m'!F$5:K$302,6,FALSE)),"",VLOOKUP(A161,'600m'!F$5:K$302,6,FALSE)))</f>
        <v/>
      </c>
      <c r="L161" s="49" t="str">
        <f>IF(B161="","",IF(ISNA(VLOOKUP(A161,LongJump!F$5:G$302,2,FALSE)),"",VLOOKUP(A161,LongJump!F$5:G$302,2,FALSE)))</f>
        <v/>
      </c>
      <c r="M161" s="49">
        <f>IF(B161="",0,IF(ISNA(VLOOKUP(A161,LongJump!F$5:J$302,5,FALSE)),0,VLOOKUP(A161,LongJump!F$5:J$302,5,FALSE)))</f>
        <v>0</v>
      </c>
      <c r="N161" s="49">
        <f>IF(B161="",0,IF(ISNA(VLOOKUP(A161,LongJump!F$5:K$302,6,FALSE)),0,VLOOKUP(A161,LongJump!F$5:K$302,6,FALSE)))</f>
        <v>0</v>
      </c>
      <c r="O161" s="49" t="str">
        <f>IF(B161="","",IF(ISNA(VLOOKUP(A161,Vortex!F$5:J$302,2,FALSE)),"",VLOOKUP(A161,Vortex!F$5:J$302,2,FALSE)))</f>
        <v/>
      </c>
      <c r="P161" s="49">
        <f>IF(B161="",0,IF(ISNA(VLOOKUP(A161,Vortex!F$5:J$302,5,FALSE)),0,VLOOKUP(A161,Vortex!F$5:J$302,5,FALSE)))</f>
        <v>0</v>
      </c>
      <c r="Q161" s="49">
        <f t="shared" si="7"/>
        <v>0</v>
      </c>
      <c r="R161" s="49" t="str">
        <f t="shared" si="8"/>
        <v/>
      </c>
      <c r="S161" s="49" t="str">
        <f t="shared" si="9"/>
        <v/>
      </c>
      <c r="T161" s="38"/>
      <c r="X161" s="9"/>
      <c r="Y161" s="9"/>
      <c r="AI161"/>
      <c r="AJ161"/>
    </row>
    <row r="162" spans="1:36" ht="13.95" customHeight="1">
      <c r="A162" s="49">
        <f>IF(Declarations!B135=0,"",Declarations!B135)</f>
        <v>130</v>
      </c>
      <c r="B162" s="150" t="str">
        <f>IF(ISNA(VLOOKUP(A162,Declarations!B$6:C$185,2,FALSE)),"",IF(VLOOKUP(A162,Declarations!B$6:C$185,2,FALSE)="","",VLOOKUP(A162,Declarations!B$6:C$185,2,FALSE)))</f>
        <v/>
      </c>
      <c r="C162" s="150" t="str">
        <f>IF(ISNA(VLOOKUP(A162,Declarations!B$6:F$185,5,FALSE)),"",IF(VLOOKUP(A162,Declarations!B$6:F$185,5,FALSE)="","",VLOOKUP(A162,Declarations!B$6:F$185,5,FALSE)))</f>
        <v/>
      </c>
      <c r="D162" s="150" t="str">
        <f>IF(ISNA(VLOOKUP(A162,Declarations!B$6:F$185,4,FALSE)),"",IF(VLOOKUP(A162,Declarations!B$6:F$185,4,FALSE)="","",VLOOKUP(A162,Declarations!B$6:F$185,4,FALSE)))</f>
        <v>GIRLS</v>
      </c>
      <c r="E162" s="150" t="str">
        <f>IF(ISNA(VLOOKUP(A162,Declarations!B$6:D$185,3,FALSE)),"",IF(VLOOKUP(A162,Declarations!B$6:D$185,3,FALSE)="","",VLOOKUP(A162,Declarations!B$6:D$185,3,FALSE)))</f>
        <v>U12</v>
      </c>
      <c r="F162" s="49" t="str">
        <f>IF(B162="","",IF(ISNA(VLOOKUP(A162,'75m'!F$5:G$302,2,FALSE)),"",VLOOKUP(A162,'75m'!F$5:G$302,2,FALSE)))</f>
        <v/>
      </c>
      <c r="G162" s="49">
        <f>IF(B162="",0,IF(ISNA(VLOOKUP(A162,'75m'!F$5:J$302,5,FALSE)),0,VLOOKUP(A162,'75m'!F$5:J$302,5,FALSE)))</f>
        <v>0</v>
      </c>
      <c r="H162" s="49" t="str">
        <f>IF(B162="","",IF(ISNA(VLOOKUP(A162,'75m'!F$5:K$302,6,FALSE)),"",VLOOKUP(A162,'75m'!F$5:K$302,6,FALSE)))</f>
        <v/>
      </c>
      <c r="I162" s="51">
        <f>IF(B162="",0,IF(ISNA(VLOOKUP(A162,'600m'!F$5:J$302,2,FALSE)),0,VLOOKUP(A162,'600m'!F$5:J$302,2,FALSE)))</f>
        <v>0</v>
      </c>
      <c r="J162" s="49">
        <f>IF(B162="",0,IF(ISNA(VLOOKUP(A162,'600m'!F$5:J$302,5,FALSE)),0,VLOOKUP(A162,'600m'!F$5:J$302,5,FALSE)))</f>
        <v>0</v>
      </c>
      <c r="K162" s="49" t="str">
        <f>IF(B162="","",IF(ISNA(VLOOKUP(A162,'600m'!F$5:K$302,6,FALSE)),"",VLOOKUP(A162,'600m'!F$5:K$302,6,FALSE)))</f>
        <v/>
      </c>
      <c r="L162" s="49" t="str">
        <f>IF(B162="","",IF(ISNA(VLOOKUP(A162,LongJump!F$5:G$302,2,FALSE)),"",VLOOKUP(A162,LongJump!F$5:G$302,2,FALSE)))</f>
        <v/>
      </c>
      <c r="M162" s="49">
        <f>IF(B162="",0,IF(ISNA(VLOOKUP(A162,LongJump!F$5:J$302,5,FALSE)),0,VLOOKUP(A162,LongJump!F$5:J$302,5,FALSE)))</f>
        <v>0</v>
      </c>
      <c r="N162" s="49">
        <f>IF(B162="",0,IF(ISNA(VLOOKUP(A162,LongJump!F$5:K$302,6,FALSE)),0,VLOOKUP(A162,LongJump!F$5:K$302,6,FALSE)))</f>
        <v>0</v>
      </c>
      <c r="O162" s="49" t="str">
        <f>IF(B162="","",IF(ISNA(VLOOKUP(A162,Vortex!F$5:J$302,2,FALSE)),"",VLOOKUP(A162,Vortex!F$5:J$302,2,FALSE)))</f>
        <v/>
      </c>
      <c r="P162" s="49">
        <f>IF(B162="",0,IF(ISNA(VLOOKUP(A162,Vortex!F$5:J$302,5,FALSE)),0,VLOOKUP(A162,Vortex!F$5:J$302,5,FALSE)))</f>
        <v>0</v>
      </c>
      <c r="Q162" s="49">
        <f t="shared" ref="Q162:Q212" si="10">G162+J162+M162+P162</f>
        <v>0</v>
      </c>
      <c r="R162" s="49" t="str">
        <f t="shared" ref="R162:R212" si="11">IF(OR($Q162=0,$E162&lt;&gt;"U12"),"",COUNTIFS($C$33:$C$212, $C162, $D$33:$D$212, $D162, $E$33:$E$212, $E162, $Q$33:$Q$212,"&gt;"&amp;$Q162)+1)</f>
        <v/>
      </c>
      <c r="S162" s="49" t="str">
        <f t="shared" ref="S162:S212" si="12">IF(OR($Q162=0,$E162&lt;&gt;"U12"),"",COUNTIFS($D$33:$D$212, $D162,$E$33:$E$212,$E162,$Q$33:$Q$212,"&gt;"&amp;$Q162)+1)</f>
        <v/>
      </c>
      <c r="T162" s="38"/>
      <c r="X162" s="9"/>
      <c r="Y162" s="9"/>
      <c r="AI162"/>
      <c r="AJ162"/>
    </row>
    <row r="163" spans="1:36" ht="13.95" customHeight="1">
      <c r="A163" s="49">
        <f>IF(Declarations!B136=0,"",Declarations!B136)</f>
        <v>131</v>
      </c>
      <c r="B163" s="150" t="str">
        <f>IF(ISNA(VLOOKUP(A163,Declarations!B$6:C$185,2,FALSE)),"",IF(VLOOKUP(A163,Declarations!B$6:C$185,2,FALSE)="","",VLOOKUP(A163,Declarations!B$6:C$185,2,FALSE)))</f>
        <v/>
      </c>
      <c r="C163" s="150" t="str">
        <f>IF(ISNA(VLOOKUP(A163,Declarations!B$6:F$185,5,FALSE)),"",IF(VLOOKUP(A163,Declarations!B$6:F$185,5,FALSE)="","",VLOOKUP(A163,Declarations!B$6:F$185,5,FALSE)))</f>
        <v/>
      </c>
      <c r="D163" s="150" t="str">
        <f>IF(ISNA(VLOOKUP(A163,Declarations!B$6:F$185,4,FALSE)),"",IF(VLOOKUP(A163,Declarations!B$6:F$185,4,FALSE)="","",VLOOKUP(A163,Declarations!B$6:F$185,4,FALSE)))</f>
        <v>BOYS</v>
      </c>
      <c r="E163" s="150" t="str">
        <f>IF(ISNA(VLOOKUP(A163,Declarations!B$6:D$185,3,FALSE)),"",IF(VLOOKUP(A163,Declarations!B$6:D$185,3,FALSE)="","",VLOOKUP(A163,Declarations!B$6:D$185,3,FALSE)))</f>
        <v>U12</v>
      </c>
      <c r="F163" s="49" t="str">
        <f>IF(B163="","",IF(ISNA(VLOOKUP(A163,'75m'!F$5:G$302,2,FALSE)),"",VLOOKUP(A163,'75m'!F$5:G$302,2,FALSE)))</f>
        <v/>
      </c>
      <c r="G163" s="49">
        <f>IF(B163="",0,IF(ISNA(VLOOKUP(A163,'75m'!F$5:J$302,5,FALSE)),0,VLOOKUP(A163,'75m'!F$5:J$302,5,FALSE)))</f>
        <v>0</v>
      </c>
      <c r="H163" s="49" t="str">
        <f>IF(B163="","",IF(ISNA(VLOOKUP(A163,'75m'!F$5:K$302,6,FALSE)),"",VLOOKUP(A163,'75m'!F$5:K$302,6,FALSE)))</f>
        <v/>
      </c>
      <c r="I163" s="51">
        <f>IF(B163="",0,IF(ISNA(VLOOKUP(A163,'600m'!F$5:J$302,2,FALSE)),0,VLOOKUP(A163,'600m'!F$5:J$302,2,FALSE)))</f>
        <v>0</v>
      </c>
      <c r="J163" s="49">
        <f>IF(B163="",0,IF(ISNA(VLOOKUP(A163,'600m'!F$5:J$302,5,FALSE)),0,VLOOKUP(A163,'600m'!F$5:J$302,5,FALSE)))</f>
        <v>0</v>
      </c>
      <c r="K163" s="49" t="str">
        <f>IF(B163="","",IF(ISNA(VLOOKUP(A163,'600m'!F$5:K$302,6,FALSE)),"",VLOOKUP(A163,'600m'!F$5:K$302,6,FALSE)))</f>
        <v/>
      </c>
      <c r="L163" s="49" t="str">
        <f>IF(B163="","",IF(ISNA(VLOOKUP(A163,LongJump!F$5:G$302,2,FALSE)),"",VLOOKUP(A163,LongJump!F$5:G$302,2,FALSE)))</f>
        <v/>
      </c>
      <c r="M163" s="49">
        <f>IF(B163="",0,IF(ISNA(VLOOKUP(A163,LongJump!F$5:J$302,5,FALSE)),0,VLOOKUP(A163,LongJump!F$5:J$302,5,FALSE)))</f>
        <v>0</v>
      </c>
      <c r="N163" s="49">
        <f>IF(B163="",0,IF(ISNA(VLOOKUP(A163,LongJump!F$5:K$302,6,FALSE)),0,VLOOKUP(A163,LongJump!F$5:K$302,6,FALSE)))</f>
        <v>0</v>
      </c>
      <c r="O163" s="49" t="str">
        <f>IF(B163="","",IF(ISNA(VLOOKUP(A163,Vortex!F$5:J$302,2,FALSE)),"",VLOOKUP(A163,Vortex!F$5:J$302,2,FALSE)))</f>
        <v/>
      </c>
      <c r="P163" s="49">
        <f>IF(B163="",0,IF(ISNA(VLOOKUP(A163,Vortex!F$5:J$302,5,FALSE)),0,VLOOKUP(A163,Vortex!F$5:J$302,5,FALSE)))</f>
        <v>0</v>
      </c>
      <c r="Q163" s="49">
        <f t="shared" si="10"/>
        <v>0</v>
      </c>
      <c r="R163" s="49" t="str">
        <f t="shared" si="11"/>
        <v/>
      </c>
      <c r="S163" s="49" t="str">
        <f t="shared" si="12"/>
        <v/>
      </c>
      <c r="T163" s="38"/>
      <c r="X163" s="9"/>
      <c r="Y163" s="9"/>
      <c r="AI163"/>
      <c r="AJ163"/>
    </row>
    <row r="164" spans="1:36" ht="13.95" customHeight="1">
      <c r="A164" s="49">
        <f>IF(Declarations!B137=0,"",Declarations!B137)</f>
        <v>132</v>
      </c>
      <c r="B164" s="150" t="str">
        <f>IF(ISNA(VLOOKUP(A164,Declarations!B$6:C$185,2,FALSE)),"",IF(VLOOKUP(A164,Declarations!B$6:C$185,2,FALSE)="","",VLOOKUP(A164,Declarations!B$6:C$185,2,FALSE)))</f>
        <v/>
      </c>
      <c r="C164" s="150" t="str">
        <f>IF(ISNA(VLOOKUP(A164,Declarations!B$6:F$185,5,FALSE)),"",IF(VLOOKUP(A164,Declarations!B$6:F$185,5,FALSE)="","",VLOOKUP(A164,Declarations!B$6:F$185,5,FALSE)))</f>
        <v/>
      </c>
      <c r="D164" s="150" t="str">
        <f>IF(ISNA(VLOOKUP(A164,Declarations!B$6:F$185,4,FALSE)),"",IF(VLOOKUP(A164,Declarations!B$6:F$185,4,FALSE)="","",VLOOKUP(A164,Declarations!B$6:F$185,4,FALSE)))</f>
        <v>BOYS</v>
      </c>
      <c r="E164" s="150" t="str">
        <f>IF(ISNA(VLOOKUP(A164,Declarations!B$6:D$185,3,FALSE)),"",IF(VLOOKUP(A164,Declarations!B$6:D$185,3,FALSE)="","",VLOOKUP(A164,Declarations!B$6:D$185,3,FALSE)))</f>
        <v>U12</v>
      </c>
      <c r="F164" s="49" t="str">
        <f>IF(B164="","",IF(ISNA(VLOOKUP(A164,'75m'!F$5:G$302,2,FALSE)),"",VLOOKUP(A164,'75m'!F$5:G$302,2,FALSE)))</f>
        <v/>
      </c>
      <c r="G164" s="49">
        <f>IF(B164="",0,IF(ISNA(VLOOKUP(A164,'75m'!F$5:J$302,5,FALSE)),0,VLOOKUP(A164,'75m'!F$5:J$302,5,FALSE)))</f>
        <v>0</v>
      </c>
      <c r="H164" s="49" t="str">
        <f>IF(B164="","",IF(ISNA(VLOOKUP(A164,'75m'!F$5:K$302,6,FALSE)),"",VLOOKUP(A164,'75m'!F$5:K$302,6,FALSE)))</f>
        <v/>
      </c>
      <c r="I164" s="51">
        <f>IF(B164="",0,IF(ISNA(VLOOKUP(A164,'600m'!F$5:J$302,2,FALSE)),0,VLOOKUP(A164,'600m'!F$5:J$302,2,FALSE)))</f>
        <v>0</v>
      </c>
      <c r="J164" s="49">
        <f>IF(B164="",0,IF(ISNA(VLOOKUP(A164,'600m'!F$5:J$302,5,FALSE)),0,VLOOKUP(A164,'600m'!F$5:J$302,5,FALSE)))</f>
        <v>0</v>
      </c>
      <c r="K164" s="49" t="str">
        <f>IF(B164="","",IF(ISNA(VLOOKUP(A164,'600m'!F$5:K$302,6,FALSE)),"",VLOOKUP(A164,'600m'!F$5:K$302,6,FALSE)))</f>
        <v/>
      </c>
      <c r="L164" s="49" t="str">
        <f>IF(B164="","",IF(ISNA(VLOOKUP(A164,LongJump!F$5:G$302,2,FALSE)),"",VLOOKUP(A164,LongJump!F$5:G$302,2,FALSE)))</f>
        <v/>
      </c>
      <c r="M164" s="49">
        <f>IF(B164="",0,IF(ISNA(VLOOKUP(A164,LongJump!F$5:J$302,5,FALSE)),0,VLOOKUP(A164,LongJump!F$5:J$302,5,FALSE)))</f>
        <v>0</v>
      </c>
      <c r="N164" s="49">
        <f>IF(B164="",0,IF(ISNA(VLOOKUP(A164,LongJump!F$5:K$302,6,FALSE)),0,VLOOKUP(A164,LongJump!F$5:K$302,6,FALSE)))</f>
        <v>0</v>
      </c>
      <c r="O164" s="49" t="str">
        <f>IF(B164="","",IF(ISNA(VLOOKUP(A164,Vortex!F$5:J$302,2,FALSE)),"",VLOOKUP(A164,Vortex!F$5:J$302,2,FALSE)))</f>
        <v/>
      </c>
      <c r="P164" s="49">
        <f>IF(B164="",0,IF(ISNA(VLOOKUP(A164,Vortex!F$5:J$302,5,FALSE)),0,VLOOKUP(A164,Vortex!F$5:J$302,5,FALSE)))</f>
        <v>0</v>
      </c>
      <c r="Q164" s="49">
        <f t="shared" si="10"/>
        <v>0</v>
      </c>
      <c r="R164" s="49" t="str">
        <f t="shared" si="11"/>
        <v/>
      </c>
      <c r="S164" s="49" t="str">
        <f t="shared" si="12"/>
        <v/>
      </c>
      <c r="T164" s="38"/>
      <c r="X164" s="9"/>
      <c r="Y164" s="9"/>
      <c r="AI164"/>
      <c r="AJ164"/>
    </row>
    <row r="165" spans="1:36" ht="13.95" customHeight="1">
      <c r="A165" s="49">
        <f>IF(Declarations!B138=0,"",Declarations!B138)</f>
        <v>133</v>
      </c>
      <c r="B165" s="150" t="str">
        <f>IF(ISNA(VLOOKUP(A165,Declarations!B$6:C$185,2,FALSE)),"",IF(VLOOKUP(A165,Declarations!B$6:C$185,2,FALSE)="","",VLOOKUP(A165,Declarations!B$6:C$185,2,FALSE)))</f>
        <v/>
      </c>
      <c r="C165" s="150" t="str">
        <f>IF(ISNA(VLOOKUP(A165,Declarations!B$6:F$185,5,FALSE)),"",IF(VLOOKUP(A165,Declarations!B$6:F$185,5,FALSE)="","",VLOOKUP(A165,Declarations!B$6:F$185,5,FALSE)))</f>
        <v/>
      </c>
      <c r="D165" s="150" t="str">
        <f>IF(ISNA(VLOOKUP(A165,Declarations!B$6:F$185,4,FALSE)),"",IF(VLOOKUP(A165,Declarations!B$6:F$185,4,FALSE)="","",VLOOKUP(A165,Declarations!B$6:F$185,4,FALSE)))</f>
        <v>BOYS</v>
      </c>
      <c r="E165" s="150" t="str">
        <f>IF(ISNA(VLOOKUP(A165,Declarations!B$6:D$185,3,FALSE)),"",IF(VLOOKUP(A165,Declarations!B$6:D$185,3,FALSE)="","",VLOOKUP(A165,Declarations!B$6:D$185,3,FALSE)))</f>
        <v>U12</v>
      </c>
      <c r="F165" s="49" t="str">
        <f>IF(B165="","",IF(ISNA(VLOOKUP(A165,'75m'!F$5:G$302,2,FALSE)),"",VLOOKUP(A165,'75m'!F$5:G$302,2,FALSE)))</f>
        <v/>
      </c>
      <c r="G165" s="49">
        <f>IF(B165="",0,IF(ISNA(VLOOKUP(A165,'75m'!F$5:J$302,5,FALSE)),0,VLOOKUP(A165,'75m'!F$5:J$302,5,FALSE)))</f>
        <v>0</v>
      </c>
      <c r="H165" s="49" t="str">
        <f>IF(B165="","",IF(ISNA(VLOOKUP(A165,'75m'!F$5:K$302,6,FALSE)),"",VLOOKUP(A165,'75m'!F$5:K$302,6,FALSE)))</f>
        <v/>
      </c>
      <c r="I165" s="51">
        <f>IF(B165="",0,IF(ISNA(VLOOKUP(A165,'600m'!F$5:J$302,2,FALSE)),0,VLOOKUP(A165,'600m'!F$5:J$302,2,FALSE)))</f>
        <v>0</v>
      </c>
      <c r="J165" s="49">
        <f>IF(B165="",0,IF(ISNA(VLOOKUP(A165,'600m'!F$5:J$302,5,FALSE)),0,VLOOKUP(A165,'600m'!F$5:J$302,5,FALSE)))</f>
        <v>0</v>
      </c>
      <c r="K165" s="49" t="str">
        <f>IF(B165="","",IF(ISNA(VLOOKUP(A165,'600m'!F$5:K$302,6,FALSE)),"",VLOOKUP(A165,'600m'!F$5:K$302,6,FALSE)))</f>
        <v/>
      </c>
      <c r="L165" s="49" t="str">
        <f>IF(B165="","",IF(ISNA(VLOOKUP(A165,LongJump!F$5:G$302,2,FALSE)),"",VLOOKUP(A165,LongJump!F$5:G$302,2,FALSE)))</f>
        <v/>
      </c>
      <c r="M165" s="49">
        <f>IF(B165="",0,IF(ISNA(VLOOKUP(A165,LongJump!F$5:J$302,5,FALSE)),0,VLOOKUP(A165,LongJump!F$5:J$302,5,FALSE)))</f>
        <v>0</v>
      </c>
      <c r="N165" s="49">
        <f>IF(B165="",0,IF(ISNA(VLOOKUP(A165,LongJump!F$5:K$302,6,FALSE)),0,VLOOKUP(A165,LongJump!F$5:K$302,6,FALSE)))</f>
        <v>0</v>
      </c>
      <c r="O165" s="49" t="str">
        <f>IF(B165="","",IF(ISNA(VLOOKUP(A165,Vortex!F$5:J$302,2,FALSE)),"",VLOOKUP(A165,Vortex!F$5:J$302,2,FALSE)))</f>
        <v/>
      </c>
      <c r="P165" s="49">
        <f>IF(B165="",0,IF(ISNA(VLOOKUP(A165,Vortex!F$5:J$302,5,FALSE)),0,VLOOKUP(A165,Vortex!F$5:J$302,5,FALSE)))</f>
        <v>0</v>
      </c>
      <c r="Q165" s="49">
        <f t="shared" si="10"/>
        <v>0</v>
      </c>
      <c r="R165" s="49" t="str">
        <f t="shared" si="11"/>
        <v/>
      </c>
      <c r="S165" s="49" t="str">
        <f t="shared" si="12"/>
        <v/>
      </c>
      <c r="T165" s="38"/>
      <c r="X165" s="9"/>
      <c r="Y165" s="9"/>
      <c r="AI165"/>
      <c r="AJ165"/>
    </row>
    <row r="166" spans="1:36" ht="13.95" customHeight="1">
      <c r="A166" s="49">
        <f>IF(Declarations!B139=0,"",Declarations!B139)</f>
        <v>134</v>
      </c>
      <c r="B166" s="150" t="str">
        <f>IF(ISNA(VLOOKUP(A166,Declarations!B$6:C$185,2,FALSE)),"",IF(VLOOKUP(A166,Declarations!B$6:C$185,2,FALSE)="","",VLOOKUP(A166,Declarations!B$6:C$185,2,FALSE)))</f>
        <v/>
      </c>
      <c r="C166" s="150" t="str">
        <f>IF(ISNA(VLOOKUP(A166,Declarations!B$6:F$185,5,FALSE)),"",IF(VLOOKUP(A166,Declarations!B$6:F$185,5,FALSE)="","",VLOOKUP(A166,Declarations!B$6:F$185,5,FALSE)))</f>
        <v/>
      </c>
      <c r="D166" s="150" t="str">
        <f>IF(ISNA(VLOOKUP(A166,Declarations!B$6:F$185,4,FALSE)),"",IF(VLOOKUP(A166,Declarations!B$6:F$185,4,FALSE)="","",VLOOKUP(A166,Declarations!B$6:F$185,4,FALSE)))</f>
        <v>BOYS</v>
      </c>
      <c r="E166" s="150" t="str">
        <f>IF(ISNA(VLOOKUP(A166,Declarations!B$6:D$185,3,FALSE)),"",IF(VLOOKUP(A166,Declarations!B$6:D$185,3,FALSE)="","",VLOOKUP(A166,Declarations!B$6:D$185,3,FALSE)))</f>
        <v>U12</v>
      </c>
      <c r="F166" s="49" t="str">
        <f>IF(B166="","",IF(ISNA(VLOOKUP(A166,'75m'!F$5:G$302,2,FALSE)),"",VLOOKUP(A166,'75m'!F$5:G$302,2,FALSE)))</f>
        <v/>
      </c>
      <c r="G166" s="49">
        <f>IF(B166="",0,IF(ISNA(VLOOKUP(A166,'75m'!F$5:J$302,5,FALSE)),0,VLOOKUP(A166,'75m'!F$5:J$302,5,FALSE)))</f>
        <v>0</v>
      </c>
      <c r="H166" s="49" t="str">
        <f>IF(B166="","",IF(ISNA(VLOOKUP(A166,'75m'!F$5:K$302,6,FALSE)),"",VLOOKUP(A166,'75m'!F$5:K$302,6,FALSE)))</f>
        <v/>
      </c>
      <c r="I166" s="51">
        <f>IF(B166="",0,IF(ISNA(VLOOKUP(A166,'600m'!F$5:J$302,2,FALSE)),0,VLOOKUP(A166,'600m'!F$5:J$302,2,FALSE)))</f>
        <v>0</v>
      </c>
      <c r="J166" s="49">
        <f>IF(B166="",0,IF(ISNA(VLOOKUP(A166,'600m'!F$5:J$302,5,FALSE)),0,VLOOKUP(A166,'600m'!F$5:J$302,5,FALSE)))</f>
        <v>0</v>
      </c>
      <c r="K166" s="49" t="str">
        <f>IF(B166="","",IF(ISNA(VLOOKUP(A166,'600m'!F$5:K$302,6,FALSE)),"",VLOOKUP(A166,'600m'!F$5:K$302,6,FALSE)))</f>
        <v/>
      </c>
      <c r="L166" s="49" t="str">
        <f>IF(B166="","",IF(ISNA(VLOOKUP(A166,LongJump!F$5:G$302,2,FALSE)),"",VLOOKUP(A166,LongJump!F$5:G$302,2,FALSE)))</f>
        <v/>
      </c>
      <c r="M166" s="49">
        <f>IF(B166="",0,IF(ISNA(VLOOKUP(A166,LongJump!F$5:J$302,5,FALSE)),0,VLOOKUP(A166,LongJump!F$5:J$302,5,FALSE)))</f>
        <v>0</v>
      </c>
      <c r="N166" s="49">
        <f>IF(B166="",0,IF(ISNA(VLOOKUP(A166,LongJump!F$5:K$302,6,FALSE)),0,VLOOKUP(A166,LongJump!F$5:K$302,6,FALSE)))</f>
        <v>0</v>
      </c>
      <c r="O166" s="49" t="str">
        <f>IF(B166="","",IF(ISNA(VLOOKUP(A166,Vortex!F$5:J$302,2,FALSE)),"",VLOOKUP(A166,Vortex!F$5:J$302,2,FALSE)))</f>
        <v/>
      </c>
      <c r="P166" s="49">
        <f>IF(B166="",0,IF(ISNA(VLOOKUP(A166,Vortex!F$5:J$302,5,FALSE)),0,VLOOKUP(A166,Vortex!F$5:J$302,5,FALSE)))</f>
        <v>0</v>
      </c>
      <c r="Q166" s="49">
        <f t="shared" si="10"/>
        <v>0</v>
      </c>
      <c r="R166" s="49" t="str">
        <f t="shared" si="11"/>
        <v/>
      </c>
      <c r="S166" s="49" t="str">
        <f t="shared" si="12"/>
        <v/>
      </c>
      <c r="T166" s="38"/>
      <c r="X166" s="9"/>
      <c r="Y166" s="9"/>
      <c r="AI166"/>
      <c r="AJ166"/>
    </row>
    <row r="167" spans="1:36" ht="13.95" customHeight="1">
      <c r="A167" s="49">
        <f>IF(Declarations!B140=0,"",Declarations!B140)</f>
        <v>135</v>
      </c>
      <c r="B167" s="150" t="str">
        <f>IF(ISNA(VLOOKUP(A167,Declarations!B$6:C$185,2,FALSE)),"",IF(VLOOKUP(A167,Declarations!B$6:C$185,2,FALSE)="","",VLOOKUP(A167,Declarations!B$6:C$185,2,FALSE)))</f>
        <v/>
      </c>
      <c r="C167" s="150" t="str">
        <f>IF(ISNA(VLOOKUP(A167,Declarations!B$6:F$185,5,FALSE)),"",IF(VLOOKUP(A167,Declarations!B$6:F$185,5,FALSE)="","",VLOOKUP(A167,Declarations!B$6:F$185,5,FALSE)))</f>
        <v/>
      </c>
      <c r="D167" s="150" t="str">
        <f>IF(ISNA(VLOOKUP(A167,Declarations!B$6:F$185,4,FALSE)),"",IF(VLOOKUP(A167,Declarations!B$6:F$185,4,FALSE)="","",VLOOKUP(A167,Declarations!B$6:F$185,4,FALSE)))</f>
        <v>BOYS</v>
      </c>
      <c r="E167" s="150" t="str">
        <f>IF(ISNA(VLOOKUP(A167,Declarations!B$6:D$185,3,FALSE)),"",IF(VLOOKUP(A167,Declarations!B$6:D$185,3,FALSE)="","",VLOOKUP(A167,Declarations!B$6:D$185,3,FALSE)))</f>
        <v>U12</v>
      </c>
      <c r="F167" s="49" t="str">
        <f>IF(B167="","",IF(ISNA(VLOOKUP(A167,'75m'!F$5:G$302,2,FALSE)),"",VLOOKUP(A167,'75m'!F$5:G$302,2,FALSE)))</f>
        <v/>
      </c>
      <c r="G167" s="49">
        <f>IF(B167="",0,IF(ISNA(VLOOKUP(A167,'75m'!F$5:J$302,5,FALSE)),0,VLOOKUP(A167,'75m'!F$5:J$302,5,FALSE)))</f>
        <v>0</v>
      </c>
      <c r="H167" s="49" t="str">
        <f>IF(B167="","",IF(ISNA(VLOOKUP(A167,'75m'!F$5:K$302,6,FALSE)),"",VLOOKUP(A167,'75m'!F$5:K$302,6,FALSE)))</f>
        <v/>
      </c>
      <c r="I167" s="51">
        <f>IF(B167="",0,IF(ISNA(VLOOKUP(A167,'600m'!F$5:J$302,2,FALSE)),0,VLOOKUP(A167,'600m'!F$5:J$302,2,FALSE)))</f>
        <v>0</v>
      </c>
      <c r="J167" s="49">
        <f>IF(B167="",0,IF(ISNA(VLOOKUP(A167,'600m'!F$5:J$302,5,FALSE)),0,VLOOKUP(A167,'600m'!F$5:J$302,5,FALSE)))</f>
        <v>0</v>
      </c>
      <c r="K167" s="49" t="str">
        <f>IF(B167="","",IF(ISNA(VLOOKUP(A167,'600m'!F$5:K$302,6,FALSE)),"",VLOOKUP(A167,'600m'!F$5:K$302,6,FALSE)))</f>
        <v/>
      </c>
      <c r="L167" s="49" t="str">
        <f>IF(B167="","",IF(ISNA(VLOOKUP(A167,LongJump!F$5:G$302,2,FALSE)),"",VLOOKUP(A167,LongJump!F$5:G$302,2,FALSE)))</f>
        <v/>
      </c>
      <c r="M167" s="49">
        <f>IF(B167="",0,IF(ISNA(VLOOKUP(A167,LongJump!F$5:J$302,5,FALSE)),0,VLOOKUP(A167,LongJump!F$5:J$302,5,FALSE)))</f>
        <v>0</v>
      </c>
      <c r="N167" s="49">
        <f>IF(B167="",0,IF(ISNA(VLOOKUP(A167,LongJump!F$5:K$302,6,FALSE)),0,VLOOKUP(A167,LongJump!F$5:K$302,6,FALSE)))</f>
        <v>0</v>
      </c>
      <c r="O167" s="49" t="str">
        <f>IF(B167="","",IF(ISNA(VLOOKUP(A167,Vortex!F$5:J$302,2,FALSE)),"",VLOOKUP(A167,Vortex!F$5:J$302,2,FALSE)))</f>
        <v/>
      </c>
      <c r="P167" s="49">
        <f>IF(B167="",0,IF(ISNA(VLOOKUP(A167,Vortex!F$5:J$302,5,FALSE)),0,VLOOKUP(A167,Vortex!F$5:J$302,5,FALSE)))</f>
        <v>0</v>
      </c>
      <c r="Q167" s="49">
        <f t="shared" si="10"/>
        <v>0</v>
      </c>
      <c r="R167" s="49" t="str">
        <f t="shared" si="11"/>
        <v/>
      </c>
      <c r="S167" s="49" t="str">
        <f t="shared" si="12"/>
        <v/>
      </c>
      <c r="T167" s="38"/>
      <c r="X167" s="9"/>
      <c r="Y167" s="9"/>
      <c r="AI167"/>
      <c r="AJ167"/>
    </row>
    <row r="168" spans="1:36" ht="13.95" customHeight="1">
      <c r="A168" s="49">
        <f>IF(Declarations!B141=0,"",Declarations!B141)</f>
        <v>136</v>
      </c>
      <c r="B168" s="150" t="str">
        <f>IF(ISNA(VLOOKUP(A168,Declarations!B$6:C$185,2,FALSE)),"",IF(VLOOKUP(A168,Declarations!B$6:C$185,2,FALSE)="","",VLOOKUP(A168,Declarations!B$6:C$185,2,FALSE)))</f>
        <v/>
      </c>
      <c r="C168" s="150" t="str">
        <f>IF(ISNA(VLOOKUP(A168,Declarations!B$6:F$185,5,FALSE)),"",IF(VLOOKUP(A168,Declarations!B$6:F$185,5,FALSE)="","",VLOOKUP(A168,Declarations!B$6:F$185,5,FALSE)))</f>
        <v/>
      </c>
      <c r="D168" s="150" t="str">
        <f>IF(ISNA(VLOOKUP(A168,Declarations!B$6:F$185,4,FALSE)),"",IF(VLOOKUP(A168,Declarations!B$6:F$185,4,FALSE)="","",VLOOKUP(A168,Declarations!B$6:F$185,4,FALSE)))</f>
        <v>BOYS</v>
      </c>
      <c r="E168" s="150" t="str">
        <f>IF(ISNA(VLOOKUP(A168,Declarations!B$6:D$185,3,FALSE)),"",IF(VLOOKUP(A168,Declarations!B$6:D$185,3,FALSE)="","",VLOOKUP(A168,Declarations!B$6:D$185,3,FALSE)))</f>
        <v>U12</v>
      </c>
      <c r="F168" s="49" t="str">
        <f>IF(B168="","",IF(ISNA(VLOOKUP(A168,'75m'!F$5:G$302,2,FALSE)),"",VLOOKUP(A168,'75m'!F$5:G$302,2,FALSE)))</f>
        <v/>
      </c>
      <c r="G168" s="49">
        <f>IF(B168="",0,IF(ISNA(VLOOKUP(A168,'75m'!F$5:J$302,5,FALSE)),0,VLOOKUP(A168,'75m'!F$5:J$302,5,FALSE)))</f>
        <v>0</v>
      </c>
      <c r="H168" s="49" t="str">
        <f>IF(B168="","",IF(ISNA(VLOOKUP(A168,'75m'!F$5:K$302,6,FALSE)),"",VLOOKUP(A168,'75m'!F$5:K$302,6,FALSE)))</f>
        <v/>
      </c>
      <c r="I168" s="51">
        <f>IF(B168="",0,IF(ISNA(VLOOKUP(A168,'600m'!F$5:J$302,2,FALSE)),0,VLOOKUP(A168,'600m'!F$5:J$302,2,FALSE)))</f>
        <v>0</v>
      </c>
      <c r="J168" s="49">
        <f>IF(B168="",0,IF(ISNA(VLOOKUP(A168,'600m'!F$5:J$302,5,FALSE)),0,VLOOKUP(A168,'600m'!F$5:J$302,5,FALSE)))</f>
        <v>0</v>
      </c>
      <c r="K168" s="49" t="str">
        <f>IF(B168="","",IF(ISNA(VLOOKUP(A168,'600m'!F$5:K$302,6,FALSE)),"",VLOOKUP(A168,'600m'!F$5:K$302,6,FALSE)))</f>
        <v/>
      </c>
      <c r="L168" s="49" t="str">
        <f>IF(B168="","",IF(ISNA(VLOOKUP(A168,LongJump!F$5:G$302,2,FALSE)),"",VLOOKUP(A168,LongJump!F$5:G$302,2,FALSE)))</f>
        <v/>
      </c>
      <c r="M168" s="49">
        <f>IF(B168="",0,IF(ISNA(VLOOKUP(A168,LongJump!F$5:J$302,5,FALSE)),0,VLOOKUP(A168,LongJump!F$5:J$302,5,FALSE)))</f>
        <v>0</v>
      </c>
      <c r="N168" s="49">
        <f>IF(B168="",0,IF(ISNA(VLOOKUP(A168,LongJump!F$5:K$302,6,FALSE)),0,VLOOKUP(A168,LongJump!F$5:K$302,6,FALSE)))</f>
        <v>0</v>
      </c>
      <c r="O168" s="49" t="str">
        <f>IF(B168="","",IF(ISNA(VLOOKUP(A168,Vortex!F$5:J$302,2,FALSE)),"",VLOOKUP(A168,Vortex!F$5:J$302,2,FALSE)))</f>
        <v/>
      </c>
      <c r="P168" s="49">
        <f>IF(B168="",0,IF(ISNA(VLOOKUP(A168,Vortex!F$5:J$302,5,FALSE)),0,VLOOKUP(A168,Vortex!F$5:J$302,5,FALSE)))</f>
        <v>0</v>
      </c>
      <c r="Q168" s="49">
        <f t="shared" si="10"/>
        <v>0</v>
      </c>
      <c r="R168" s="49" t="str">
        <f t="shared" si="11"/>
        <v/>
      </c>
      <c r="S168" s="49" t="str">
        <f t="shared" si="12"/>
        <v/>
      </c>
      <c r="T168" s="38"/>
      <c r="V168" s="1" t="s">
        <v>128</v>
      </c>
      <c r="X168" s="9"/>
      <c r="Y168" s="9"/>
      <c r="AI168"/>
      <c r="AJ168"/>
    </row>
    <row r="169" spans="1:36" ht="13.95" customHeight="1">
      <c r="A169" s="49">
        <f>IF(Declarations!B142=0,"",Declarations!B142)</f>
        <v>137</v>
      </c>
      <c r="B169" s="150" t="str">
        <f>IF(ISNA(VLOOKUP(A169,Declarations!B$6:C$185,2,FALSE)),"",IF(VLOOKUP(A169,Declarations!B$6:C$185,2,FALSE)="","",VLOOKUP(A169,Declarations!B$6:C$185,2,FALSE)))</f>
        <v/>
      </c>
      <c r="C169" s="150" t="str">
        <f>IF(ISNA(VLOOKUP(A169,Declarations!B$6:F$185,5,FALSE)),"",IF(VLOOKUP(A169,Declarations!B$6:F$185,5,FALSE)="","",VLOOKUP(A169,Declarations!B$6:F$185,5,FALSE)))</f>
        <v/>
      </c>
      <c r="D169" s="150" t="str">
        <f>IF(ISNA(VLOOKUP(A169,Declarations!B$6:F$185,4,FALSE)),"",IF(VLOOKUP(A169,Declarations!B$6:F$185,4,FALSE)="","",VLOOKUP(A169,Declarations!B$6:F$185,4,FALSE)))</f>
        <v>BOYS</v>
      </c>
      <c r="E169" s="150" t="str">
        <f>IF(ISNA(VLOOKUP(A169,Declarations!B$6:D$185,3,FALSE)),"",IF(VLOOKUP(A169,Declarations!B$6:D$185,3,FALSE)="","",VLOOKUP(A169,Declarations!B$6:D$185,3,FALSE)))</f>
        <v>U12</v>
      </c>
      <c r="F169" s="49" t="str">
        <f>IF(B169="","",IF(ISNA(VLOOKUP(A169,'75m'!F$5:G$302,2,FALSE)),"",VLOOKUP(A169,'75m'!F$5:G$302,2,FALSE)))</f>
        <v/>
      </c>
      <c r="G169" s="49">
        <f>IF(B169="",0,IF(ISNA(VLOOKUP(A169,'75m'!F$5:J$302,5,FALSE)),0,VLOOKUP(A169,'75m'!F$5:J$302,5,FALSE)))</f>
        <v>0</v>
      </c>
      <c r="H169" s="49" t="str">
        <f>IF(B169="","",IF(ISNA(VLOOKUP(A169,'75m'!F$5:K$302,6,FALSE)),"",VLOOKUP(A169,'75m'!F$5:K$302,6,FALSE)))</f>
        <v/>
      </c>
      <c r="I169" s="51">
        <f>IF(B169="",0,IF(ISNA(VLOOKUP(A169,'600m'!F$5:J$302,2,FALSE)),0,VLOOKUP(A169,'600m'!F$5:J$302,2,FALSE)))</f>
        <v>0</v>
      </c>
      <c r="J169" s="49">
        <f>IF(B169="",0,IF(ISNA(VLOOKUP(A169,'600m'!F$5:J$302,5,FALSE)),0,VLOOKUP(A169,'600m'!F$5:J$302,5,FALSE)))</f>
        <v>0</v>
      </c>
      <c r="K169" s="49" t="str">
        <f>IF(B169="","",IF(ISNA(VLOOKUP(A169,'600m'!F$5:K$302,6,FALSE)),"",VLOOKUP(A169,'600m'!F$5:K$302,6,FALSE)))</f>
        <v/>
      </c>
      <c r="L169" s="49" t="str">
        <f>IF(B169="","",IF(ISNA(VLOOKUP(A169,LongJump!F$5:G$302,2,FALSE)),"",VLOOKUP(A169,LongJump!F$5:G$302,2,FALSE)))</f>
        <v/>
      </c>
      <c r="M169" s="49">
        <f>IF(B169="",0,IF(ISNA(VLOOKUP(A169,LongJump!F$5:J$302,5,FALSE)),0,VLOOKUP(A169,LongJump!F$5:J$302,5,FALSE)))</f>
        <v>0</v>
      </c>
      <c r="N169" s="49">
        <f>IF(B169="",0,IF(ISNA(VLOOKUP(A169,LongJump!F$5:K$302,6,FALSE)),0,VLOOKUP(A169,LongJump!F$5:K$302,6,FALSE)))</f>
        <v>0</v>
      </c>
      <c r="O169" s="49" t="str">
        <f>IF(B169="","",IF(ISNA(VLOOKUP(A169,Vortex!F$5:J$302,2,FALSE)),"",VLOOKUP(A169,Vortex!F$5:J$302,2,FALSE)))</f>
        <v/>
      </c>
      <c r="P169" s="49">
        <f>IF(B169="",0,IF(ISNA(VLOOKUP(A169,Vortex!F$5:J$302,5,FALSE)),0,VLOOKUP(A169,Vortex!F$5:J$302,5,FALSE)))</f>
        <v>0</v>
      </c>
      <c r="Q169" s="49">
        <f t="shared" si="10"/>
        <v>0</v>
      </c>
      <c r="R169" s="49" t="str">
        <f t="shared" si="11"/>
        <v/>
      </c>
      <c r="S169" s="49" t="str">
        <f t="shared" si="12"/>
        <v/>
      </c>
      <c r="T169" s="38"/>
      <c r="U169" s="11"/>
      <c r="V169" s="11"/>
      <c r="W169" s="11"/>
      <c r="X169" s="9"/>
      <c r="Y169" s="9"/>
      <c r="AI169"/>
      <c r="AJ169"/>
    </row>
    <row r="170" spans="1:36" ht="13.95" customHeight="1">
      <c r="A170" s="49">
        <f>IF(Declarations!B143=0,"",Declarations!B143)</f>
        <v>138</v>
      </c>
      <c r="B170" s="150" t="str">
        <f>IF(ISNA(VLOOKUP(A170,Declarations!B$6:C$185,2,FALSE)),"",IF(VLOOKUP(A170,Declarations!B$6:C$185,2,FALSE)="","",VLOOKUP(A170,Declarations!B$6:C$185,2,FALSE)))</f>
        <v/>
      </c>
      <c r="C170" s="150" t="str">
        <f>IF(ISNA(VLOOKUP(A170,Declarations!B$6:F$185,5,FALSE)),"",IF(VLOOKUP(A170,Declarations!B$6:F$185,5,FALSE)="","",VLOOKUP(A170,Declarations!B$6:F$185,5,FALSE)))</f>
        <v/>
      </c>
      <c r="D170" s="150" t="str">
        <f>IF(ISNA(VLOOKUP(A170,Declarations!B$6:F$185,4,FALSE)),"",IF(VLOOKUP(A170,Declarations!B$6:F$185,4,FALSE)="","",VLOOKUP(A170,Declarations!B$6:F$185,4,FALSE)))</f>
        <v>BOYS</v>
      </c>
      <c r="E170" s="150" t="str">
        <f>IF(ISNA(VLOOKUP(A170,Declarations!B$6:D$185,3,FALSE)),"",IF(VLOOKUP(A170,Declarations!B$6:D$185,3,FALSE)="","",VLOOKUP(A170,Declarations!B$6:D$185,3,FALSE)))</f>
        <v>U12</v>
      </c>
      <c r="F170" s="49" t="str">
        <f>IF(B170="","",IF(ISNA(VLOOKUP(A170,'75m'!F$5:G$302,2,FALSE)),"",VLOOKUP(A170,'75m'!F$5:G$302,2,FALSE)))</f>
        <v/>
      </c>
      <c r="G170" s="49">
        <f>IF(B170="",0,IF(ISNA(VLOOKUP(A170,'75m'!F$5:J$302,5,FALSE)),0,VLOOKUP(A170,'75m'!F$5:J$302,5,FALSE)))</f>
        <v>0</v>
      </c>
      <c r="H170" s="49" t="str">
        <f>IF(B170="","",IF(ISNA(VLOOKUP(A170,'75m'!F$5:K$302,6,FALSE)),"",VLOOKUP(A170,'75m'!F$5:K$302,6,FALSE)))</f>
        <v/>
      </c>
      <c r="I170" s="51">
        <f>IF(B170="",0,IF(ISNA(VLOOKUP(A170,'600m'!F$5:J$302,2,FALSE)),0,VLOOKUP(A170,'600m'!F$5:J$302,2,FALSE)))</f>
        <v>0</v>
      </c>
      <c r="J170" s="49">
        <f>IF(B170="",0,IF(ISNA(VLOOKUP(A170,'600m'!F$5:J$302,5,FALSE)),0,VLOOKUP(A170,'600m'!F$5:J$302,5,FALSE)))</f>
        <v>0</v>
      </c>
      <c r="K170" s="49" t="str">
        <f>IF(B170="","",IF(ISNA(VLOOKUP(A170,'600m'!F$5:K$302,6,FALSE)),"",VLOOKUP(A170,'600m'!F$5:K$302,6,FALSE)))</f>
        <v/>
      </c>
      <c r="L170" s="49" t="str">
        <f>IF(B170="","",IF(ISNA(VLOOKUP(A170,LongJump!F$5:G$302,2,FALSE)),"",VLOOKUP(A170,LongJump!F$5:G$302,2,FALSE)))</f>
        <v/>
      </c>
      <c r="M170" s="49">
        <f>IF(B170="",0,IF(ISNA(VLOOKUP(A170,LongJump!F$5:J$302,5,FALSE)),0,VLOOKUP(A170,LongJump!F$5:J$302,5,FALSE)))</f>
        <v>0</v>
      </c>
      <c r="N170" s="49">
        <f>IF(B170="",0,IF(ISNA(VLOOKUP(A170,LongJump!F$5:K$302,6,FALSE)),0,VLOOKUP(A170,LongJump!F$5:K$302,6,FALSE)))</f>
        <v>0</v>
      </c>
      <c r="O170" s="49" t="str">
        <f>IF(B170="","",IF(ISNA(VLOOKUP(A170,Vortex!F$5:J$302,2,FALSE)),"",VLOOKUP(A170,Vortex!F$5:J$302,2,FALSE)))</f>
        <v/>
      </c>
      <c r="P170" s="49">
        <f>IF(B170="",0,IF(ISNA(VLOOKUP(A170,Vortex!F$5:J$302,5,FALSE)),0,VLOOKUP(A170,Vortex!F$5:J$302,5,FALSE)))</f>
        <v>0</v>
      </c>
      <c r="Q170" s="49">
        <f t="shared" si="10"/>
        <v>0</v>
      </c>
      <c r="R170" s="49" t="str">
        <f t="shared" si="11"/>
        <v/>
      </c>
      <c r="S170" s="49" t="str">
        <f t="shared" si="12"/>
        <v/>
      </c>
      <c r="T170" s="38"/>
      <c r="X170" s="9"/>
      <c r="Y170" s="9"/>
      <c r="AI170"/>
      <c r="AJ170"/>
    </row>
    <row r="171" spans="1:36" ht="13.95" customHeight="1">
      <c r="A171" s="49">
        <f>IF(Declarations!B144=0,"",Declarations!B144)</f>
        <v>139</v>
      </c>
      <c r="B171" s="150" t="str">
        <f>IF(ISNA(VLOOKUP(A171,Declarations!B$6:C$185,2,FALSE)),"",IF(VLOOKUP(A171,Declarations!B$6:C$185,2,FALSE)="","",VLOOKUP(A171,Declarations!B$6:C$185,2,FALSE)))</f>
        <v/>
      </c>
      <c r="C171" s="150" t="str">
        <f>IF(ISNA(VLOOKUP(A171,Declarations!B$6:F$185,5,FALSE)),"",IF(VLOOKUP(A171,Declarations!B$6:F$185,5,FALSE)="","",VLOOKUP(A171,Declarations!B$6:F$185,5,FALSE)))</f>
        <v/>
      </c>
      <c r="D171" s="150" t="str">
        <f>IF(ISNA(VLOOKUP(A171,Declarations!B$6:F$185,4,FALSE)),"",IF(VLOOKUP(A171,Declarations!B$6:F$185,4,FALSE)="","",VLOOKUP(A171,Declarations!B$6:F$185,4,FALSE)))</f>
        <v>BOYS</v>
      </c>
      <c r="E171" s="150" t="str">
        <f>IF(ISNA(VLOOKUP(A171,Declarations!B$6:D$185,3,FALSE)),"",IF(VLOOKUP(A171,Declarations!B$6:D$185,3,FALSE)="","",VLOOKUP(A171,Declarations!B$6:D$185,3,FALSE)))</f>
        <v>U12</v>
      </c>
      <c r="F171" s="49" t="str">
        <f>IF(B171="","",IF(ISNA(VLOOKUP(A171,'75m'!F$5:G$302,2,FALSE)),"",VLOOKUP(A171,'75m'!F$5:G$302,2,FALSE)))</f>
        <v/>
      </c>
      <c r="G171" s="49">
        <f>IF(B171="",0,IF(ISNA(VLOOKUP(A171,'75m'!F$5:J$302,5,FALSE)),0,VLOOKUP(A171,'75m'!F$5:J$302,5,FALSE)))</f>
        <v>0</v>
      </c>
      <c r="H171" s="49" t="str">
        <f>IF(B171="","",IF(ISNA(VLOOKUP(A171,'75m'!F$5:K$302,6,FALSE)),"",VLOOKUP(A171,'75m'!F$5:K$302,6,FALSE)))</f>
        <v/>
      </c>
      <c r="I171" s="51">
        <f>IF(B171="",0,IF(ISNA(VLOOKUP(A171,'600m'!F$5:J$302,2,FALSE)),0,VLOOKUP(A171,'600m'!F$5:J$302,2,FALSE)))</f>
        <v>0</v>
      </c>
      <c r="J171" s="49">
        <f>IF(B171="",0,IF(ISNA(VLOOKUP(A171,'600m'!F$5:J$302,5,FALSE)),0,VLOOKUP(A171,'600m'!F$5:J$302,5,FALSE)))</f>
        <v>0</v>
      </c>
      <c r="K171" s="49" t="str">
        <f>IF(B171="","",IF(ISNA(VLOOKUP(A171,'600m'!F$5:K$302,6,FALSE)),"",VLOOKUP(A171,'600m'!F$5:K$302,6,FALSE)))</f>
        <v/>
      </c>
      <c r="L171" s="49" t="str">
        <f>IF(B171="","",IF(ISNA(VLOOKUP(A171,LongJump!F$5:G$302,2,FALSE)),"",VLOOKUP(A171,LongJump!F$5:G$302,2,FALSE)))</f>
        <v/>
      </c>
      <c r="M171" s="49">
        <f>IF(B171="",0,IF(ISNA(VLOOKUP(A171,LongJump!F$5:J$302,5,FALSE)),0,VLOOKUP(A171,LongJump!F$5:J$302,5,FALSE)))</f>
        <v>0</v>
      </c>
      <c r="N171" s="49">
        <f>IF(B171="",0,IF(ISNA(VLOOKUP(A171,LongJump!F$5:K$302,6,FALSE)),0,VLOOKUP(A171,LongJump!F$5:K$302,6,FALSE)))</f>
        <v>0</v>
      </c>
      <c r="O171" s="49" t="str">
        <f>IF(B171="","",IF(ISNA(VLOOKUP(A171,Vortex!F$5:J$302,2,FALSE)),"",VLOOKUP(A171,Vortex!F$5:J$302,2,FALSE)))</f>
        <v/>
      </c>
      <c r="P171" s="49">
        <f>IF(B171="",0,IF(ISNA(VLOOKUP(A171,Vortex!F$5:J$302,5,FALSE)),0,VLOOKUP(A171,Vortex!F$5:J$302,5,FALSE)))</f>
        <v>0</v>
      </c>
      <c r="Q171" s="49">
        <f t="shared" si="10"/>
        <v>0</v>
      </c>
      <c r="R171" s="49" t="str">
        <f t="shared" si="11"/>
        <v/>
      </c>
      <c r="S171" s="49" t="str">
        <f t="shared" si="12"/>
        <v/>
      </c>
      <c r="T171" s="38"/>
      <c r="X171" s="9"/>
      <c r="Y171" s="9"/>
      <c r="AI171"/>
      <c r="AJ171"/>
    </row>
    <row r="172" spans="1:36" ht="13.95" customHeight="1">
      <c r="A172" s="49">
        <f>IF(Declarations!B145=0,"",Declarations!B145)</f>
        <v>140</v>
      </c>
      <c r="B172" s="150" t="str">
        <f>IF(ISNA(VLOOKUP(A172,Declarations!B$6:C$185,2,FALSE)),"",IF(VLOOKUP(A172,Declarations!B$6:C$185,2,FALSE)="","",VLOOKUP(A172,Declarations!B$6:C$185,2,FALSE)))</f>
        <v/>
      </c>
      <c r="C172" s="150" t="str">
        <f>IF(ISNA(VLOOKUP(A172,Declarations!B$6:F$185,5,FALSE)),"",IF(VLOOKUP(A172,Declarations!B$6:F$185,5,FALSE)="","",VLOOKUP(A172,Declarations!B$6:F$185,5,FALSE)))</f>
        <v/>
      </c>
      <c r="D172" s="150" t="str">
        <f>IF(ISNA(VLOOKUP(A172,Declarations!B$6:F$185,4,FALSE)),"",IF(VLOOKUP(A172,Declarations!B$6:F$185,4,FALSE)="","",VLOOKUP(A172,Declarations!B$6:F$185,4,FALSE)))</f>
        <v>BOYS</v>
      </c>
      <c r="E172" s="150" t="str">
        <f>IF(ISNA(VLOOKUP(A172,Declarations!B$6:D$185,3,FALSE)),"",IF(VLOOKUP(A172,Declarations!B$6:D$185,3,FALSE)="","",VLOOKUP(A172,Declarations!B$6:D$185,3,FALSE)))</f>
        <v>U12</v>
      </c>
      <c r="F172" s="49" t="str">
        <f>IF(B172="","",IF(ISNA(VLOOKUP(A172,'75m'!F$5:G$302,2,FALSE)),"",VLOOKUP(A172,'75m'!F$5:G$302,2,FALSE)))</f>
        <v/>
      </c>
      <c r="G172" s="49">
        <f>IF(B172="",0,IF(ISNA(VLOOKUP(A172,'75m'!F$5:J$302,5,FALSE)),0,VLOOKUP(A172,'75m'!F$5:J$302,5,FALSE)))</f>
        <v>0</v>
      </c>
      <c r="H172" s="49" t="str">
        <f>IF(B172="","",IF(ISNA(VLOOKUP(A172,'75m'!F$5:K$302,6,FALSE)),"",VLOOKUP(A172,'75m'!F$5:K$302,6,FALSE)))</f>
        <v/>
      </c>
      <c r="I172" s="51">
        <f>IF(B172="",0,IF(ISNA(VLOOKUP(A172,'600m'!F$5:J$302,2,FALSE)),0,VLOOKUP(A172,'600m'!F$5:J$302,2,FALSE)))</f>
        <v>0</v>
      </c>
      <c r="J172" s="49">
        <f>IF(B172="",0,IF(ISNA(VLOOKUP(A172,'600m'!F$5:J$302,5,FALSE)),0,VLOOKUP(A172,'600m'!F$5:J$302,5,FALSE)))</f>
        <v>0</v>
      </c>
      <c r="K172" s="49" t="str">
        <f>IF(B172="","",IF(ISNA(VLOOKUP(A172,'600m'!F$5:K$302,6,FALSE)),"",VLOOKUP(A172,'600m'!F$5:K$302,6,FALSE)))</f>
        <v/>
      </c>
      <c r="L172" s="49" t="str">
        <f>IF(B172="","",IF(ISNA(VLOOKUP(A172,LongJump!F$5:G$302,2,FALSE)),"",VLOOKUP(A172,LongJump!F$5:G$302,2,FALSE)))</f>
        <v/>
      </c>
      <c r="M172" s="49">
        <f>IF(B172="",0,IF(ISNA(VLOOKUP(A172,LongJump!F$5:J$302,5,FALSE)),0,VLOOKUP(A172,LongJump!F$5:J$302,5,FALSE)))</f>
        <v>0</v>
      </c>
      <c r="N172" s="49">
        <f>IF(B172="",0,IF(ISNA(VLOOKUP(A172,LongJump!F$5:K$302,6,FALSE)),0,VLOOKUP(A172,LongJump!F$5:K$302,6,FALSE)))</f>
        <v>0</v>
      </c>
      <c r="O172" s="49" t="str">
        <f>IF(B172="","",IF(ISNA(VLOOKUP(A172,Vortex!F$5:J$302,2,FALSE)),"",VLOOKUP(A172,Vortex!F$5:J$302,2,FALSE)))</f>
        <v/>
      </c>
      <c r="P172" s="49">
        <f>IF(B172="",0,IF(ISNA(VLOOKUP(A172,Vortex!F$5:J$302,5,FALSE)),0,VLOOKUP(A172,Vortex!F$5:J$302,5,FALSE)))</f>
        <v>0</v>
      </c>
      <c r="Q172" s="49">
        <f t="shared" si="10"/>
        <v>0</v>
      </c>
      <c r="R172" s="49" t="str">
        <f t="shared" si="11"/>
        <v/>
      </c>
      <c r="S172" s="49" t="str">
        <f t="shared" si="12"/>
        <v/>
      </c>
      <c r="T172" s="38"/>
      <c r="X172" s="9"/>
      <c r="Y172" s="9"/>
      <c r="AI172"/>
      <c r="AJ172"/>
    </row>
    <row r="173" spans="1:36" ht="13.95" customHeight="1">
      <c r="A173" s="49" t="str">
        <f>IF(Declarations!B146=0,"",Declarations!B146)</f>
        <v/>
      </c>
      <c r="B173" s="150" t="str">
        <f>IF(ISNA(VLOOKUP(A173,Declarations!B$6:C$185,2,FALSE)),"",IF(VLOOKUP(A173,Declarations!B$6:C$185,2,FALSE)="","",VLOOKUP(A173,Declarations!B$6:C$185,2,FALSE)))</f>
        <v/>
      </c>
      <c r="C173" s="150" t="str">
        <f>IF(ISNA(VLOOKUP(A173,Declarations!B$6:F$185,5,FALSE)),"",IF(VLOOKUP(A173,Declarations!B$6:F$185,5,FALSE)="","",VLOOKUP(A173,Declarations!B$6:F$185,5,FALSE)))</f>
        <v/>
      </c>
      <c r="D173" s="150" t="str">
        <f>IF(ISNA(VLOOKUP(A173,Declarations!B$6:F$185,4,FALSE)),"",IF(VLOOKUP(A173,Declarations!B$6:F$185,4,FALSE)="","",VLOOKUP(A173,Declarations!B$6:F$185,4,FALSE)))</f>
        <v/>
      </c>
      <c r="E173" s="150" t="str">
        <f>IF(ISNA(VLOOKUP(A173,Declarations!B$6:D$185,3,FALSE)),"",IF(VLOOKUP(A173,Declarations!B$6:D$185,3,FALSE)="","",VLOOKUP(A173,Declarations!B$6:D$185,3,FALSE)))</f>
        <v/>
      </c>
      <c r="F173" s="49" t="str">
        <f>IF(B173="","",IF(ISNA(VLOOKUP(A173,'75m'!F$5:G$302,2,FALSE)),"",VLOOKUP(A173,'75m'!F$5:G$302,2,FALSE)))</f>
        <v/>
      </c>
      <c r="G173" s="49">
        <f>IF(B173="",0,IF(ISNA(VLOOKUP(A173,'75m'!F$5:J$302,5,FALSE)),0,VLOOKUP(A173,'75m'!F$5:J$302,5,FALSE)))</f>
        <v>0</v>
      </c>
      <c r="H173" s="49" t="str">
        <f>IF(B173="","",IF(ISNA(VLOOKUP(A173,'75m'!F$5:K$302,6,FALSE)),"",VLOOKUP(A173,'75m'!F$5:K$302,6,FALSE)))</f>
        <v/>
      </c>
      <c r="I173" s="51">
        <f>IF(B173="",0,IF(ISNA(VLOOKUP(A173,'600m'!F$5:J$302,2,FALSE)),0,VLOOKUP(A173,'600m'!F$5:J$302,2,FALSE)))</f>
        <v>0</v>
      </c>
      <c r="J173" s="49">
        <f>IF(B173="",0,IF(ISNA(VLOOKUP(A173,'600m'!F$5:J$302,5,FALSE)),0,VLOOKUP(A173,'600m'!F$5:J$302,5,FALSE)))</f>
        <v>0</v>
      </c>
      <c r="K173" s="49" t="str">
        <f>IF(B173="","",IF(ISNA(VLOOKUP(A173,'600m'!F$5:K$302,6,FALSE)),"",VLOOKUP(A173,'600m'!F$5:K$302,6,FALSE)))</f>
        <v/>
      </c>
      <c r="L173" s="49" t="str">
        <f>IF(B173="","",IF(ISNA(VLOOKUP(A173,LongJump!F$5:G$302,2,FALSE)),"",VLOOKUP(A173,LongJump!F$5:G$302,2,FALSE)))</f>
        <v/>
      </c>
      <c r="M173" s="49">
        <f>IF(B173="",0,IF(ISNA(VLOOKUP(A173,LongJump!F$5:J$302,5,FALSE)),0,VLOOKUP(A173,LongJump!F$5:J$302,5,FALSE)))</f>
        <v>0</v>
      </c>
      <c r="N173" s="49">
        <f>IF(B173="",0,IF(ISNA(VLOOKUP(A173,LongJump!F$5:K$302,6,FALSE)),0,VLOOKUP(A173,LongJump!F$5:K$302,6,FALSE)))</f>
        <v>0</v>
      </c>
      <c r="O173" s="49" t="str">
        <f>IF(B173="","",IF(ISNA(VLOOKUP(A173,Vortex!F$5:J$302,2,FALSE)),"",VLOOKUP(A173,Vortex!F$5:J$302,2,FALSE)))</f>
        <v/>
      </c>
      <c r="P173" s="49">
        <f>IF(B173="",0,IF(ISNA(VLOOKUP(A173,Vortex!F$5:J$302,5,FALSE)),0,VLOOKUP(A173,Vortex!F$5:J$302,5,FALSE)))</f>
        <v>0</v>
      </c>
      <c r="Q173" s="49">
        <f t="shared" si="10"/>
        <v>0</v>
      </c>
      <c r="R173" s="49" t="str">
        <f t="shared" si="11"/>
        <v/>
      </c>
      <c r="S173" s="49" t="str">
        <f t="shared" si="12"/>
        <v/>
      </c>
      <c r="T173" s="38"/>
      <c r="X173" s="9"/>
      <c r="Y173" s="9"/>
      <c r="AI173"/>
      <c r="AJ173"/>
    </row>
    <row r="174" spans="1:36" ht="13.95" customHeight="1">
      <c r="A174" s="49" t="str">
        <f>IF(Declarations!B147=0,"",Declarations!B147)</f>
        <v/>
      </c>
      <c r="B174" s="150" t="str">
        <f>IF(ISNA(VLOOKUP(A174,Declarations!B$6:C$185,2,FALSE)),"",IF(VLOOKUP(A174,Declarations!B$6:C$185,2,FALSE)="","",VLOOKUP(A174,Declarations!B$6:C$185,2,FALSE)))</f>
        <v/>
      </c>
      <c r="C174" s="150" t="str">
        <f>IF(ISNA(VLOOKUP(A174,Declarations!B$6:F$185,5,FALSE)),"",IF(VLOOKUP(A174,Declarations!B$6:F$185,5,FALSE)="","",VLOOKUP(A174,Declarations!B$6:F$185,5,FALSE)))</f>
        <v/>
      </c>
      <c r="D174" s="150" t="str">
        <f>IF(ISNA(VLOOKUP(A174,Declarations!B$6:F$185,4,FALSE)),"",IF(VLOOKUP(A174,Declarations!B$6:F$185,4,FALSE)="","",VLOOKUP(A174,Declarations!B$6:F$185,4,FALSE)))</f>
        <v/>
      </c>
      <c r="E174" s="150" t="str">
        <f>IF(ISNA(VLOOKUP(A174,Declarations!B$6:D$185,3,FALSE)),"",IF(VLOOKUP(A174,Declarations!B$6:D$185,3,FALSE)="","",VLOOKUP(A174,Declarations!B$6:D$185,3,FALSE)))</f>
        <v/>
      </c>
      <c r="F174" s="49" t="str">
        <f>IF(B174="","",IF(ISNA(VLOOKUP(A174,'75m'!F$5:G$302,2,FALSE)),"",VLOOKUP(A174,'75m'!F$5:G$302,2,FALSE)))</f>
        <v/>
      </c>
      <c r="G174" s="49">
        <f>IF(B174="",0,IF(ISNA(VLOOKUP(A174,'75m'!F$5:J$302,5,FALSE)),0,VLOOKUP(A174,'75m'!F$5:J$302,5,FALSE)))</f>
        <v>0</v>
      </c>
      <c r="H174" s="49" t="str">
        <f>IF(B174="","",IF(ISNA(VLOOKUP(A174,'75m'!F$5:K$302,6,FALSE)),"",VLOOKUP(A174,'75m'!F$5:K$302,6,FALSE)))</f>
        <v/>
      </c>
      <c r="I174" s="51">
        <f>IF(B174="",0,IF(ISNA(VLOOKUP(A174,'600m'!F$5:J$302,2,FALSE)),0,VLOOKUP(A174,'600m'!F$5:J$302,2,FALSE)))</f>
        <v>0</v>
      </c>
      <c r="J174" s="49">
        <f>IF(B174="",0,IF(ISNA(VLOOKUP(A174,'600m'!F$5:J$302,5,FALSE)),0,VLOOKUP(A174,'600m'!F$5:J$302,5,FALSE)))</f>
        <v>0</v>
      </c>
      <c r="K174" s="49" t="str">
        <f>IF(B174="","",IF(ISNA(VLOOKUP(A174,'600m'!F$5:K$302,6,FALSE)),"",VLOOKUP(A174,'600m'!F$5:K$302,6,FALSE)))</f>
        <v/>
      </c>
      <c r="L174" s="49" t="str">
        <f>IF(B174="","",IF(ISNA(VLOOKUP(A174,LongJump!F$5:G$302,2,FALSE)),"",VLOOKUP(A174,LongJump!F$5:G$302,2,FALSE)))</f>
        <v/>
      </c>
      <c r="M174" s="49">
        <f>IF(B174="",0,IF(ISNA(VLOOKUP(A174,LongJump!F$5:J$302,5,FALSE)),0,VLOOKUP(A174,LongJump!F$5:J$302,5,FALSE)))</f>
        <v>0</v>
      </c>
      <c r="N174" s="49">
        <f>IF(B174="",0,IF(ISNA(VLOOKUP(A174,LongJump!F$5:K$302,6,FALSE)),0,VLOOKUP(A174,LongJump!F$5:K$302,6,FALSE)))</f>
        <v>0</v>
      </c>
      <c r="O174" s="49" t="str">
        <f>IF(B174="","",IF(ISNA(VLOOKUP(A174,Vortex!F$5:J$302,2,FALSE)),"",VLOOKUP(A174,Vortex!F$5:J$302,2,FALSE)))</f>
        <v/>
      </c>
      <c r="P174" s="49">
        <f>IF(B174="",0,IF(ISNA(VLOOKUP(A174,Vortex!F$5:J$302,5,FALSE)),0,VLOOKUP(A174,Vortex!F$5:J$302,5,FALSE)))</f>
        <v>0</v>
      </c>
      <c r="Q174" s="49">
        <f t="shared" si="10"/>
        <v>0</v>
      </c>
      <c r="R174" s="49" t="str">
        <f t="shared" si="11"/>
        <v/>
      </c>
      <c r="S174" s="49" t="str">
        <f t="shared" si="12"/>
        <v/>
      </c>
      <c r="T174" s="38"/>
      <c r="X174" s="9"/>
      <c r="Y174" s="9"/>
      <c r="AI174"/>
      <c r="AJ174"/>
    </row>
    <row r="175" spans="1:36" ht="13.95" customHeight="1">
      <c r="A175" s="49" t="str">
        <f>IF(Declarations!B148=0,"",Declarations!B148)</f>
        <v/>
      </c>
      <c r="B175" s="150" t="str">
        <f>IF(ISNA(VLOOKUP(A175,Declarations!B$6:C$185,2,FALSE)),"",IF(VLOOKUP(A175,Declarations!B$6:C$185,2,FALSE)="","",VLOOKUP(A175,Declarations!B$6:C$185,2,FALSE)))</f>
        <v/>
      </c>
      <c r="C175" s="150" t="str">
        <f>IF(ISNA(VLOOKUP(A175,Declarations!B$6:F$185,5,FALSE)),"",IF(VLOOKUP(A175,Declarations!B$6:F$185,5,FALSE)="","",VLOOKUP(A175,Declarations!B$6:F$185,5,FALSE)))</f>
        <v/>
      </c>
      <c r="D175" s="150" t="str">
        <f>IF(ISNA(VLOOKUP(A175,Declarations!B$6:F$185,4,FALSE)),"",IF(VLOOKUP(A175,Declarations!B$6:F$185,4,FALSE)="","",VLOOKUP(A175,Declarations!B$6:F$185,4,FALSE)))</f>
        <v/>
      </c>
      <c r="E175" s="150" t="str">
        <f>IF(ISNA(VLOOKUP(A175,Declarations!B$6:D$185,3,FALSE)),"",IF(VLOOKUP(A175,Declarations!B$6:D$185,3,FALSE)="","",VLOOKUP(A175,Declarations!B$6:D$185,3,FALSE)))</f>
        <v/>
      </c>
      <c r="F175" s="49" t="str">
        <f>IF(B175="","",IF(ISNA(VLOOKUP(A175,'75m'!F$5:G$302,2,FALSE)),"",VLOOKUP(A175,'75m'!F$5:G$302,2,FALSE)))</f>
        <v/>
      </c>
      <c r="G175" s="49">
        <f>IF(B175="",0,IF(ISNA(VLOOKUP(A175,'75m'!F$5:J$302,5,FALSE)),0,VLOOKUP(A175,'75m'!F$5:J$302,5,FALSE)))</f>
        <v>0</v>
      </c>
      <c r="H175" s="49" t="str">
        <f>IF(B175="","",IF(ISNA(VLOOKUP(A175,'75m'!F$5:K$302,6,FALSE)),"",VLOOKUP(A175,'75m'!F$5:K$302,6,FALSE)))</f>
        <v/>
      </c>
      <c r="I175" s="51">
        <f>IF(B175="",0,IF(ISNA(VLOOKUP(A175,'600m'!F$5:J$302,2,FALSE)),0,VLOOKUP(A175,'600m'!F$5:J$302,2,FALSE)))</f>
        <v>0</v>
      </c>
      <c r="J175" s="49">
        <f>IF(B175="",0,IF(ISNA(VLOOKUP(A175,'600m'!F$5:J$302,5,FALSE)),0,VLOOKUP(A175,'600m'!F$5:J$302,5,FALSE)))</f>
        <v>0</v>
      </c>
      <c r="K175" s="49" t="str">
        <f>IF(B175="","",IF(ISNA(VLOOKUP(A175,'600m'!F$5:K$302,6,FALSE)),"",VLOOKUP(A175,'600m'!F$5:K$302,6,FALSE)))</f>
        <v/>
      </c>
      <c r="L175" s="49" t="str">
        <f>IF(B175="","",IF(ISNA(VLOOKUP(A175,LongJump!F$5:G$302,2,FALSE)),"",VLOOKUP(A175,LongJump!F$5:G$302,2,FALSE)))</f>
        <v/>
      </c>
      <c r="M175" s="49">
        <f>IF(B175="",0,IF(ISNA(VLOOKUP(A175,LongJump!F$5:J$302,5,FALSE)),0,VLOOKUP(A175,LongJump!F$5:J$302,5,FALSE)))</f>
        <v>0</v>
      </c>
      <c r="N175" s="49">
        <f>IF(B175="",0,IF(ISNA(VLOOKUP(A175,LongJump!F$5:K$302,6,FALSE)),0,VLOOKUP(A175,LongJump!F$5:K$302,6,FALSE)))</f>
        <v>0</v>
      </c>
      <c r="O175" s="49" t="str">
        <f>IF(B175="","",IF(ISNA(VLOOKUP(A175,Vortex!F$5:J$302,2,FALSE)),"",VLOOKUP(A175,Vortex!F$5:J$302,2,FALSE)))</f>
        <v/>
      </c>
      <c r="P175" s="49">
        <f>IF(B175="",0,IF(ISNA(VLOOKUP(A175,Vortex!F$5:J$302,5,FALSE)),0,VLOOKUP(A175,Vortex!F$5:J$302,5,FALSE)))</f>
        <v>0</v>
      </c>
      <c r="Q175" s="49">
        <f t="shared" si="10"/>
        <v>0</v>
      </c>
      <c r="R175" s="49" t="str">
        <f t="shared" si="11"/>
        <v/>
      </c>
      <c r="S175" s="49" t="str">
        <f t="shared" si="12"/>
        <v/>
      </c>
      <c r="T175" s="38"/>
      <c r="X175" s="9"/>
      <c r="Y175" s="9"/>
      <c r="AI175"/>
      <c r="AJ175"/>
    </row>
    <row r="176" spans="1:36" ht="13.95" customHeight="1">
      <c r="A176" s="49" t="str">
        <f>IF(Declarations!B149=0,"",Declarations!B149)</f>
        <v/>
      </c>
      <c r="B176" s="150" t="str">
        <f>IF(ISNA(VLOOKUP(A176,Declarations!B$6:C$185,2,FALSE)),"",IF(VLOOKUP(A176,Declarations!B$6:C$185,2,FALSE)="","",VLOOKUP(A176,Declarations!B$6:C$185,2,FALSE)))</f>
        <v/>
      </c>
      <c r="C176" s="150" t="str">
        <f>IF(ISNA(VLOOKUP(A176,Declarations!B$6:F$185,5,FALSE)),"",IF(VLOOKUP(A176,Declarations!B$6:F$185,5,FALSE)="","",VLOOKUP(A176,Declarations!B$6:F$185,5,FALSE)))</f>
        <v/>
      </c>
      <c r="D176" s="150" t="str">
        <f>IF(ISNA(VLOOKUP(A176,Declarations!B$6:F$185,4,FALSE)),"",IF(VLOOKUP(A176,Declarations!B$6:F$185,4,FALSE)="","",VLOOKUP(A176,Declarations!B$6:F$185,4,FALSE)))</f>
        <v/>
      </c>
      <c r="E176" s="150" t="str">
        <f>IF(ISNA(VLOOKUP(A176,Declarations!B$6:D$185,3,FALSE)),"",IF(VLOOKUP(A176,Declarations!B$6:D$185,3,FALSE)="","",VLOOKUP(A176,Declarations!B$6:D$185,3,FALSE)))</f>
        <v/>
      </c>
      <c r="F176" s="49" t="str">
        <f>IF(B176="","",IF(ISNA(VLOOKUP(A176,'75m'!F$5:G$302,2,FALSE)),"",VLOOKUP(A176,'75m'!F$5:G$302,2,FALSE)))</f>
        <v/>
      </c>
      <c r="G176" s="49">
        <f>IF(B176="",0,IF(ISNA(VLOOKUP(A176,'75m'!F$5:J$302,5,FALSE)),0,VLOOKUP(A176,'75m'!F$5:J$302,5,FALSE)))</f>
        <v>0</v>
      </c>
      <c r="H176" s="49" t="str">
        <f>IF(B176="","",IF(ISNA(VLOOKUP(A176,'75m'!F$5:K$302,6,FALSE)),"",VLOOKUP(A176,'75m'!F$5:K$302,6,FALSE)))</f>
        <v/>
      </c>
      <c r="I176" s="51">
        <f>IF(B176="",0,IF(ISNA(VLOOKUP(A176,'600m'!F$5:J$302,2,FALSE)),0,VLOOKUP(A176,'600m'!F$5:J$302,2,FALSE)))</f>
        <v>0</v>
      </c>
      <c r="J176" s="49">
        <f>IF(B176="",0,IF(ISNA(VLOOKUP(A176,'600m'!F$5:J$302,5,FALSE)),0,VLOOKUP(A176,'600m'!F$5:J$302,5,FALSE)))</f>
        <v>0</v>
      </c>
      <c r="K176" s="49" t="str">
        <f>IF(B176="","",IF(ISNA(VLOOKUP(A176,'600m'!F$5:K$302,6,FALSE)),"",VLOOKUP(A176,'600m'!F$5:K$302,6,FALSE)))</f>
        <v/>
      </c>
      <c r="L176" s="49" t="str">
        <f>IF(B176="","",IF(ISNA(VLOOKUP(A176,LongJump!F$5:G$302,2,FALSE)),"",VLOOKUP(A176,LongJump!F$5:G$302,2,FALSE)))</f>
        <v/>
      </c>
      <c r="M176" s="49">
        <f>IF(B176="",0,IF(ISNA(VLOOKUP(A176,LongJump!F$5:J$302,5,FALSE)),0,VLOOKUP(A176,LongJump!F$5:J$302,5,FALSE)))</f>
        <v>0</v>
      </c>
      <c r="N176" s="49">
        <f>IF(B176="",0,IF(ISNA(VLOOKUP(A176,LongJump!F$5:K$302,6,FALSE)),0,VLOOKUP(A176,LongJump!F$5:K$302,6,FALSE)))</f>
        <v>0</v>
      </c>
      <c r="O176" s="49" t="str">
        <f>IF(B176="","",IF(ISNA(VLOOKUP(A176,Vortex!F$5:J$302,2,FALSE)),"",VLOOKUP(A176,Vortex!F$5:J$302,2,FALSE)))</f>
        <v/>
      </c>
      <c r="P176" s="49">
        <f>IF(B176="",0,IF(ISNA(VLOOKUP(A176,Vortex!F$5:J$302,5,FALSE)),0,VLOOKUP(A176,Vortex!F$5:J$302,5,FALSE)))</f>
        <v>0</v>
      </c>
      <c r="Q176" s="49">
        <f t="shared" si="10"/>
        <v>0</v>
      </c>
      <c r="R176" s="49" t="str">
        <f t="shared" si="11"/>
        <v/>
      </c>
      <c r="S176" s="49" t="str">
        <f t="shared" si="12"/>
        <v/>
      </c>
      <c r="T176" s="38"/>
      <c r="X176" s="9"/>
      <c r="Y176" s="9"/>
      <c r="AI176"/>
      <c r="AJ176"/>
    </row>
    <row r="177" spans="1:36" ht="13.95" customHeight="1">
      <c r="A177" s="49" t="str">
        <f>IF(Declarations!B150=0,"",Declarations!B150)</f>
        <v/>
      </c>
      <c r="B177" s="150" t="str">
        <f>IF(ISNA(VLOOKUP(A177,Declarations!B$6:C$185,2,FALSE)),"",IF(VLOOKUP(A177,Declarations!B$6:C$185,2,FALSE)="","",VLOOKUP(A177,Declarations!B$6:C$185,2,FALSE)))</f>
        <v/>
      </c>
      <c r="C177" s="150" t="str">
        <f>IF(ISNA(VLOOKUP(A177,Declarations!B$6:F$185,5,FALSE)),"",IF(VLOOKUP(A177,Declarations!B$6:F$185,5,FALSE)="","",VLOOKUP(A177,Declarations!B$6:F$185,5,FALSE)))</f>
        <v/>
      </c>
      <c r="D177" s="150" t="str">
        <f>IF(ISNA(VLOOKUP(A177,Declarations!B$6:F$185,4,FALSE)),"",IF(VLOOKUP(A177,Declarations!B$6:F$185,4,FALSE)="","",VLOOKUP(A177,Declarations!B$6:F$185,4,FALSE)))</f>
        <v/>
      </c>
      <c r="E177" s="150" t="str">
        <f>IF(ISNA(VLOOKUP(A177,Declarations!B$6:D$185,3,FALSE)),"",IF(VLOOKUP(A177,Declarations!B$6:D$185,3,FALSE)="","",VLOOKUP(A177,Declarations!B$6:D$185,3,FALSE)))</f>
        <v/>
      </c>
      <c r="F177" s="49" t="str">
        <f>IF(B177="","",IF(ISNA(VLOOKUP(A177,'75m'!F$5:G$302,2,FALSE)),"",VLOOKUP(A177,'75m'!F$5:G$302,2,FALSE)))</f>
        <v/>
      </c>
      <c r="G177" s="49">
        <f>IF(B177="",0,IF(ISNA(VLOOKUP(A177,'75m'!F$5:J$302,5,FALSE)),0,VLOOKUP(A177,'75m'!F$5:J$302,5,FALSE)))</f>
        <v>0</v>
      </c>
      <c r="H177" s="49" t="str">
        <f>IF(B177="","",IF(ISNA(VLOOKUP(A177,'75m'!F$5:K$302,6,FALSE)),"",VLOOKUP(A177,'75m'!F$5:K$302,6,FALSE)))</f>
        <v/>
      </c>
      <c r="I177" s="51">
        <f>IF(B177="",0,IF(ISNA(VLOOKUP(A177,'600m'!F$5:J$302,2,FALSE)),0,VLOOKUP(A177,'600m'!F$5:J$302,2,FALSE)))</f>
        <v>0</v>
      </c>
      <c r="J177" s="49">
        <f>IF(B177="",0,IF(ISNA(VLOOKUP(A177,'600m'!F$5:J$302,5,FALSE)),0,VLOOKUP(A177,'600m'!F$5:J$302,5,FALSE)))</f>
        <v>0</v>
      </c>
      <c r="K177" s="49" t="str">
        <f>IF(B177="","",IF(ISNA(VLOOKUP(A177,'600m'!F$5:K$302,6,FALSE)),"",VLOOKUP(A177,'600m'!F$5:K$302,6,FALSE)))</f>
        <v/>
      </c>
      <c r="L177" s="49" t="str">
        <f>IF(B177="","",IF(ISNA(VLOOKUP(A177,LongJump!F$5:G$302,2,FALSE)),"",VLOOKUP(A177,LongJump!F$5:G$302,2,FALSE)))</f>
        <v/>
      </c>
      <c r="M177" s="49">
        <f>IF(B177="",0,IF(ISNA(VLOOKUP(A177,LongJump!F$5:J$302,5,FALSE)),0,VLOOKUP(A177,LongJump!F$5:J$302,5,FALSE)))</f>
        <v>0</v>
      </c>
      <c r="N177" s="49">
        <f>IF(B177="",0,IF(ISNA(VLOOKUP(A177,LongJump!F$5:K$302,6,FALSE)),0,VLOOKUP(A177,LongJump!F$5:K$302,6,FALSE)))</f>
        <v>0</v>
      </c>
      <c r="O177" s="49" t="str">
        <f>IF(B177="","",IF(ISNA(VLOOKUP(A177,Vortex!F$5:J$302,2,FALSE)),"",VLOOKUP(A177,Vortex!F$5:J$302,2,FALSE)))</f>
        <v/>
      </c>
      <c r="P177" s="49">
        <f>IF(B177="",0,IF(ISNA(VLOOKUP(A177,Vortex!F$5:J$302,5,FALSE)),0,VLOOKUP(A177,Vortex!F$5:J$302,5,FALSE)))</f>
        <v>0</v>
      </c>
      <c r="Q177" s="49">
        <f t="shared" si="10"/>
        <v>0</v>
      </c>
      <c r="R177" s="49" t="str">
        <f t="shared" si="11"/>
        <v/>
      </c>
      <c r="S177" s="49" t="str">
        <f t="shared" si="12"/>
        <v/>
      </c>
      <c r="T177" s="38"/>
      <c r="X177" s="9"/>
      <c r="Y177" s="9"/>
      <c r="AI177"/>
      <c r="AJ177"/>
    </row>
    <row r="178" spans="1:36" ht="13.95" customHeight="1">
      <c r="A178" s="49" t="str">
        <f>IF(Declarations!B151=0,"",Declarations!B151)</f>
        <v/>
      </c>
      <c r="B178" s="150" t="str">
        <f>IF(ISNA(VLOOKUP(A178,Declarations!B$6:C$185,2,FALSE)),"",IF(VLOOKUP(A178,Declarations!B$6:C$185,2,FALSE)="","",VLOOKUP(A178,Declarations!B$6:C$185,2,FALSE)))</f>
        <v/>
      </c>
      <c r="C178" s="150" t="str">
        <f>IF(ISNA(VLOOKUP(A178,Declarations!B$6:F$185,5,FALSE)),"",IF(VLOOKUP(A178,Declarations!B$6:F$185,5,FALSE)="","",VLOOKUP(A178,Declarations!B$6:F$185,5,FALSE)))</f>
        <v/>
      </c>
      <c r="D178" s="150" t="str">
        <f>IF(ISNA(VLOOKUP(A178,Declarations!B$6:F$185,4,FALSE)),"",IF(VLOOKUP(A178,Declarations!B$6:F$185,4,FALSE)="","",VLOOKUP(A178,Declarations!B$6:F$185,4,FALSE)))</f>
        <v/>
      </c>
      <c r="E178" s="150" t="str">
        <f>IF(ISNA(VLOOKUP(A178,Declarations!B$6:D$185,3,FALSE)),"",IF(VLOOKUP(A178,Declarations!B$6:D$185,3,FALSE)="","",VLOOKUP(A178,Declarations!B$6:D$185,3,FALSE)))</f>
        <v/>
      </c>
      <c r="F178" s="49" t="str">
        <f>IF(B178="","",IF(ISNA(VLOOKUP(A178,'75m'!F$5:G$302,2,FALSE)),"",VLOOKUP(A178,'75m'!F$5:G$302,2,FALSE)))</f>
        <v/>
      </c>
      <c r="G178" s="49">
        <f>IF(B178="",0,IF(ISNA(VLOOKUP(A178,'75m'!F$5:J$302,5,FALSE)),0,VLOOKUP(A178,'75m'!F$5:J$302,5,FALSE)))</f>
        <v>0</v>
      </c>
      <c r="H178" s="49" t="str">
        <f>IF(B178="","",IF(ISNA(VLOOKUP(A178,'75m'!F$5:K$302,6,FALSE)),"",VLOOKUP(A178,'75m'!F$5:K$302,6,FALSE)))</f>
        <v/>
      </c>
      <c r="I178" s="51">
        <f>IF(B178="",0,IF(ISNA(VLOOKUP(A178,'600m'!F$5:J$302,2,FALSE)),0,VLOOKUP(A178,'600m'!F$5:J$302,2,FALSE)))</f>
        <v>0</v>
      </c>
      <c r="J178" s="49">
        <f>IF(B178="",0,IF(ISNA(VLOOKUP(A178,'600m'!F$5:J$302,5,FALSE)),0,VLOOKUP(A178,'600m'!F$5:J$302,5,FALSE)))</f>
        <v>0</v>
      </c>
      <c r="K178" s="49" t="str">
        <f>IF(B178="","",IF(ISNA(VLOOKUP(A178,'600m'!F$5:K$302,6,FALSE)),"",VLOOKUP(A178,'600m'!F$5:K$302,6,FALSE)))</f>
        <v/>
      </c>
      <c r="L178" s="49" t="str">
        <f>IF(B178="","",IF(ISNA(VLOOKUP(A178,LongJump!F$5:G$302,2,FALSE)),"",VLOOKUP(A178,LongJump!F$5:G$302,2,FALSE)))</f>
        <v/>
      </c>
      <c r="M178" s="49">
        <f>IF(B178="",0,IF(ISNA(VLOOKUP(A178,LongJump!F$5:J$302,5,FALSE)),0,VLOOKUP(A178,LongJump!F$5:J$302,5,FALSE)))</f>
        <v>0</v>
      </c>
      <c r="N178" s="49">
        <f>IF(B178="",0,IF(ISNA(VLOOKUP(A178,LongJump!F$5:K$302,6,FALSE)),0,VLOOKUP(A178,LongJump!F$5:K$302,6,FALSE)))</f>
        <v>0</v>
      </c>
      <c r="O178" s="49" t="str">
        <f>IF(B178="","",IF(ISNA(VLOOKUP(A178,Vortex!F$5:J$302,2,FALSE)),"",VLOOKUP(A178,Vortex!F$5:J$302,2,FALSE)))</f>
        <v/>
      </c>
      <c r="P178" s="49">
        <f>IF(B178="",0,IF(ISNA(VLOOKUP(A178,Vortex!F$5:J$302,5,FALSE)),0,VLOOKUP(A178,Vortex!F$5:J$302,5,FALSE)))</f>
        <v>0</v>
      </c>
      <c r="Q178" s="49">
        <f t="shared" si="10"/>
        <v>0</v>
      </c>
      <c r="R178" s="49" t="str">
        <f t="shared" si="11"/>
        <v/>
      </c>
      <c r="S178" s="49" t="str">
        <f t="shared" si="12"/>
        <v/>
      </c>
      <c r="T178" s="38"/>
      <c r="X178" s="9"/>
      <c r="Y178" s="9"/>
      <c r="AI178"/>
      <c r="AJ178"/>
    </row>
    <row r="179" spans="1:36" ht="13.95" customHeight="1">
      <c r="A179" s="49" t="str">
        <f>IF(Declarations!B152=0,"",Declarations!B152)</f>
        <v/>
      </c>
      <c r="B179" s="150" t="str">
        <f>IF(ISNA(VLOOKUP(A179,Declarations!B$6:C$185,2,FALSE)),"",IF(VLOOKUP(A179,Declarations!B$6:C$185,2,FALSE)="","",VLOOKUP(A179,Declarations!B$6:C$185,2,FALSE)))</f>
        <v/>
      </c>
      <c r="C179" s="150" t="str">
        <f>IF(ISNA(VLOOKUP(A179,Declarations!B$6:F$185,5,FALSE)),"",IF(VLOOKUP(A179,Declarations!B$6:F$185,5,FALSE)="","",VLOOKUP(A179,Declarations!B$6:F$185,5,FALSE)))</f>
        <v/>
      </c>
      <c r="D179" s="150" t="str">
        <f>IF(ISNA(VLOOKUP(A179,Declarations!B$6:F$185,4,FALSE)),"",IF(VLOOKUP(A179,Declarations!B$6:F$185,4,FALSE)="","",VLOOKUP(A179,Declarations!B$6:F$185,4,FALSE)))</f>
        <v/>
      </c>
      <c r="E179" s="150" t="str">
        <f>IF(ISNA(VLOOKUP(A179,Declarations!B$6:D$185,3,FALSE)),"",IF(VLOOKUP(A179,Declarations!B$6:D$185,3,FALSE)="","",VLOOKUP(A179,Declarations!B$6:D$185,3,FALSE)))</f>
        <v/>
      </c>
      <c r="F179" s="49" t="str">
        <f>IF(B179="","",IF(ISNA(VLOOKUP(A179,'75m'!F$5:G$302,2,FALSE)),"",VLOOKUP(A179,'75m'!F$5:G$302,2,FALSE)))</f>
        <v/>
      </c>
      <c r="G179" s="49">
        <f>IF(B179="",0,IF(ISNA(VLOOKUP(A179,'75m'!F$5:J$302,5,FALSE)),0,VLOOKUP(A179,'75m'!F$5:J$302,5,FALSE)))</f>
        <v>0</v>
      </c>
      <c r="H179" s="49" t="str">
        <f>IF(B179="","",IF(ISNA(VLOOKUP(A179,'75m'!F$5:K$302,6,FALSE)),"",VLOOKUP(A179,'75m'!F$5:K$302,6,FALSE)))</f>
        <v/>
      </c>
      <c r="I179" s="51">
        <f>IF(B179="",0,IF(ISNA(VLOOKUP(A179,'600m'!F$5:J$302,2,FALSE)),0,VLOOKUP(A179,'600m'!F$5:J$302,2,FALSE)))</f>
        <v>0</v>
      </c>
      <c r="J179" s="49">
        <f>IF(B179="",0,IF(ISNA(VLOOKUP(A179,'600m'!F$5:J$302,5,FALSE)),0,VLOOKUP(A179,'600m'!F$5:J$302,5,FALSE)))</f>
        <v>0</v>
      </c>
      <c r="K179" s="49" t="str">
        <f>IF(B179="","",IF(ISNA(VLOOKUP(A179,'600m'!F$5:K$302,6,FALSE)),"",VLOOKUP(A179,'600m'!F$5:K$302,6,FALSE)))</f>
        <v/>
      </c>
      <c r="L179" s="49" t="str">
        <f>IF(B179="","",IF(ISNA(VLOOKUP(A179,LongJump!F$5:G$302,2,FALSE)),"",VLOOKUP(A179,LongJump!F$5:G$302,2,FALSE)))</f>
        <v/>
      </c>
      <c r="M179" s="49">
        <f>IF(B179="",0,IF(ISNA(VLOOKUP(A179,LongJump!F$5:J$302,5,FALSE)),0,VLOOKUP(A179,LongJump!F$5:J$302,5,FALSE)))</f>
        <v>0</v>
      </c>
      <c r="N179" s="49">
        <f>IF(B179="",0,IF(ISNA(VLOOKUP(A179,LongJump!F$5:K$302,6,FALSE)),0,VLOOKUP(A179,LongJump!F$5:K$302,6,FALSE)))</f>
        <v>0</v>
      </c>
      <c r="O179" s="49" t="str">
        <f>IF(B179="","",IF(ISNA(VLOOKUP(A179,Vortex!F$5:J$302,2,FALSE)),"",VLOOKUP(A179,Vortex!F$5:J$302,2,FALSE)))</f>
        <v/>
      </c>
      <c r="P179" s="49">
        <f>IF(B179="",0,IF(ISNA(VLOOKUP(A179,Vortex!F$5:J$302,5,FALSE)),0,VLOOKUP(A179,Vortex!F$5:J$302,5,FALSE)))</f>
        <v>0</v>
      </c>
      <c r="Q179" s="49">
        <f t="shared" si="10"/>
        <v>0</v>
      </c>
      <c r="R179" s="49" t="str">
        <f t="shared" si="11"/>
        <v/>
      </c>
      <c r="S179" s="49" t="str">
        <f t="shared" si="12"/>
        <v/>
      </c>
      <c r="T179" s="38"/>
      <c r="X179" s="9"/>
      <c r="Y179" s="9"/>
      <c r="AI179"/>
      <c r="AJ179"/>
    </row>
    <row r="180" spans="1:36" ht="13.95" customHeight="1">
      <c r="A180" s="49" t="str">
        <f>IF(Declarations!B153=0,"",Declarations!B153)</f>
        <v/>
      </c>
      <c r="B180" s="150" t="str">
        <f>IF(ISNA(VLOOKUP(A180,Declarations!B$6:C$185,2,FALSE)),"",IF(VLOOKUP(A180,Declarations!B$6:C$185,2,FALSE)="","",VLOOKUP(A180,Declarations!B$6:C$185,2,FALSE)))</f>
        <v/>
      </c>
      <c r="C180" s="150" t="str">
        <f>IF(ISNA(VLOOKUP(A180,Declarations!B$6:F$185,5,FALSE)),"",IF(VLOOKUP(A180,Declarations!B$6:F$185,5,FALSE)="","",VLOOKUP(A180,Declarations!B$6:F$185,5,FALSE)))</f>
        <v/>
      </c>
      <c r="D180" s="150" t="str">
        <f>IF(ISNA(VLOOKUP(A180,Declarations!B$6:F$185,4,FALSE)),"",IF(VLOOKUP(A180,Declarations!B$6:F$185,4,FALSE)="","",VLOOKUP(A180,Declarations!B$6:F$185,4,FALSE)))</f>
        <v/>
      </c>
      <c r="E180" s="150" t="str">
        <f>IF(ISNA(VLOOKUP(A180,Declarations!B$6:D$185,3,FALSE)),"",IF(VLOOKUP(A180,Declarations!B$6:D$185,3,FALSE)="","",VLOOKUP(A180,Declarations!B$6:D$185,3,FALSE)))</f>
        <v/>
      </c>
      <c r="F180" s="49" t="str">
        <f>IF(B180="","",IF(ISNA(VLOOKUP(A180,'75m'!F$5:G$302,2,FALSE)),"",VLOOKUP(A180,'75m'!F$5:G$302,2,FALSE)))</f>
        <v/>
      </c>
      <c r="G180" s="49">
        <f>IF(B180="",0,IF(ISNA(VLOOKUP(A180,'75m'!F$5:J$302,5,FALSE)),0,VLOOKUP(A180,'75m'!F$5:J$302,5,FALSE)))</f>
        <v>0</v>
      </c>
      <c r="H180" s="49" t="str">
        <f>IF(B180="","",IF(ISNA(VLOOKUP(A180,'75m'!F$5:K$302,6,FALSE)),"",VLOOKUP(A180,'75m'!F$5:K$302,6,FALSE)))</f>
        <v/>
      </c>
      <c r="I180" s="51">
        <f>IF(B180="",0,IF(ISNA(VLOOKUP(A180,'600m'!F$5:J$302,2,FALSE)),0,VLOOKUP(A180,'600m'!F$5:J$302,2,FALSE)))</f>
        <v>0</v>
      </c>
      <c r="J180" s="49">
        <f>IF(B180="",0,IF(ISNA(VLOOKUP(A180,'600m'!F$5:J$302,5,FALSE)),0,VLOOKUP(A180,'600m'!F$5:J$302,5,FALSE)))</f>
        <v>0</v>
      </c>
      <c r="K180" s="49" t="str">
        <f>IF(B180="","",IF(ISNA(VLOOKUP(A180,'600m'!F$5:K$302,6,FALSE)),"",VLOOKUP(A180,'600m'!F$5:K$302,6,FALSE)))</f>
        <v/>
      </c>
      <c r="L180" s="49" t="str">
        <f>IF(B180="","",IF(ISNA(VLOOKUP(A180,LongJump!F$5:G$302,2,FALSE)),"",VLOOKUP(A180,LongJump!F$5:G$302,2,FALSE)))</f>
        <v/>
      </c>
      <c r="M180" s="49">
        <f>IF(B180="",0,IF(ISNA(VLOOKUP(A180,LongJump!F$5:J$302,5,FALSE)),0,VLOOKUP(A180,LongJump!F$5:J$302,5,FALSE)))</f>
        <v>0</v>
      </c>
      <c r="N180" s="49">
        <f>IF(B180="",0,IF(ISNA(VLOOKUP(A180,LongJump!F$5:K$302,6,FALSE)),0,VLOOKUP(A180,LongJump!F$5:K$302,6,FALSE)))</f>
        <v>0</v>
      </c>
      <c r="O180" s="49" t="str">
        <f>IF(B180="","",IF(ISNA(VLOOKUP(A180,Vortex!F$5:J$302,2,FALSE)),"",VLOOKUP(A180,Vortex!F$5:J$302,2,FALSE)))</f>
        <v/>
      </c>
      <c r="P180" s="49">
        <f>IF(B180="",0,IF(ISNA(VLOOKUP(A180,Vortex!F$5:J$302,5,FALSE)),0,VLOOKUP(A180,Vortex!F$5:J$302,5,FALSE)))</f>
        <v>0</v>
      </c>
      <c r="Q180" s="49">
        <f t="shared" si="10"/>
        <v>0</v>
      </c>
      <c r="R180" s="49" t="str">
        <f t="shared" si="11"/>
        <v/>
      </c>
      <c r="S180" s="49" t="str">
        <f t="shared" si="12"/>
        <v/>
      </c>
      <c r="T180" s="38"/>
      <c r="X180" s="9"/>
      <c r="Y180" s="9"/>
      <c r="AI180"/>
      <c r="AJ180"/>
    </row>
    <row r="181" spans="1:36" ht="13.95" customHeight="1">
      <c r="A181" s="49" t="str">
        <f>IF(Declarations!B154=0,"",Declarations!B154)</f>
        <v/>
      </c>
      <c r="B181" s="150" t="str">
        <f>IF(ISNA(VLOOKUP(A181,Declarations!B$6:C$185,2,FALSE)),"",IF(VLOOKUP(A181,Declarations!B$6:C$185,2,FALSE)="","",VLOOKUP(A181,Declarations!B$6:C$185,2,FALSE)))</f>
        <v/>
      </c>
      <c r="C181" s="150" t="str">
        <f>IF(ISNA(VLOOKUP(A181,Declarations!B$6:F$185,5,FALSE)),"",IF(VLOOKUP(A181,Declarations!B$6:F$185,5,FALSE)="","",VLOOKUP(A181,Declarations!B$6:F$185,5,FALSE)))</f>
        <v/>
      </c>
      <c r="D181" s="150" t="str">
        <f>IF(ISNA(VLOOKUP(A181,Declarations!B$6:F$185,4,FALSE)),"",IF(VLOOKUP(A181,Declarations!B$6:F$185,4,FALSE)="","",VLOOKUP(A181,Declarations!B$6:F$185,4,FALSE)))</f>
        <v/>
      </c>
      <c r="E181" s="150" t="str">
        <f>IF(ISNA(VLOOKUP(A181,Declarations!B$6:D$185,3,FALSE)),"",IF(VLOOKUP(A181,Declarations!B$6:D$185,3,FALSE)="","",VLOOKUP(A181,Declarations!B$6:D$185,3,FALSE)))</f>
        <v/>
      </c>
      <c r="F181" s="49" t="str">
        <f>IF(B181="","",IF(ISNA(VLOOKUP(A181,'75m'!F$5:G$302,2,FALSE)),"",VLOOKUP(A181,'75m'!F$5:G$302,2,FALSE)))</f>
        <v/>
      </c>
      <c r="G181" s="49">
        <f>IF(B181="",0,IF(ISNA(VLOOKUP(A181,'75m'!F$5:J$302,5,FALSE)),0,VLOOKUP(A181,'75m'!F$5:J$302,5,FALSE)))</f>
        <v>0</v>
      </c>
      <c r="H181" s="49" t="str">
        <f>IF(B181="","",IF(ISNA(VLOOKUP(A181,'75m'!F$5:K$302,6,FALSE)),"",VLOOKUP(A181,'75m'!F$5:K$302,6,FALSE)))</f>
        <v/>
      </c>
      <c r="I181" s="51">
        <f>IF(B181="",0,IF(ISNA(VLOOKUP(A181,'600m'!F$5:J$302,2,FALSE)),0,VLOOKUP(A181,'600m'!F$5:J$302,2,FALSE)))</f>
        <v>0</v>
      </c>
      <c r="J181" s="49">
        <f>IF(B181="",0,IF(ISNA(VLOOKUP(A181,'600m'!F$5:J$302,5,FALSE)),0,VLOOKUP(A181,'600m'!F$5:J$302,5,FALSE)))</f>
        <v>0</v>
      </c>
      <c r="K181" s="49" t="str">
        <f>IF(B181="","",IF(ISNA(VLOOKUP(A181,'600m'!F$5:K$302,6,FALSE)),"",VLOOKUP(A181,'600m'!F$5:K$302,6,FALSE)))</f>
        <v/>
      </c>
      <c r="L181" s="49" t="str">
        <f>IF(B181="","",IF(ISNA(VLOOKUP(A181,LongJump!F$5:G$302,2,FALSE)),"",VLOOKUP(A181,LongJump!F$5:G$302,2,FALSE)))</f>
        <v/>
      </c>
      <c r="M181" s="49">
        <f>IF(B181="",0,IF(ISNA(VLOOKUP(A181,LongJump!F$5:J$302,5,FALSE)),0,VLOOKUP(A181,LongJump!F$5:J$302,5,FALSE)))</f>
        <v>0</v>
      </c>
      <c r="N181" s="49">
        <f>IF(B181="",0,IF(ISNA(VLOOKUP(A181,LongJump!F$5:K$302,6,FALSE)),0,VLOOKUP(A181,LongJump!F$5:K$302,6,FALSE)))</f>
        <v>0</v>
      </c>
      <c r="O181" s="49" t="str">
        <f>IF(B181="","",IF(ISNA(VLOOKUP(A181,Vortex!F$5:J$302,2,FALSE)),"",VLOOKUP(A181,Vortex!F$5:J$302,2,FALSE)))</f>
        <v/>
      </c>
      <c r="P181" s="49">
        <f>IF(B181="",0,IF(ISNA(VLOOKUP(A181,Vortex!F$5:J$302,5,FALSE)),0,VLOOKUP(A181,Vortex!F$5:J$302,5,FALSE)))</f>
        <v>0</v>
      </c>
      <c r="Q181" s="49">
        <f t="shared" si="10"/>
        <v>0</v>
      </c>
      <c r="R181" s="49" t="str">
        <f t="shared" si="11"/>
        <v/>
      </c>
      <c r="S181" s="49" t="str">
        <f t="shared" si="12"/>
        <v/>
      </c>
      <c r="T181" s="38"/>
      <c r="X181" s="9"/>
      <c r="Y181" s="9"/>
      <c r="AI181"/>
      <c r="AJ181"/>
    </row>
    <row r="182" spans="1:36" ht="13.95" customHeight="1">
      <c r="A182" s="49" t="str">
        <f>IF(Declarations!B155=0,"",Declarations!B155)</f>
        <v/>
      </c>
      <c r="B182" s="150" t="str">
        <f>IF(ISNA(VLOOKUP(A182,Declarations!B$6:C$185,2,FALSE)),"",IF(VLOOKUP(A182,Declarations!B$6:C$185,2,FALSE)="","",VLOOKUP(A182,Declarations!B$6:C$185,2,FALSE)))</f>
        <v/>
      </c>
      <c r="C182" s="150" t="str">
        <f>IF(ISNA(VLOOKUP(A182,Declarations!B$6:F$185,5,FALSE)),"",IF(VLOOKUP(A182,Declarations!B$6:F$185,5,FALSE)="","",VLOOKUP(A182,Declarations!B$6:F$185,5,FALSE)))</f>
        <v/>
      </c>
      <c r="D182" s="150" t="str">
        <f>IF(ISNA(VLOOKUP(A182,Declarations!B$6:F$185,4,FALSE)),"",IF(VLOOKUP(A182,Declarations!B$6:F$185,4,FALSE)="","",VLOOKUP(A182,Declarations!B$6:F$185,4,FALSE)))</f>
        <v/>
      </c>
      <c r="E182" s="150" t="str">
        <f>IF(ISNA(VLOOKUP(A182,Declarations!B$6:D$185,3,FALSE)),"",IF(VLOOKUP(A182,Declarations!B$6:D$185,3,FALSE)="","",VLOOKUP(A182,Declarations!B$6:D$185,3,FALSE)))</f>
        <v/>
      </c>
      <c r="F182" s="49" t="str">
        <f>IF(B182="","",IF(ISNA(VLOOKUP(A182,'75m'!F$5:G$302,2,FALSE)),"",VLOOKUP(A182,'75m'!F$5:G$302,2,FALSE)))</f>
        <v/>
      </c>
      <c r="G182" s="49">
        <f>IF(B182="",0,IF(ISNA(VLOOKUP(A182,'75m'!F$5:J$302,5,FALSE)),0,VLOOKUP(A182,'75m'!F$5:J$302,5,FALSE)))</f>
        <v>0</v>
      </c>
      <c r="H182" s="49" t="str">
        <f>IF(B182="","",IF(ISNA(VLOOKUP(A182,'75m'!F$5:K$302,6,FALSE)),"",VLOOKUP(A182,'75m'!F$5:K$302,6,FALSE)))</f>
        <v/>
      </c>
      <c r="I182" s="51">
        <f>IF(B182="",0,IF(ISNA(VLOOKUP(A182,'600m'!F$5:J$302,2,FALSE)),0,VLOOKUP(A182,'600m'!F$5:J$302,2,FALSE)))</f>
        <v>0</v>
      </c>
      <c r="J182" s="49">
        <f>IF(B182="",0,IF(ISNA(VLOOKUP(A182,'600m'!F$5:J$302,5,FALSE)),0,VLOOKUP(A182,'600m'!F$5:J$302,5,FALSE)))</f>
        <v>0</v>
      </c>
      <c r="K182" s="49" t="str">
        <f>IF(B182="","",IF(ISNA(VLOOKUP(A182,'600m'!F$5:K$302,6,FALSE)),"",VLOOKUP(A182,'600m'!F$5:K$302,6,FALSE)))</f>
        <v/>
      </c>
      <c r="L182" s="49" t="str">
        <f>IF(B182="","",IF(ISNA(VLOOKUP(A182,LongJump!F$5:G$302,2,FALSE)),"",VLOOKUP(A182,LongJump!F$5:G$302,2,FALSE)))</f>
        <v/>
      </c>
      <c r="M182" s="49">
        <f>IF(B182="",0,IF(ISNA(VLOOKUP(A182,LongJump!F$5:J$302,5,FALSE)),0,VLOOKUP(A182,LongJump!F$5:J$302,5,FALSE)))</f>
        <v>0</v>
      </c>
      <c r="N182" s="49">
        <f>IF(B182="",0,IF(ISNA(VLOOKUP(A182,LongJump!F$5:K$302,6,FALSE)),0,VLOOKUP(A182,LongJump!F$5:K$302,6,FALSE)))</f>
        <v>0</v>
      </c>
      <c r="O182" s="49" t="str">
        <f>IF(B182="","",IF(ISNA(VLOOKUP(A182,Vortex!F$5:J$302,2,FALSE)),"",VLOOKUP(A182,Vortex!F$5:J$302,2,FALSE)))</f>
        <v/>
      </c>
      <c r="P182" s="49">
        <f>IF(B182="",0,IF(ISNA(VLOOKUP(A182,Vortex!F$5:J$302,5,FALSE)),0,VLOOKUP(A182,Vortex!F$5:J$302,5,FALSE)))</f>
        <v>0</v>
      </c>
      <c r="Q182" s="49">
        <f t="shared" si="10"/>
        <v>0</v>
      </c>
      <c r="R182" s="49" t="str">
        <f t="shared" si="11"/>
        <v/>
      </c>
      <c r="S182" s="49" t="str">
        <f t="shared" si="12"/>
        <v/>
      </c>
      <c r="T182" s="38"/>
      <c r="X182" s="9"/>
      <c r="Y182" s="9"/>
      <c r="AI182"/>
      <c r="AJ182"/>
    </row>
    <row r="183" spans="1:36" ht="13.95" customHeight="1">
      <c r="A183" s="49" t="str">
        <f>IF(Declarations!B156=0,"",Declarations!B156)</f>
        <v/>
      </c>
      <c r="B183" s="150" t="str">
        <f>IF(ISNA(VLOOKUP(A183,Declarations!B$6:C$185,2,FALSE)),"",IF(VLOOKUP(A183,Declarations!B$6:C$185,2,FALSE)="","",VLOOKUP(A183,Declarations!B$6:C$185,2,FALSE)))</f>
        <v/>
      </c>
      <c r="C183" s="150" t="str">
        <f>IF(ISNA(VLOOKUP(A183,Declarations!B$6:F$185,5,FALSE)),"",IF(VLOOKUP(A183,Declarations!B$6:F$185,5,FALSE)="","",VLOOKUP(A183,Declarations!B$6:F$185,5,FALSE)))</f>
        <v/>
      </c>
      <c r="D183" s="150" t="str">
        <f>IF(ISNA(VLOOKUP(A183,Declarations!B$6:F$185,4,FALSE)),"",IF(VLOOKUP(A183,Declarations!B$6:F$185,4,FALSE)="","",VLOOKUP(A183,Declarations!B$6:F$185,4,FALSE)))</f>
        <v/>
      </c>
      <c r="E183" s="150" t="str">
        <f>IF(ISNA(VLOOKUP(A183,Declarations!B$6:D$185,3,FALSE)),"",IF(VLOOKUP(A183,Declarations!B$6:D$185,3,FALSE)="","",VLOOKUP(A183,Declarations!B$6:D$185,3,FALSE)))</f>
        <v/>
      </c>
      <c r="F183" s="49" t="str">
        <f>IF(B183="","",IF(ISNA(VLOOKUP(A183,'75m'!F$5:G$302,2,FALSE)),"",VLOOKUP(A183,'75m'!F$5:G$302,2,FALSE)))</f>
        <v/>
      </c>
      <c r="G183" s="49">
        <f>IF(B183="",0,IF(ISNA(VLOOKUP(A183,'75m'!F$5:J$302,5,FALSE)),0,VLOOKUP(A183,'75m'!F$5:J$302,5,FALSE)))</f>
        <v>0</v>
      </c>
      <c r="H183" s="49" t="str">
        <f>IF(B183="","",IF(ISNA(VLOOKUP(A183,'75m'!F$5:K$302,6,FALSE)),"",VLOOKUP(A183,'75m'!F$5:K$302,6,FALSE)))</f>
        <v/>
      </c>
      <c r="I183" s="51">
        <f>IF(B183="",0,IF(ISNA(VLOOKUP(A183,'600m'!F$5:J$302,2,FALSE)),0,VLOOKUP(A183,'600m'!F$5:J$302,2,FALSE)))</f>
        <v>0</v>
      </c>
      <c r="J183" s="49">
        <f>IF(B183="",0,IF(ISNA(VLOOKUP(A183,'600m'!F$5:J$302,5,FALSE)),0,VLOOKUP(A183,'600m'!F$5:J$302,5,FALSE)))</f>
        <v>0</v>
      </c>
      <c r="K183" s="49" t="str">
        <f>IF(B183="","",IF(ISNA(VLOOKUP(A183,'600m'!F$5:K$302,6,FALSE)),"",VLOOKUP(A183,'600m'!F$5:K$302,6,FALSE)))</f>
        <v/>
      </c>
      <c r="L183" s="49" t="str">
        <f>IF(B183="","",IF(ISNA(VLOOKUP(A183,LongJump!F$5:G$302,2,FALSE)),"",VLOOKUP(A183,LongJump!F$5:G$302,2,FALSE)))</f>
        <v/>
      </c>
      <c r="M183" s="49">
        <f>IF(B183="",0,IF(ISNA(VLOOKUP(A183,LongJump!F$5:J$302,5,FALSE)),0,VLOOKUP(A183,LongJump!F$5:J$302,5,FALSE)))</f>
        <v>0</v>
      </c>
      <c r="N183" s="49">
        <f>IF(B183="",0,IF(ISNA(VLOOKUP(A183,LongJump!F$5:K$302,6,FALSE)),0,VLOOKUP(A183,LongJump!F$5:K$302,6,FALSE)))</f>
        <v>0</v>
      </c>
      <c r="O183" s="49" t="str">
        <f>IF(B183="","",IF(ISNA(VLOOKUP(A183,Vortex!F$5:J$302,2,FALSE)),"",VLOOKUP(A183,Vortex!F$5:J$302,2,FALSE)))</f>
        <v/>
      </c>
      <c r="P183" s="49">
        <f>IF(B183="",0,IF(ISNA(VLOOKUP(A183,Vortex!F$5:J$302,5,FALSE)),0,VLOOKUP(A183,Vortex!F$5:J$302,5,FALSE)))</f>
        <v>0</v>
      </c>
      <c r="Q183" s="49">
        <f t="shared" si="10"/>
        <v>0</v>
      </c>
      <c r="R183" s="49" t="str">
        <f t="shared" si="11"/>
        <v/>
      </c>
      <c r="S183" s="49" t="str">
        <f t="shared" si="12"/>
        <v/>
      </c>
      <c r="T183" s="38"/>
      <c r="X183" s="9"/>
      <c r="Y183" s="9"/>
      <c r="AI183"/>
      <c r="AJ183"/>
    </row>
    <row r="184" spans="1:36" ht="13.95" customHeight="1">
      <c r="A184" s="49" t="str">
        <f>IF(Declarations!B157=0,"",Declarations!B157)</f>
        <v/>
      </c>
      <c r="B184" s="150" t="str">
        <f>IF(ISNA(VLOOKUP(A184,Declarations!B$6:C$185,2,FALSE)),"",IF(VLOOKUP(A184,Declarations!B$6:C$185,2,FALSE)="","",VLOOKUP(A184,Declarations!B$6:C$185,2,FALSE)))</f>
        <v/>
      </c>
      <c r="C184" s="150" t="str">
        <f>IF(ISNA(VLOOKUP(A184,Declarations!B$6:F$185,5,FALSE)),"",IF(VLOOKUP(A184,Declarations!B$6:F$185,5,FALSE)="","",VLOOKUP(A184,Declarations!B$6:F$185,5,FALSE)))</f>
        <v/>
      </c>
      <c r="D184" s="150" t="str">
        <f>IF(ISNA(VLOOKUP(A184,Declarations!B$6:F$185,4,FALSE)),"",IF(VLOOKUP(A184,Declarations!B$6:F$185,4,FALSE)="","",VLOOKUP(A184,Declarations!B$6:F$185,4,FALSE)))</f>
        <v/>
      </c>
      <c r="E184" s="150" t="str">
        <f>IF(ISNA(VLOOKUP(A184,Declarations!B$6:D$185,3,FALSE)),"",IF(VLOOKUP(A184,Declarations!B$6:D$185,3,FALSE)="","",VLOOKUP(A184,Declarations!B$6:D$185,3,FALSE)))</f>
        <v/>
      </c>
      <c r="F184" s="49" t="str">
        <f>IF(B184="","",IF(ISNA(VLOOKUP(A184,'75m'!F$5:G$302,2,FALSE)),"",VLOOKUP(A184,'75m'!F$5:G$302,2,FALSE)))</f>
        <v/>
      </c>
      <c r="G184" s="49">
        <f>IF(B184="",0,IF(ISNA(VLOOKUP(A184,'75m'!F$5:J$302,5,FALSE)),0,VLOOKUP(A184,'75m'!F$5:J$302,5,FALSE)))</f>
        <v>0</v>
      </c>
      <c r="H184" s="49" t="str">
        <f>IF(B184="","",IF(ISNA(VLOOKUP(A184,'75m'!F$5:K$302,6,FALSE)),"",VLOOKUP(A184,'75m'!F$5:K$302,6,FALSE)))</f>
        <v/>
      </c>
      <c r="I184" s="51">
        <f>IF(B184="",0,IF(ISNA(VLOOKUP(A184,'600m'!F$5:J$302,2,FALSE)),0,VLOOKUP(A184,'600m'!F$5:J$302,2,FALSE)))</f>
        <v>0</v>
      </c>
      <c r="J184" s="49">
        <f>IF(B184="",0,IF(ISNA(VLOOKUP(A184,'600m'!F$5:J$302,5,FALSE)),0,VLOOKUP(A184,'600m'!F$5:J$302,5,FALSE)))</f>
        <v>0</v>
      </c>
      <c r="K184" s="49" t="str">
        <f>IF(B184="","",IF(ISNA(VLOOKUP(A184,'600m'!F$5:K$302,6,FALSE)),"",VLOOKUP(A184,'600m'!F$5:K$302,6,FALSE)))</f>
        <v/>
      </c>
      <c r="L184" s="49" t="str">
        <f>IF(B184="","",IF(ISNA(VLOOKUP(A184,LongJump!F$5:G$302,2,FALSE)),"",VLOOKUP(A184,LongJump!F$5:G$302,2,FALSE)))</f>
        <v/>
      </c>
      <c r="M184" s="49">
        <f>IF(B184="",0,IF(ISNA(VLOOKUP(A184,LongJump!F$5:J$302,5,FALSE)),0,VLOOKUP(A184,LongJump!F$5:J$302,5,FALSE)))</f>
        <v>0</v>
      </c>
      <c r="N184" s="49">
        <f>IF(B184="",0,IF(ISNA(VLOOKUP(A184,LongJump!F$5:K$302,6,FALSE)),0,VLOOKUP(A184,LongJump!F$5:K$302,6,FALSE)))</f>
        <v>0</v>
      </c>
      <c r="O184" s="49" t="str">
        <f>IF(B184="","",IF(ISNA(VLOOKUP(A184,Vortex!F$5:J$302,2,FALSE)),"",VLOOKUP(A184,Vortex!F$5:J$302,2,FALSE)))</f>
        <v/>
      </c>
      <c r="P184" s="49">
        <f>IF(B184="",0,IF(ISNA(VLOOKUP(A184,Vortex!F$5:J$302,5,FALSE)),0,VLOOKUP(A184,Vortex!F$5:J$302,5,FALSE)))</f>
        <v>0</v>
      </c>
      <c r="Q184" s="49">
        <f t="shared" si="10"/>
        <v>0</v>
      </c>
      <c r="R184" s="49" t="str">
        <f t="shared" si="11"/>
        <v/>
      </c>
      <c r="S184" s="49" t="str">
        <f t="shared" si="12"/>
        <v/>
      </c>
      <c r="T184" s="38"/>
      <c r="X184" s="9"/>
      <c r="Y184" s="9"/>
      <c r="AI184"/>
      <c r="AJ184"/>
    </row>
    <row r="185" spans="1:36" ht="13.95" customHeight="1">
      <c r="A185" s="49" t="str">
        <f>IF(Declarations!B158=0,"",Declarations!B158)</f>
        <v/>
      </c>
      <c r="B185" s="150" t="str">
        <f>IF(ISNA(VLOOKUP(A185,Declarations!B$6:C$185,2,FALSE)),"",IF(VLOOKUP(A185,Declarations!B$6:C$185,2,FALSE)="","",VLOOKUP(A185,Declarations!B$6:C$185,2,FALSE)))</f>
        <v/>
      </c>
      <c r="C185" s="150" t="str">
        <f>IF(ISNA(VLOOKUP(A185,Declarations!B$6:F$185,5,FALSE)),"",IF(VLOOKUP(A185,Declarations!B$6:F$185,5,FALSE)="","",VLOOKUP(A185,Declarations!B$6:F$185,5,FALSE)))</f>
        <v/>
      </c>
      <c r="D185" s="150" t="str">
        <f>IF(ISNA(VLOOKUP(A185,Declarations!B$6:F$185,4,FALSE)),"",IF(VLOOKUP(A185,Declarations!B$6:F$185,4,FALSE)="","",VLOOKUP(A185,Declarations!B$6:F$185,4,FALSE)))</f>
        <v/>
      </c>
      <c r="E185" s="150" t="str">
        <f>IF(ISNA(VLOOKUP(A185,Declarations!B$6:D$185,3,FALSE)),"",IF(VLOOKUP(A185,Declarations!B$6:D$185,3,FALSE)="","",VLOOKUP(A185,Declarations!B$6:D$185,3,FALSE)))</f>
        <v/>
      </c>
      <c r="F185" s="49" t="str">
        <f>IF(B185="","",IF(ISNA(VLOOKUP(A185,'75m'!F$5:G$302,2,FALSE)),"",VLOOKUP(A185,'75m'!F$5:G$302,2,FALSE)))</f>
        <v/>
      </c>
      <c r="G185" s="49">
        <f>IF(B185="",0,IF(ISNA(VLOOKUP(A185,'75m'!F$5:J$302,5,FALSE)),0,VLOOKUP(A185,'75m'!F$5:J$302,5,FALSE)))</f>
        <v>0</v>
      </c>
      <c r="H185" s="49" t="str">
        <f>IF(B185="","",IF(ISNA(VLOOKUP(A185,'75m'!F$5:K$302,6,FALSE)),"",VLOOKUP(A185,'75m'!F$5:K$302,6,FALSE)))</f>
        <v/>
      </c>
      <c r="I185" s="51">
        <f>IF(B185="",0,IF(ISNA(VLOOKUP(A185,'600m'!F$5:J$302,2,FALSE)),0,VLOOKUP(A185,'600m'!F$5:J$302,2,FALSE)))</f>
        <v>0</v>
      </c>
      <c r="J185" s="49">
        <f>IF(B185="",0,IF(ISNA(VLOOKUP(A185,'600m'!F$5:J$302,5,FALSE)),0,VLOOKUP(A185,'600m'!F$5:J$302,5,FALSE)))</f>
        <v>0</v>
      </c>
      <c r="K185" s="49" t="str">
        <f>IF(B185="","",IF(ISNA(VLOOKUP(A185,'600m'!F$5:K$302,6,FALSE)),"",VLOOKUP(A185,'600m'!F$5:K$302,6,FALSE)))</f>
        <v/>
      </c>
      <c r="L185" s="49" t="str">
        <f>IF(B185="","",IF(ISNA(VLOOKUP(A185,LongJump!F$5:G$302,2,FALSE)),"",VLOOKUP(A185,LongJump!F$5:G$302,2,FALSE)))</f>
        <v/>
      </c>
      <c r="M185" s="49">
        <f>IF(B185="",0,IF(ISNA(VLOOKUP(A185,LongJump!F$5:J$302,5,FALSE)),0,VLOOKUP(A185,LongJump!F$5:J$302,5,FALSE)))</f>
        <v>0</v>
      </c>
      <c r="N185" s="49">
        <f>IF(B185="",0,IF(ISNA(VLOOKUP(A185,LongJump!F$5:K$302,6,FALSE)),0,VLOOKUP(A185,LongJump!F$5:K$302,6,FALSE)))</f>
        <v>0</v>
      </c>
      <c r="O185" s="49" t="str">
        <f>IF(B185="","",IF(ISNA(VLOOKUP(A185,Vortex!F$5:J$302,2,FALSE)),"",VLOOKUP(A185,Vortex!F$5:J$302,2,FALSE)))</f>
        <v/>
      </c>
      <c r="P185" s="49">
        <f>IF(B185="",0,IF(ISNA(VLOOKUP(A185,Vortex!F$5:J$302,5,FALSE)),0,VLOOKUP(A185,Vortex!F$5:J$302,5,FALSE)))</f>
        <v>0</v>
      </c>
      <c r="Q185" s="49">
        <f t="shared" si="10"/>
        <v>0</v>
      </c>
      <c r="R185" s="49" t="str">
        <f t="shared" si="11"/>
        <v/>
      </c>
      <c r="S185" s="49" t="str">
        <f t="shared" si="12"/>
        <v/>
      </c>
      <c r="T185" s="38"/>
      <c r="X185" s="9"/>
      <c r="Y185" s="9"/>
      <c r="AI185"/>
      <c r="AJ185"/>
    </row>
    <row r="186" spans="1:36" ht="13.95" customHeight="1">
      <c r="A186" s="49" t="str">
        <f>IF(Declarations!B159=0,"",Declarations!B159)</f>
        <v/>
      </c>
      <c r="B186" s="150" t="str">
        <f>IF(ISNA(VLOOKUP(A186,Declarations!B$6:C$185,2,FALSE)),"",IF(VLOOKUP(A186,Declarations!B$6:C$185,2,FALSE)="","",VLOOKUP(A186,Declarations!B$6:C$185,2,FALSE)))</f>
        <v/>
      </c>
      <c r="C186" s="150" t="str">
        <f>IF(ISNA(VLOOKUP(A186,Declarations!B$6:F$185,5,FALSE)),"",IF(VLOOKUP(A186,Declarations!B$6:F$185,5,FALSE)="","",VLOOKUP(A186,Declarations!B$6:F$185,5,FALSE)))</f>
        <v/>
      </c>
      <c r="D186" s="150" t="str">
        <f>IF(ISNA(VLOOKUP(A186,Declarations!B$6:F$185,4,FALSE)),"",IF(VLOOKUP(A186,Declarations!B$6:F$185,4,FALSE)="","",VLOOKUP(A186,Declarations!B$6:F$185,4,FALSE)))</f>
        <v/>
      </c>
      <c r="E186" s="150" t="str">
        <f>IF(ISNA(VLOOKUP(A186,Declarations!B$6:D$185,3,FALSE)),"",IF(VLOOKUP(A186,Declarations!B$6:D$185,3,FALSE)="","",VLOOKUP(A186,Declarations!B$6:D$185,3,FALSE)))</f>
        <v/>
      </c>
      <c r="F186" s="49" t="str">
        <f>IF(B186="","",IF(ISNA(VLOOKUP(A186,'75m'!F$5:G$302,2,FALSE)),"",VLOOKUP(A186,'75m'!F$5:G$302,2,FALSE)))</f>
        <v/>
      </c>
      <c r="G186" s="49">
        <f>IF(B186="",0,IF(ISNA(VLOOKUP(A186,'75m'!F$5:J$302,5,FALSE)),0,VLOOKUP(A186,'75m'!F$5:J$302,5,FALSE)))</f>
        <v>0</v>
      </c>
      <c r="H186" s="49" t="str">
        <f>IF(B186="","",IF(ISNA(VLOOKUP(A186,'75m'!F$5:K$302,6,FALSE)),"",VLOOKUP(A186,'75m'!F$5:K$302,6,FALSE)))</f>
        <v/>
      </c>
      <c r="I186" s="51">
        <f>IF(B186="",0,IF(ISNA(VLOOKUP(A186,'600m'!F$5:J$302,2,FALSE)),0,VLOOKUP(A186,'600m'!F$5:J$302,2,FALSE)))</f>
        <v>0</v>
      </c>
      <c r="J186" s="49">
        <f>IF(B186="",0,IF(ISNA(VLOOKUP(A186,'600m'!F$5:J$302,5,FALSE)),0,VLOOKUP(A186,'600m'!F$5:J$302,5,FALSE)))</f>
        <v>0</v>
      </c>
      <c r="K186" s="49" t="str">
        <f>IF(B186="","",IF(ISNA(VLOOKUP(A186,'600m'!F$5:K$302,6,FALSE)),"",VLOOKUP(A186,'600m'!F$5:K$302,6,FALSE)))</f>
        <v/>
      </c>
      <c r="L186" s="49" t="str">
        <f>IF(B186="","",IF(ISNA(VLOOKUP(A186,LongJump!F$5:G$302,2,FALSE)),"",VLOOKUP(A186,LongJump!F$5:G$302,2,FALSE)))</f>
        <v/>
      </c>
      <c r="M186" s="49">
        <f>IF(B186="",0,IF(ISNA(VLOOKUP(A186,LongJump!F$5:J$302,5,FALSE)),0,VLOOKUP(A186,LongJump!F$5:J$302,5,FALSE)))</f>
        <v>0</v>
      </c>
      <c r="N186" s="49">
        <f>IF(B186="",0,IF(ISNA(VLOOKUP(A186,LongJump!F$5:K$302,6,FALSE)),0,VLOOKUP(A186,LongJump!F$5:K$302,6,FALSE)))</f>
        <v>0</v>
      </c>
      <c r="O186" s="49" t="str">
        <f>IF(B186="","",IF(ISNA(VLOOKUP(A186,Vortex!F$5:J$302,2,FALSE)),"",VLOOKUP(A186,Vortex!F$5:J$302,2,FALSE)))</f>
        <v/>
      </c>
      <c r="P186" s="49">
        <f>IF(B186="",0,IF(ISNA(VLOOKUP(A186,Vortex!F$5:J$302,5,FALSE)),0,VLOOKUP(A186,Vortex!F$5:J$302,5,FALSE)))</f>
        <v>0</v>
      </c>
      <c r="Q186" s="49">
        <f t="shared" si="10"/>
        <v>0</v>
      </c>
      <c r="R186" s="49" t="str">
        <f t="shared" si="11"/>
        <v/>
      </c>
      <c r="S186" s="49" t="str">
        <f t="shared" si="12"/>
        <v/>
      </c>
      <c r="T186" s="38"/>
      <c r="X186" s="9"/>
      <c r="Y186" s="9"/>
      <c r="AI186"/>
      <c r="AJ186"/>
    </row>
    <row r="187" spans="1:36" ht="13.95" customHeight="1">
      <c r="A187" s="49" t="str">
        <f>IF(Declarations!B160=0,"",Declarations!B160)</f>
        <v/>
      </c>
      <c r="B187" s="150" t="str">
        <f>IF(ISNA(VLOOKUP(A187,Declarations!B$6:C$185,2,FALSE)),"",IF(VLOOKUP(A187,Declarations!B$6:C$185,2,FALSE)="","",VLOOKUP(A187,Declarations!B$6:C$185,2,FALSE)))</f>
        <v/>
      </c>
      <c r="C187" s="150" t="str">
        <f>IF(ISNA(VLOOKUP(A187,Declarations!B$6:F$185,5,FALSE)),"",IF(VLOOKUP(A187,Declarations!B$6:F$185,5,FALSE)="","",VLOOKUP(A187,Declarations!B$6:F$185,5,FALSE)))</f>
        <v/>
      </c>
      <c r="D187" s="150" t="str">
        <f>IF(ISNA(VLOOKUP(A187,Declarations!B$6:F$185,4,FALSE)),"",IF(VLOOKUP(A187,Declarations!B$6:F$185,4,FALSE)="","",VLOOKUP(A187,Declarations!B$6:F$185,4,FALSE)))</f>
        <v/>
      </c>
      <c r="E187" s="150" t="str">
        <f>IF(ISNA(VLOOKUP(A187,Declarations!B$6:D$185,3,FALSE)),"",IF(VLOOKUP(A187,Declarations!B$6:D$185,3,FALSE)="","",VLOOKUP(A187,Declarations!B$6:D$185,3,FALSE)))</f>
        <v/>
      </c>
      <c r="F187" s="49" t="str">
        <f>IF(B187="","",IF(ISNA(VLOOKUP(A187,'75m'!F$5:G$302,2,FALSE)),"",VLOOKUP(A187,'75m'!F$5:G$302,2,FALSE)))</f>
        <v/>
      </c>
      <c r="G187" s="49">
        <f>IF(B187="",0,IF(ISNA(VLOOKUP(A187,'75m'!F$5:J$302,5,FALSE)),0,VLOOKUP(A187,'75m'!F$5:J$302,5,FALSE)))</f>
        <v>0</v>
      </c>
      <c r="H187" s="49" t="str">
        <f>IF(B187="","",IF(ISNA(VLOOKUP(A187,'75m'!F$5:K$302,6,FALSE)),"",VLOOKUP(A187,'75m'!F$5:K$302,6,FALSE)))</f>
        <v/>
      </c>
      <c r="I187" s="51">
        <f>IF(B187="",0,IF(ISNA(VLOOKUP(A187,'600m'!F$5:J$302,2,FALSE)),0,VLOOKUP(A187,'600m'!F$5:J$302,2,FALSE)))</f>
        <v>0</v>
      </c>
      <c r="J187" s="49">
        <f>IF(B187="",0,IF(ISNA(VLOOKUP(A187,'600m'!F$5:J$302,5,FALSE)),0,VLOOKUP(A187,'600m'!F$5:J$302,5,FALSE)))</f>
        <v>0</v>
      </c>
      <c r="K187" s="49" t="str">
        <f>IF(B187="","",IF(ISNA(VLOOKUP(A187,'600m'!F$5:K$302,6,FALSE)),"",VLOOKUP(A187,'600m'!F$5:K$302,6,FALSE)))</f>
        <v/>
      </c>
      <c r="L187" s="49" t="str">
        <f>IF(B187="","",IF(ISNA(VLOOKUP(A187,LongJump!F$5:G$302,2,FALSE)),"",VLOOKUP(A187,LongJump!F$5:G$302,2,FALSE)))</f>
        <v/>
      </c>
      <c r="M187" s="49">
        <f>IF(B187="",0,IF(ISNA(VLOOKUP(A187,LongJump!F$5:J$302,5,FALSE)),0,VLOOKUP(A187,LongJump!F$5:J$302,5,FALSE)))</f>
        <v>0</v>
      </c>
      <c r="N187" s="49">
        <f>IF(B187="",0,IF(ISNA(VLOOKUP(A187,LongJump!F$5:K$302,6,FALSE)),0,VLOOKUP(A187,LongJump!F$5:K$302,6,FALSE)))</f>
        <v>0</v>
      </c>
      <c r="O187" s="49" t="str">
        <f>IF(B187="","",IF(ISNA(VLOOKUP(A187,Vortex!F$5:J$302,2,FALSE)),"",VLOOKUP(A187,Vortex!F$5:J$302,2,FALSE)))</f>
        <v/>
      </c>
      <c r="P187" s="49">
        <f>IF(B187="",0,IF(ISNA(VLOOKUP(A187,Vortex!F$5:J$302,5,FALSE)),0,VLOOKUP(A187,Vortex!F$5:J$302,5,FALSE)))</f>
        <v>0</v>
      </c>
      <c r="Q187" s="49">
        <f t="shared" si="10"/>
        <v>0</v>
      </c>
      <c r="R187" s="49" t="str">
        <f t="shared" si="11"/>
        <v/>
      </c>
      <c r="S187" s="49" t="str">
        <f t="shared" si="12"/>
        <v/>
      </c>
      <c r="T187" s="38"/>
      <c r="X187" s="9"/>
      <c r="Y187" s="9"/>
      <c r="AI187"/>
      <c r="AJ187"/>
    </row>
    <row r="188" spans="1:36" ht="13.95" customHeight="1">
      <c r="A188" s="49" t="str">
        <f>IF(Declarations!B161=0,"",Declarations!B161)</f>
        <v/>
      </c>
      <c r="B188" s="150" t="str">
        <f>IF(ISNA(VLOOKUP(A188,Declarations!B$6:C$185,2,FALSE)),"",IF(VLOOKUP(A188,Declarations!B$6:C$185,2,FALSE)="","",VLOOKUP(A188,Declarations!B$6:C$185,2,FALSE)))</f>
        <v/>
      </c>
      <c r="C188" s="150" t="str">
        <f>IF(ISNA(VLOOKUP(A188,Declarations!B$6:F$185,5,FALSE)),"",IF(VLOOKUP(A188,Declarations!B$6:F$185,5,FALSE)="","",VLOOKUP(A188,Declarations!B$6:F$185,5,FALSE)))</f>
        <v/>
      </c>
      <c r="D188" s="150" t="str">
        <f>IF(ISNA(VLOOKUP(A188,Declarations!B$6:F$185,4,FALSE)),"",IF(VLOOKUP(A188,Declarations!B$6:F$185,4,FALSE)="","",VLOOKUP(A188,Declarations!B$6:F$185,4,FALSE)))</f>
        <v/>
      </c>
      <c r="E188" s="150" t="str">
        <f>IF(ISNA(VLOOKUP(A188,Declarations!B$6:D$185,3,FALSE)),"",IF(VLOOKUP(A188,Declarations!B$6:D$185,3,FALSE)="","",VLOOKUP(A188,Declarations!B$6:D$185,3,FALSE)))</f>
        <v/>
      </c>
      <c r="F188" s="49" t="str">
        <f>IF(B188="","",IF(ISNA(VLOOKUP(A188,'75m'!F$5:G$302,2,FALSE)),"",VLOOKUP(A188,'75m'!F$5:G$302,2,FALSE)))</f>
        <v/>
      </c>
      <c r="G188" s="49">
        <f>IF(B188="",0,IF(ISNA(VLOOKUP(A188,'75m'!F$5:J$302,5,FALSE)),0,VLOOKUP(A188,'75m'!F$5:J$302,5,FALSE)))</f>
        <v>0</v>
      </c>
      <c r="H188" s="49" t="str">
        <f>IF(B188="","",IF(ISNA(VLOOKUP(A188,'75m'!F$5:K$302,6,FALSE)),"",VLOOKUP(A188,'75m'!F$5:K$302,6,FALSE)))</f>
        <v/>
      </c>
      <c r="I188" s="51">
        <f>IF(B188="",0,IF(ISNA(VLOOKUP(A188,'600m'!F$5:J$302,2,FALSE)),0,VLOOKUP(A188,'600m'!F$5:J$302,2,FALSE)))</f>
        <v>0</v>
      </c>
      <c r="J188" s="49">
        <f>IF(B188="",0,IF(ISNA(VLOOKUP(A188,'600m'!F$5:J$302,5,FALSE)),0,VLOOKUP(A188,'600m'!F$5:J$302,5,FALSE)))</f>
        <v>0</v>
      </c>
      <c r="K188" s="49" t="str">
        <f>IF(B188="","",IF(ISNA(VLOOKUP(A188,'600m'!F$5:K$302,6,FALSE)),"",VLOOKUP(A188,'600m'!F$5:K$302,6,FALSE)))</f>
        <v/>
      </c>
      <c r="L188" s="49" t="str">
        <f>IF(B188="","",IF(ISNA(VLOOKUP(A188,LongJump!F$5:G$302,2,FALSE)),"",VLOOKUP(A188,LongJump!F$5:G$302,2,FALSE)))</f>
        <v/>
      </c>
      <c r="M188" s="49">
        <f>IF(B188="",0,IF(ISNA(VLOOKUP(A188,LongJump!F$5:J$302,5,FALSE)),0,VLOOKUP(A188,LongJump!F$5:J$302,5,FALSE)))</f>
        <v>0</v>
      </c>
      <c r="N188" s="49">
        <f>IF(B188="",0,IF(ISNA(VLOOKUP(A188,LongJump!F$5:K$302,6,FALSE)),0,VLOOKUP(A188,LongJump!F$5:K$302,6,FALSE)))</f>
        <v>0</v>
      </c>
      <c r="O188" s="49" t="str">
        <f>IF(B188="","",IF(ISNA(VLOOKUP(A188,Vortex!F$5:J$302,2,FALSE)),"",VLOOKUP(A188,Vortex!F$5:J$302,2,FALSE)))</f>
        <v/>
      </c>
      <c r="P188" s="49">
        <f>IF(B188="",0,IF(ISNA(VLOOKUP(A188,Vortex!F$5:J$302,5,FALSE)),0,VLOOKUP(A188,Vortex!F$5:J$302,5,FALSE)))</f>
        <v>0</v>
      </c>
      <c r="Q188" s="49">
        <f t="shared" si="10"/>
        <v>0</v>
      </c>
      <c r="R188" s="49" t="str">
        <f t="shared" si="11"/>
        <v/>
      </c>
      <c r="S188" s="49" t="str">
        <f t="shared" si="12"/>
        <v/>
      </c>
      <c r="T188" s="38"/>
      <c r="X188" s="9"/>
      <c r="Y188" s="9"/>
      <c r="AI188"/>
      <c r="AJ188"/>
    </row>
    <row r="189" spans="1:36" ht="13.95" customHeight="1">
      <c r="A189" s="49" t="str">
        <f>IF(Declarations!B162=0,"",Declarations!B162)</f>
        <v/>
      </c>
      <c r="B189" s="150" t="str">
        <f>IF(ISNA(VLOOKUP(A189,Declarations!B$6:C$185,2,FALSE)),"",IF(VLOOKUP(A189,Declarations!B$6:C$185,2,FALSE)="","",VLOOKUP(A189,Declarations!B$6:C$185,2,FALSE)))</f>
        <v/>
      </c>
      <c r="C189" s="150" t="str">
        <f>IF(ISNA(VLOOKUP(A189,Declarations!B$6:F$185,5,FALSE)),"",IF(VLOOKUP(A189,Declarations!B$6:F$185,5,FALSE)="","",VLOOKUP(A189,Declarations!B$6:F$185,5,FALSE)))</f>
        <v/>
      </c>
      <c r="D189" s="150" t="str">
        <f>IF(ISNA(VLOOKUP(A189,Declarations!B$6:F$185,4,FALSE)),"",IF(VLOOKUP(A189,Declarations!B$6:F$185,4,FALSE)="","",VLOOKUP(A189,Declarations!B$6:F$185,4,FALSE)))</f>
        <v/>
      </c>
      <c r="E189" s="150" t="str">
        <f>IF(ISNA(VLOOKUP(A189,Declarations!B$6:D$185,3,FALSE)),"",IF(VLOOKUP(A189,Declarations!B$6:D$185,3,FALSE)="","",VLOOKUP(A189,Declarations!B$6:D$185,3,FALSE)))</f>
        <v/>
      </c>
      <c r="F189" s="49" t="str">
        <f>IF(B189="","",IF(ISNA(VLOOKUP(A189,'75m'!F$5:G$302,2,FALSE)),"",VLOOKUP(A189,'75m'!F$5:G$302,2,FALSE)))</f>
        <v/>
      </c>
      <c r="G189" s="49">
        <f>IF(B189="",0,IF(ISNA(VLOOKUP(A189,'75m'!F$5:J$302,5,FALSE)),0,VLOOKUP(A189,'75m'!F$5:J$302,5,FALSE)))</f>
        <v>0</v>
      </c>
      <c r="H189" s="49" t="str">
        <f>IF(B189="","",IF(ISNA(VLOOKUP(A189,'75m'!F$5:K$302,6,FALSE)),"",VLOOKUP(A189,'75m'!F$5:K$302,6,FALSE)))</f>
        <v/>
      </c>
      <c r="I189" s="51">
        <f>IF(B189="",0,IF(ISNA(VLOOKUP(A189,'600m'!F$5:J$302,2,FALSE)),0,VLOOKUP(A189,'600m'!F$5:J$302,2,FALSE)))</f>
        <v>0</v>
      </c>
      <c r="J189" s="49">
        <f>IF(B189="",0,IF(ISNA(VLOOKUP(A189,'600m'!F$5:J$302,5,FALSE)),0,VLOOKUP(A189,'600m'!F$5:J$302,5,FALSE)))</f>
        <v>0</v>
      </c>
      <c r="K189" s="49" t="str">
        <f>IF(B189="","",IF(ISNA(VLOOKUP(A189,'600m'!F$5:K$302,6,FALSE)),"",VLOOKUP(A189,'600m'!F$5:K$302,6,FALSE)))</f>
        <v/>
      </c>
      <c r="L189" s="49" t="str">
        <f>IF(B189="","",IF(ISNA(VLOOKUP(A189,LongJump!F$5:G$302,2,FALSE)),"",VLOOKUP(A189,LongJump!F$5:G$302,2,FALSE)))</f>
        <v/>
      </c>
      <c r="M189" s="49">
        <f>IF(B189="",0,IF(ISNA(VLOOKUP(A189,LongJump!F$5:J$302,5,FALSE)),0,VLOOKUP(A189,LongJump!F$5:J$302,5,FALSE)))</f>
        <v>0</v>
      </c>
      <c r="N189" s="49">
        <f>IF(B189="",0,IF(ISNA(VLOOKUP(A189,LongJump!F$5:K$302,6,FALSE)),0,VLOOKUP(A189,LongJump!F$5:K$302,6,FALSE)))</f>
        <v>0</v>
      </c>
      <c r="O189" s="49" t="str">
        <f>IF(B189="","",IF(ISNA(VLOOKUP(A189,Vortex!F$5:J$302,2,FALSE)),"",VLOOKUP(A189,Vortex!F$5:J$302,2,FALSE)))</f>
        <v/>
      </c>
      <c r="P189" s="49">
        <f>IF(B189="",0,IF(ISNA(VLOOKUP(A189,Vortex!F$5:J$302,5,FALSE)),0,VLOOKUP(A189,Vortex!F$5:J$302,5,FALSE)))</f>
        <v>0</v>
      </c>
      <c r="Q189" s="49">
        <f t="shared" si="10"/>
        <v>0</v>
      </c>
      <c r="R189" s="49" t="str">
        <f t="shared" si="11"/>
        <v/>
      </c>
      <c r="S189" s="49" t="str">
        <f t="shared" si="12"/>
        <v/>
      </c>
      <c r="T189" s="38"/>
      <c r="X189" s="9"/>
      <c r="Y189" s="9"/>
      <c r="AI189"/>
      <c r="AJ189"/>
    </row>
    <row r="190" spans="1:36" ht="13.95" customHeight="1">
      <c r="A190" s="49" t="str">
        <f>IF(Declarations!B163=0,"",Declarations!B163)</f>
        <v/>
      </c>
      <c r="B190" s="150" t="str">
        <f>IF(ISNA(VLOOKUP(A190,Declarations!B$6:C$185,2,FALSE)),"",IF(VLOOKUP(A190,Declarations!B$6:C$185,2,FALSE)="","",VLOOKUP(A190,Declarations!B$6:C$185,2,FALSE)))</f>
        <v/>
      </c>
      <c r="C190" s="150" t="str">
        <f>IF(ISNA(VLOOKUP(A190,Declarations!B$6:F$185,5,FALSE)),"",IF(VLOOKUP(A190,Declarations!B$6:F$185,5,FALSE)="","",VLOOKUP(A190,Declarations!B$6:F$185,5,FALSE)))</f>
        <v/>
      </c>
      <c r="D190" s="150" t="str">
        <f>IF(ISNA(VLOOKUP(A190,Declarations!B$6:F$185,4,FALSE)),"",IF(VLOOKUP(A190,Declarations!B$6:F$185,4,FALSE)="","",VLOOKUP(A190,Declarations!B$6:F$185,4,FALSE)))</f>
        <v/>
      </c>
      <c r="E190" s="150" t="str">
        <f>IF(ISNA(VLOOKUP(A190,Declarations!B$6:D$185,3,FALSE)),"",IF(VLOOKUP(A190,Declarations!B$6:D$185,3,FALSE)="","",VLOOKUP(A190,Declarations!B$6:D$185,3,FALSE)))</f>
        <v/>
      </c>
      <c r="F190" s="49" t="str">
        <f>IF(B190="","",IF(ISNA(VLOOKUP(A190,'75m'!F$5:G$302,2,FALSE)),"",VLOOKUP(A190,'75m'!F$5:G$302,2,FALSE)))</f>
        <v/>
      </c>
      <c r="G190" s="49">
        <f>IF(B190="",0,IF(ISNA(VLOOKUP(A190,'75m'!F$5:J$302,5,FALSE)),0,VLOOKUP(A190,'75m'!F$5:J$302,5,FALSE)))</f>
        <v>0</v>
      </c>
      <c r="H190" s="49" t="str">
        <f>IF(B190="","",IF(ISNA(VLOOKUP(A190,'75m'!F$5:K$302,6,FALSE)),"",VLOOKUP(A190,'75m'!F$5:K$302,6,FALSE)))</f>
        <v/>
      </c>
      <c r="I190" s="51">
        <f>IF(B190="",0,IF(ISNA(VLOOKUP(A190,'600m'!F$5:J$302,2,FALSE)),0,VLOOKUP(A190,'600m'!F$5:J$302,2,FALSE)))</f>
        <v>0</v>
      </c>
      <c r="J190" s="49">
        <f>IF(B190="",0,IF(ISNA(VLOOKUP(A190,'600m'!F$5:J$302,5,FALSE)),0,VLOOKUP(A190,'600m'!F$5:J$302,5,FALSE)))</f>
        <v>0</v>
      </c>
      <c r="K190" s="49" t="str">
        <f>IF(B190="","",IF(ISNA(VLOOKUP(A190,'600m'!F$5:K$302,6,FALSE)),"",VLOOKUP(A190,'600m'!F$5:K$302,6,FALSE)))</f>
        <v/>
      </c>
      <c r="L190" s="49" t="str">
        <f>IF(B190="","",IF(ISNA(VLOOKUP(A190,LongJump!F$5:G$302,2,FALSE)),"",VLOOKUP(A190,LongJump!F$5:G$302,2,FALSE)))</f>
        <v/>
      </c>
      <c r="M190" s="49">
        <f>IF(B190="",0,IF(ISNA(VLOOKUP(A190,LongJump!F$5:J$302,5,FALSE)),0,VLOOKUP(A190,LongJump!F$5:J$302,5,FALSE)))</f>
        <v>0</v>
      </c>
      <c r="N190" s="49">
        <f>IF(B190="",0,IF(ISNA(VLOOKUP(A190,LongJump!F$5:K$302,6,FALSE)),0,VLOOKUP(A190,LongJump!F$5:K$302,6,FALSE)))</f>
        <v>0</v>
      </c>
      <c r="O190" s="49" t="str">
        <f>IF(B190="","",IF(ISNA(VLOOKUP(A190,Vortex!F$5:J$302,2,FALSE)),"",VLOOKUP(A190,Vortex!F$5:J$302,2,FALSE)))</f>
        <v/>
      </c>
      <c r="P190" s="49">
        <f>IF(B190="",0,IF(ISNA(VLOOKUP(A190,Vortex!F$5:J$302,5,FALSE)),0,VLOOKUP(A190,Vortex!F$5:J$302,5,FALSE)))</f>
        <v>0</v>
      </c>
      <c r="Q190" s="49">
        <f t="shared" si="10"/>
        <v>0</v>
      </c>
      <c r="R190" s="49" t="str">
        <f t="shared" si="11"/>
        <v/>
      </c>
      <c r="S190" s="49" t="str">
        <f t="shared" si="12"/>
        <v/>
      </c>
      <c r="T190" s="38"/>
      <c r="X190" s="9"/>
      <c r="Y190" s="9"/>
      <c r="AI190"/>
      <c r="AJ190"/>
    </row>
    <row r="191" spans="1:36" ht="13.95" customHeight="1">
      <c r="A191" s="49" t="str">
        <f>IF(Declarations!B164=0,"",Declarations!B164)</f>
        <v/>
      </c>
      <c r="B191" s="150" t="str">
        <f>IF(ISNA(VLOOKUP(A191,Declarations!B$6:C$185,2,FALSE)),"",IF(VLOOKUP(A191,Declarations!B$6:C$185,2,FALSE)="","",VLOOKUP(A191,Declarations!B$6:C$185,2,FALSE)))</f>
        <v/>
      </c>
      <c r="C191" s="150" t="str">
        <f>IF(ISNA(VLOOKUP(A191,Declarations!B$6:F$185,5,FALSE)),"",IF(VLOOKUP(A191,Declarations!B$6:F$185,5,FALSE)="","",VLOOKUP(A191,Declarations!B$6:F$185,5,FALSE)))</f>
        <v/>
      </c>
      <c r="D191" s="150" t="str">
        <f>IF(ISNA(VLOOKUP(A191,Declarations!B$6:F$185,4,FALSE)),"",IF(VLOOKUP(A191,Declarations!B$6:F$185,4,FALSE)="","",VLOOKUP(A191,Declarations!B$6:F$185,4,FALSE)))</f>
        <v/>
      </c>
      <c r="E191" s="150" t="str">
        <f>IF(ISNA(VLOOKUP(A191,Declarations!B$6:D$185,3,FALSE)),"",IF(VLOOKUP(A191,Declarations!B$6:D$185,3,FALSE)="","",VLOOKUP(A191,Declarations!B$6:D$185,3,FALSE)))</f>
        <v/>
      </c>
      <c r="F191" s="49" t="str">
        <f>IF(B191="","",IF(ISNA(VLOOKUP(A191,'75m'!F$5:G$302,2,FALSE)),"",VLOOKUP(A191,'75m'!F$5:G$302,2,FALSE)))</f>
        <v/>
      </c>
      <c r="G191" s="49">
        <f>IF(B191="",0,IF(ISNA(VLOOKUP(A191,'75m'!F$5:J$302,5,FALSE)),0,VLOOKUP(A191,'75m'!F$5:J$302,5,FALSE)))</f>
        <v>0</v>
      </c>
      <c r="H191" s="49" t="str">
        <f>IF(B191="","",IF(ISNA(VLOOKUP(A191,'75m'!F$5:K$302,6,FALSE)),"",VLOOKUP(A191,'75m'!F$5:K$302,6,FALSE)))</f>
        <v/>
      </c>
      <c r="I191" s="51">
        <f>IF(B191="",0,IF(ISNA(VLOOKUP(A191,'600m'!F$5:J$302,2,FALSE)),0,VLOOKUP(A191,'600m'!F$5:J$302,2,FALSE)))</f>
        <v>0</v>
      </c>
      <c r="J191" s="49">
        <f>IF(B191="",0,IF(ISNA(VLOOKUP(A191,'600m'!F$5:J$302,5,FALSE)),0,VLOOKUP(A191,'600m'!F$5:J$302,5,FALSE)))</f>
        <v>0</v>
      </c>
      <c r="K191" s="49" t="str">
        <f>IF(B191="","",IF(ISNA(VLOOKUP(A191,'600m'!F$5:K$302,6,FALSE)),"",VLOOKUP(A191,'600m'!F$5:K$302,6,FALSE)))</f>
        <v/>
      </c>
      <c r="L191" s="49" t="str">
        <f>IF(B191="","",IF(ISNA(VLOOKUP(A191,LongJump!F$5:G$302,2,FALSE)),"",VLOOKUP(A191,LongJump!F$5:G$302,2,FALSE)))</f>
        <v/>
      </c>
      <c r="M191" s="49">
        <f>IF(B191="",0,IF(ISNA(VLOOKUP(A191,LongJump!F$5:J$302,5,FALSE)),0,VLOOKUP(A191,LongJump!F$5:J$302,5,FALSE)))</f>
        <v>0</v>
      </c>
      <c r="N191" s="49">
        <f>IF(B191="",0,IF(ISNA(VLOOKUP(A191,LongJump!F$5:K$302,6,FALSE)),0,VLOOKUP(A191,LongJump!F$5:K$302,6,FALSE)))</f>
        <v>0</v>
      </c>
      <c r="O191" s="49" t="str">
        <f>IF(B191="","",IF(ISNA(VLOOKUP(A191,Vortex!F$5:J$302,2,FALSE)),"",VLOOKUP(A191,Vortex!F$5:J$302,2,FALSE)))</f>
        <v/>
      </c>
      <c r="P191" s="49">
        <f>IF(B191="",0,IF(ISNA(VLOOKUP(A191,Vortex!F$5:J$302,5,FALSE)),0,VLOOKUP(A191,Vortex!F$5:J$302,5,FALSE)))</f>
        <v>0</v>
      </c>
      <c r="Q191" s="49">
        <f t="shared" si="10"/>
        <v>0</v>
      </c>
      <c r="R191" s="49" t="str">
        <f t="shared" si="11"/>
        <v/>
      </c>
      <c r="S191" s="49" t="str">
        <f t="shared" si="12"/>
        <v/>
      </c>
      <c r="T191" s="38"/>
      <c r="X191" s="9"/>
      <c r="Y191" s="9"/>
      <c r="AI191"/>
      <c r="AJ191"/>
    </row>
    <row r="192" spans="1:36" ht="13.95" customHeight="1">
      <c r="A192" s="49" t="str">
        <f>IF(Declarations!B165=0,"",Declarations!B165)</f>
        <v/>
      </c>
      <c r="B192" s="150" t="str">
        <f>IF(ISNA(VLOOKUP(A192,Declarations!B$6:C$185,2,FALSE)),"",IF(VLOOKUP(A192,Declarations!B$6:C$185,2,FALSE)="","",VLOOKUP(A192,Declarations!B$6:C$185,2,FALSE)))</f>
        <v/>
      </c>
      <c r="C192" s="150" t="str">
        <f>IF(ISNA(VLOOKUP(A192,Declarations!B$6:F$185,5,FALSE)),"",IF(VLOOKUP(A192,Declarations!B$6:F$185,5,FALSE)="","",VLOOKUP(A192,Declarations!B$6:F$185,5,FALSE)))</f>
        <v/>
      </c>
      <c r="D192" s="150" t="str">
        <f>IF(ISNA(VLOOKUP(A192,Declarations!B$6:F$185,4,FALSE)),"",IF(VLOOKUP(A192,Declarations!B$6:F$185,4,FALSE)="","",VLOOKUP(A192,Declarations!B$6:F$185,4,FALSE)))</f>
        <v/>
      </c>
      <c r="E192" s="150" t="str">
        <f>IF(ISNA(VLOOKUP(A192,Declarations!B$6:D$185,3,FALSE)),"",IF(VLOOKUP(A192,Declarations!B$6:D$185,3,FALSE)="","",VLOOKUP(A192,Declarations!B$6:D$185,3,FALSE)))</f>
        <v/>
      </c>
      <c r="F192" s="49" t="str">
        <f>IF(B192="","",IF(ISNA(VLOOKUP(A192,'75m'!F$5:G$302,2,FALSE)),"",VLOOKUP(A192,'75m'!F$5:G$302,2,FALSE)))</f>
        <v/>
      </c>
      <c r="G192" s="49">
        <f>IF(B192="",0,IF(ISNA(VLOOKUP(A192,'75m'!F$5:J$302,5,FALSE)),0,VLOOKUP(A192,'75m'!F$5:J$302,5,FALSE)))</f>
        <v>0</v>
      </c>
      <c r="H192" s="49" t="str">
        <f>IF(B192="","",IF(ISNA(VLOOKUP(A192,'75m'!F$5:K$302,6,FALSE)),"",VLOOKUP(A192,'75m'!F$5:K$302,6,FALSE)))</f>
        <v/>
      </c>
      <c r="I192" s="51">
        <f>IF(B192="",0,IF(ISNA(VLOOKUP(A192,'600m'!F$5:J$302,2,FALSE)),0,VLOOKUP(A192,'600m'!F$5:J$302,2,FALSE)))</f>
        <v>0</v>
      </c>
      <c r="J192" s="49">
        <f>IF(B192="",0,IF(ISNA(VLOOKUP(A192,'600m'!F$5:J$302,5,FALSE)),0,VLOOKUP(A192,'600m'!F$5:J$302,5,FALSE)))</f>
        <v>0</v>
      </c>
      <c r="K192" s="49" t="str">
        <f>IF(B192="","",IF(ISNA(VLOOKUP(A192,'600m'!F$5:K$302,6,FALSE)),"",VLOOKUP(A192,'600m'!F$5:K$302,6,FALSE)))</f>
        <v/>
      </c>
      <c r="L192" s="49" t="str">
        <f>IF(B192="","",IF(ISNA(VLOOKUP(A192,LongJump!F$5:G$302,2,FALSE)),"",VLOOKUP(A192,LongJump!F$5:G$302,2,FALSE)))</f>
        <v/>
      </c>
      <c r="M192" s="49">
        <f>IF(B192="",0,IF(ISNA(VLOOKUP(A192,LongJump!F$5:J$302,5,FALSE)),0,VLOOKUP(A192,LongJump!F$5:J$302,5,FALSE)))</f>
        <v>0</v>
      </c>
      <c r="N192" s="49">
        <f>IF(B192="",0,IF(ISNA(VLOOKUP(A192,LongJump!F$5:K$302,6,FALSE)),0,VLOOKUP(A192,LongJump!F$5:K$302,6,FALSE)))</f>
        <v>0</v>
      </c>
      <c r="O192" s="49" t="str">
        <f>IF(B192="","",IF(ISNA(VLOOKUP(A192,Vortex!F$5:J$302,2,FALSE)),"",VLOOKUP(A192,Vortex!F$5:J$302,2,FALSE)))</f>
        <v/>
      </c>
      <c r="P192" s="49">
        <f>IF(B192="",0,IF(ISNA(VLOOKUP(A192,Vortex!F$5:J$302,5,FALSE)),0,VLOOKUP(A192,Vortex!F$5:J$302,5,FALSE)))</f>
        <v>0</v>
      </c>
      <c r="Q192" s="49">
        <f t="shared" si="10"/>
        <v>0</v>
      </c>
      <c r="R192" s="49" t="str">
        <f t="shared" si="11"/>
        <v/>
      </c>
      <c r="S192" s="49" t="str">
        <f t="shared" si="12"/>
        <v/>
      </c>
      <c r="T192" s="38"/>
      <c r="X192" s="9"/>
      <c r="Y192" s="9"/>
      <c r="AI192"/>
      <c r="AJ192"/>
    </row>
    <row r="193" spans="1:39" ht="13.95" customHeight="1">
      <c r="A193" s="49" t="str">
        <f>IF(Declarations!B166=0,"",Declarations!B166)</f>
        <v/>
      </c>
      <c r="B193" s="150" t="str">
        <f>IF(ISNA(VLOOKUP(A193,Declarations!B$6:C$185,2,FALSE)),"",IF(VLOOKUP(A193,Declarations!B$6:C$185,2,FALSE)="","",VLOOKUP(A193,Declarations!B$6:C$185,2,FALSE)))</f>
        <v/>
      </c>
      <c r="C193" s="150" t="str">
        <f>IF(ISNA(VLOOKUP(A193,Declarations!B$6:F$185,5,FALSE)),"",IF(VLOOKUP(A193,Declarations!B$6:F$185,5,FALSE)="","",VLOOKUP(A193,Declarations!B$6:F$185,5,FALSE)))</f>
        <v/>
      </c>
      <c r="D193" s="150" t="str">
        <f>IF(ISNA(VLOOKUP(A193,Declarations!B$6:F$185,4,FALSE)),"",IF(VLOOKUP(A193,Declarations!B$6:F$185,4,FALSE)="","",VLOOKUP(A193,Declarations!B$6:F$185,4,FALSE)))</f>
        <v/>
      </c>
      <c r="E193" s="150" t="str">
        <f>IF(ISNA(VLOOKUP(A193,Declarations!B$6:D$185,3,FALSE)),"",IF(VLOOKUP(A193,Declarations!B$6:D$185,3,FALSE)="","",VLOOKUP(A193,Declarations!B$6:D$185,3,FALSE)))</f>
        <v/>
      </c>
      <c r="F193" s="49" t="str">
        <f>IF(B193="","",IF(ISNA(VLOOKUP(A193,'75m'!F$5:G$302,2,FALSE)),"",VLOOKUP(A193,'75m'!F$5:G$302,2,FALSE)))</f>
        <v/>
      </c>
      <c r="G193" s="49">
        <f>IF(B193="",0,IF(ISNA(VLOOKUP(A193,'75m'!F$5:J$302,5,FALSE)),0,VLOOKUP(A193,'75m'!F$5:J$302,5,FALSE)))</f>
        <v>0</v>
      </c>
      <c r="H193" s="49" t="str">
        <f>IF(B193="","",IF(ISNA(VLOOKUP(A193,'75m'!F$5:K$302,6,FALSE)),"",VLOOKUP(A193,'75m'!F$5:K$302,6,FALSE)))</f>
        <v/>
      </c>
      <c r="I193" s="51">
        <f>IF(B193="",0,IF(ISNA(VLOOKUP(A193,'600m'!F$5:J$302,2,FALSE)),0,VLOOKUP(A193,'600m'!F$5:J$302,2,FALSE)))</f>
        <v>0</v>
      </c>
      <c r="J193" s="49">
        <f>IF(B193="",0,IF(ISNA(VLOOKUP(A193,'600m'!F$5:J$302,5,FALSE)),0,VLOOKUP(A193,'600m'!F$5:J$302,5,FALSE)))</f>
        <v>0</v>
      </c>
      <c r="K193" s="49" t="str">
        <f>IF(B193="","",IF(ISNA(VLOOKUP(A193,'600m'!F$5:K$302,6,FALSE)),"",VLOOKUP(A193,'600m'!F$5:K$302,6,FALSE)))</f>
        <v/>
      </c>
      <c r="L193" s="49" t="str">
        <f>IF(B193="","",IF(ISNA(VLOOKUP(A193,LongJump!F$5:G$302,2,FALSE)),"",VLOOKUP(A193,LongJump!F$5:G$302,2,FALSE)))</f>
        <v/>
      </c>
      <c r="M193" s="49">
        <f>IF(B193="",0,IF(ISNA(VLOOKUP(A193,LongJump!F$5:J$302,5,FALSE)),0,VLOOKUP(A193,LongJump!F$5:J$302,5,FALSE)))</f>
        <v>0</v>
      </c>
      <c r="N193" s="49">
        <f>IF(B193="",0,IF(ISNA(VLOOKUP(A193,LongJump!F$5:K$302,6,FALSE)),0,VLOOKUP(A193,LongJump!F$5:K$302,6,FALSE)))</f>
        <v>0</v>
      </c>
      <c r="O193" s="49" t="str">
        <f>IF(B193="","",IF(ISNA(VLOOKUP(A193,Vortex!F$5:J$302,2,FALSE)),"",VLOOKUP(A193,Vortex!F$5:J$302,2,FALSE)))</f>
        <v/>
      </c>
      <c r="P193" s="49">
        <f>IF(B193="",0,IF(ISNA(VLOOKUP(A193,Vortex!F$5:J$302,5,FALSE)),0,VLOOKUP(A193,Vortex!F$5:J$302,5,FALSE)))</f>
        <v>0</v>
      </c>
      <c r="Q193" s="49">
        <f t="shared" si="10"/>
        <v>0</v>
      </c>
      <c r="R193" s="49" t="str">
        <f t="shared" si="11"/>
        <v/>
      </c>
      <c r="S193" s="49" t="str">
        <f t="shared" si="12"/>
        <v/>
      </c>
      <c r="T193" s="38"/>
      <c r="X193" s="9"/>
      <c r="Y193" s="9"/>
      <c r="AI193"/>
      <c r="AJ193"/>
    </row>
    <row r="194" spans="1:39" ht="13.95" customHeight="1">
      <c r="A194" s="49" t="str">
        <f>IF(Declarations!B167=0,"",Declarations!B167)</f>
        <v/>
      </c>
      <c r="B194" s="150" t="str">
        <f>IF(ISNA(VLOOKUP(A194,Declarations!B$6:C$185,2,FALSE)),"",IF(VLOOKUP(A194,Declarations!B$6:C$185,2,FALSE)="","",VLOOKUP(A194,Declarations!B$6:C$185,2,FALSE)))</f>
        <v/>
      </c>
      <c r="C194" s="150" t="str">
        <f>IF(ISNA(VLOOKUP(A194,Declarations!B$6:F$185,5,FALSE)),"",IF(VLOOKUP(A194,Declarations!B$6:F$185,5,FALSE)="","",VLOOKUP(A194,Declarations!B$6:F$185,5,FALSE)))</f>
        <v/>
      </c>
      <c r="D194" s="150" t="str">
        <f>IF(ISNA(VLOOKUP(A194,Declarations!B$6:F$185,4,FALSE)),"",IF(VLOOKUP(A194,Declarations!B$6:F$185,4,FALSE)="","",VLOOKUP(A194,Declarations!B$6:F$185,4,FALSE)))</f>
        <v/>
      </c>
      <c r="E194" s="150" t="str">
        <f>IF(ISNA(VLOOKUP(A194,Declarations!B$6:D$185,3,FALSE)),"",IF(VLOOKUP(A194,Declarations!B$6:D$185,3,FALSE)="","",VLOOKUP(A194,Declarations!B$6:D$185,3,FALSE)))</f>
        <v/>
      </c>
      <c r="F194" s="49" t="str">
        <f>IF(B194="","",IF(ISNA(VLOOKUP(A194,'75m'!F$5:G$302,2,FALSE)),"",VLOOKUP(A194,'75m'!F$5:G$302,2,FALSE)))</f>
        <v/>
      </c>
      <c r="G194" s="49">
        <f>IF(B194="",0,IF(ISNA(VLOOKUP(A194,'75m'!F$5:J$302,5,FALSE)),0,VLOOKUP(A194,'75m'!F$5:J$302,5,FALSE)))</f>
        <v>0</v>
      </c>
      <c r="H194" s="49" t="str">
        <f>IF(B194="","",IF(ISNA(VLOOKUP(A194,'75m'!F$5:K$302,6,FALSE)),"",VLOOKUP(A194,'75m'!F$5:K$302,6,FALSE)))</f>
        <v/>
      </c>
      <c r="I194" s="51">
        <f>IF(B194="",0,IF(ISNA(VLOOKUP(A194,'600m'!F$5:J$302,2,FALSE)),0,VLOOKUP(A194,'600m'!F$5:J$302,2,FALSE)))</f>
        <v>0</v>
      </c>
      <c r="J194" s="49">
        <f>IF(B194="",0,IF(ISNA(VLOOKUP(A194,'600m'!F$5:J$302,5,FALSE)),0,VLOOKUP(A194,'600m'!F$5:J$302,5,FALSE)))</f>
        <v>0</v>
      </c>
      <c r="K194" s="49" t="str">
        <f>IF(B194="","",IF(ISNA(VLOOKUP(A194,'600m'!F$5:K$302,6,FALSE)),"",VLOOKUP(A194,'600m'!F$5:K$302,6,FALSE)))</f>
        <v/>
      </c>
      <c r="L194" s="49" t="str">
        <f>IF(B194="","",IF(ISNA(VLOOKUP(A194,LongJump!F$5:G$302,2,FALSE)),"",VLOOKUP(A194,LongJump!F$5:G$302,2,FALSE)))</f>
        <v/>
      </c>
      <c r="M194" s="49">
        <f>IF(B194="",0,IF(ISNA(VLOOKUP(A194,LongJump!F$5:J$302,5,FALSE)),0,VLOOKUP(A194,LongJump!F$5:J$302,5,FALSE)))</f>
        <v>0</v>
      </c>
      <c r="N194" s="49">
        <f>IF(B194="",0,IF(ISNA(VLOOKUP(A194,LongJump!F$5:K$302,6,FALSE)),0,VLOOKUP(A194,LongJump!F$5:K$302,6,FALSE)))</f>
        <v>0</v>
      </c>
      <c r="O194" s="49" t="str">
        <f>IF(B194="","",IF(ISNA(VLOOKUP(A194,Vortex!F$5:J$302,2,FALSE)),"",VLOOKUP(A194,Vortex!F$5:J$302,2,FALSE)))</f>
        <v/>
      </c>
      <c r="P194" s="49">
        <f>IF(B194="",0,IF(ISNA(VLOOKUP(A194,Vortex!F$5:J$302,5,FALSE)),0,VLOOKUP(A194,Vortex!F$5:J$302,5,FALSE)))</f>
        <v>0</v>
      </c>
      <c r="Q194" s="49">
        <f t="shared" si="10"/>
        <v>0</v>
      </c>
      <c r="R194" s="49" t="str">
        <f t="shared" si="11"/>
        <v/>
      </c>
      <c r="S194" s="49" t="str">
        <f t="shared" si="12"/>
        <v/>
      </c>
      <c r="T194" s="38"/>
      <c r="X194" s="9"/>
      <c r="Y194" s="9"/>
      <c r="AI194"/>
      <c r="AJ194"/>
    </row>
    <row r="195" spans="1:39" ht="13.95" customHeight="1">
      <c r="A195" s="49" t="str">
        <f>IF(Declarations!B168=0,"",Declarations!B168)</f>
        <v/>
      </c>
      <c r="B195" s="150" t="str">
        <f>IF(ISNA(VLOOKUP(A195,Declarations!B$6:C$185,2,FALSE)),"",IF(VLOOKUP(A195,Declarations!B$6:C$185,2,FALSE)="","",VLOOKUP(A195,Declarations!B$6:C$185,2,FALSE)))</f>
        <v/>
      </c>
      <c r="C195" s="150" t="str">
        <f>IF(ISNA(VLOOKUP(A195,Declarations!B$6:F$185,5,FALSE)),"",IF(VLOOKUP(A195,Declarations!B$6:F$185,5,FALSE)="","",VLOOKUP(A195,Declarations!B$6:F$185,5,FALSE)))</f>
        <v/>
      </c>
      <c r="D195" s="150" t="str">
        <f>IF(ISNA(VLOOKUP(A195,Declarations!B$6:F$185,4,FALSE)),"",IF(VLOOKUP(A195,Declarations!B$6:F$185,4,FALSE)="","",VLOOKUP(A195,Declarations!B$6:F$185,4,FALSE)))</f>
        <v/>
      </c>
      <c r="E195" s="150" t="str">
        <f>IF(ISNA(VLOOKUP(A195,Declarations!B$6:D$185,3,FALSE)),"",IF(VLOOKUP(A195,Declarations!B$6:D$185,3,FALSE)="","",VLOOKUP(A195,Declarations!B$6:D$185,3,FALSE)))</f>
        <v/>
      </c>
      <c r="F195" s="49" t="str">
        <f>IF(B195="","",IF(ISNA(VLOOKUP(A195,'75m'!F$5:G$302,2,FALSE)),"",VLOOKUP(A195,'75m'!F$5:G$302,2,FALSE)))</f>
        <v/>
      </c>
      <c r="G195" s="49">
        <f>IF(B195="",0,IF(ISNA(VLOOKUP(A195,'75m'!F$5:J$302,5,FALSE)),0,VLOOKUP(A195,'75m'!F$5:J$302,5,FALSE)))</f>
        <v>0</v>
      </c>
      <c r="H195" s="49" t="str">
        <f>IF(B195="","",IF(ISNA(VLOOKUP(A195,'75m'!F$5:K$302,6,FALSE)),"",VLOOKUP(A195,'75m'!F$5:K$302,6,FALSE)))</f>
        <v/>
      </c>
      <c r="I195" s="51">
        <f>IF(B195="",0,IF(ISNA(VLOOKUP(A195,'600m'!F$5:J$302,2,FALSE)),0,VLOOKUP(A195,'600m'!F$5:J$302,2,FALSE)))</f>
        <v>0</v>
      </c>
      <c r="J195" s="49">
        <f>IF(B195="",0,IF(ISNA(VLOOKUP(A195,'600m'!F$5:J$302,5,FALSE)),0,VLOOKUP(A195,'600m'!F$5:J$302,5,FALSE)))</f>
        <v>0</v>
      </c>
      <c r="K195" s="49" t="str">
        <f>IF(B195="","",IF(ISNA(VLOOKUP(A195,'600m'!F$5:K$302,6,FALSE)),"",VLOOKUP(A195,'600m'!F$5:K$302,6,FALSE)))</f>
        <v/>
      </c>
      <c r="L195" s="49" t="str">
        <f>IF(B195="","",IF(ISNA(VLOOKUP(A195,LongJump!F$5:G$302,2,FALSE)),"",VLOOKUP(A195,LongJump!F$5:G$302,2,FALSE)))</f>
        <v/>
      </c>
      <c r="M195" s="49">
        <f>IF(B195="",0,IF(ISNA(VLOOKUP(A195,LongJump!F$5:J$302,5,FALSE)),0,VLOOKUP(A195,LongJump!F$5:J$302,5,FALSE)))</f>
        <v>0</v>
      </c>
      <c r="N195" s="49">
        <f>IF(B195="",0,IF(ISNA(VLOOKUP(A195,LongJump!F$5:K$302,6,FALSE)),0,VLOOKUP(A195,LongJump!F$5:K$302,6,FALSE)))</f>
        <v>0</v>
      </c>
      <c r="O195" s="49" t="str">
        <f>IF(B195="","",IF(ISNA(VLOOKUP(A195,Vortex!F$5:J$302,2,FALSE)),"",VLOOKUP(A195,Vortex!F$5:J$302,2,FALSE)))</f>
        <v/>
      </c>
      <c r="P195" s="49">
        <f>IF(B195="",0,IF(ISNA(VLOOKUP(A195,Vortex!F$5:J$302,5,FALSE)),0,VLOOKUP(A195,Vortex!F$5:J$302,5,FALSE)))</f>
        <v>0</v>
      </c>
      <c r="Q195" s="49">
        <f t="shared" si="10"/>
        <v>0</v>
      </c>
      <c r="R195" s="49" t="str">
        <f t="shared" si="11"/>
        <v/>
      </c>
      <c r="S195" s="49" t="str">
        <f t="shared" si="12"/>
        <v/>
      </c>
      <c r="T195" s="38"/>
      <c r="X195" s="9"/>
      <c r="Y195" s="9"/>
      <c r="AI195"/>
      <c r="AJ195"/>
    </row>
    <row r="196" spans="1:39" ht="13.95" customHeight="1">
      <c r="A196" s="49" t="str">
        <f>IF(Declarations!B169=0,"",Declarations!B169)</f>
        <v/>
      </c>
      <c r="B196" s="150" t="str">
        <f>IF(ISNA(VLOOKUP(A196,Declarations!B$6:C$185,2,FALSE)),"",IF(VLOOKUP(A196,Declarations!B$6:C$185,2,FALSE)="","",VLOOKUP(A196,Declarations!B$6:C$185,2,FALSE)))</f>
        <v/>
      </c>
      <c r="C196" s="150" t="str">
        <f>IF(ISNA(VLOOKUP(A196,Declarations!B$6:F$185,5,FALSE)),"",IF(VLOOKUP(A196,Declarations!B$6:F$185,5,FALSE)="","",VLOOKUP(A196,Declarations!B$6:F$185,5,FALSE)))</f>
        <v/>
      </c>
      <c r="D196" s="150" t="str">
        <f>IF(ISNA(VLOOKUP(A196,Declarations!B$6:F$185,4,FALSE)),"",IF(VLOOKUP(A196,Declarations!B$6:F$185,4,FALSE)="","",VLOOKUP(A196,Declarations!B$6:F$185,4,FALSE)))</f>
        <v/>
      </c>
      <c r="E196" s="150" t="str">
        <f>IF(ISNA(VLOOKUP(A196,Declarations!B$6:D$185,3,FALSE)),"",IF(VLOOKUP(A196,Declarations!B$6:D$185,3,FALSE)="","",VLOOKUP(A196,Declarations!B$6:D$185,3,FALSE)))</f>
        <v/>
      </c>
      <c r="F196" s="49" t="str">
        <f>IF(B196="","",IF(ISNA(VLOOKUP(A196,'75m'!F$5:G$302,2,FALSE)),"",VLOOKUP(A196,'75m'!F$5:G$302,2,FALSE)))</f>
        <v/>
      </c>
      <c r="G196" s="49">
        <f>IF(B196="",0,IF(ISNA(VLOOKUP(A196,'75m'!F$5:J$302,5,FALSE)),0,VLOOKUP(A196,'75m'!F$5:J$302,5,FALSE)))</f>
        <v>0</v>
      </c>
      <c r="H196" s="49" t="str">
        <f>IF(B196="","",IF(ISNA(VLOOKUP(A196,'75m'!F$5:K$302,6,FALSE)),"",VLOOKUP(A196,'75m'!F$5:K$302,6,FALSE)))</f>
        <v/>
      </c>
      <c r="I196" s="51">
        <f>IF(B196="",0,IF(ISNA(VLOOKUP(A196,'600m'!F$5:J$302,2,FALSE)),0,VLOOKUP(A196,'600m'!F$5:J$302,2,FALSE)))</f>
        <v>0</v>
      </c>
      <c r="J196" s="49">
        <f>IF(B196="",0,IF(ISNA(VLOOKUP(A196,'600m'!F$5:J$302,5,FALSE)),0,VLOOKUP(A196,'600m'!F$5:J$302,5,FALSE)))</f>
        <v>0</v>
      </c>
      <c r="K196" s="49" t="str">
        <f>IF(B196="","",IF(ISNA(VLOOKUP(A196,'600m'!F$5:K$302,6,FALSE)),"",VLOOKUP(A196,'600m'!F$5:K$302,6,FALSE)))</f>
        <v/>
      </c>
      <c r="L196" s="49" t="str">
        <f>IF(B196="","",IF(ISNA(VLOOKUP(A196,LongJump!F$5:G$302,2,FALSE)),"",VLOOKUP(A196,LongJump!F$5:G$302,2,FALSE)))</f>
        <v/>
      </c>
      <c r="M196" s="49">
        <f>IF(B196="",0,IF(ISNA(VLOOKUP(A196,LongJump!F$5:J$302,5,FALSE)),0,VLOOKUP(A196,LongJump!F$5:J$302,5,FALSE)))</f>
        <v>0</v>
      </c>
      <c r="N196" s="49">
        <f>IF(B196="",0,IF(ISNA(VLOOKUP(A196,LongJump!F$5:K$302,6,FALSE)),0,VLOOKUP(A196,LongJump!F$5:K$302,6,FALSE)))</f>
        <v>0</v>
      </c>
      <c r="O196" s="49" t="str">
        <f>IF(B196="","",IF(ISNA(VLOOKUP(A196,Vortex!F$5:J$302,2,FALSE)),"",VLOOKUP(A196,Vortex!F$5:J$302,2,FALSE)))</f>
        <v/>
      </c>
      <c r="P196" s="49">
        <f>IF(B196="",0,IF(ISNA(VLOOKUP(A196,Vortex!F$5:J$302,5,FALSE)),0,VLOOKUP(A196,Vortex!F$5:J$302,5,FALSE)))</f>
        <v>0</v>
      </c>
      <c r="Q196" s="49">
        <f t="shared" si="10"/>
        <v>0</v>
      </c>
      <c r="R196" s="49" t="str">
        <f t="shared" si="11"/>
        <v/>
      </c>
      <c r="S196" s="49" t="str">
        <f t="shared" si="12"/>
        <v/>
      </c>
      <c r="T196" s="38"/>
      <c r="X196" s="9"/>
      <c r="Y196" s="9"/>
      <c r="AI196"/>
      <c r="AJ196"/>
    </row>
    <row r="197" spans="1:39" ht="13.95" customHeight="1">
      <c r="A197" s="49" t="str">
        <f>IF(Declarations!B170=0,"",Declarations!B170)</f>
        <v/>
      </c>
      <c r="B197" s="150" t="str">
        <f>IF(ISNA(VLOOKUP(A197,Declarations!B$6:C$185,2,FALSE)),"",IF(VLOOKUP(A197,Declarations!B$6:C$185,2,FALSE)="","",VLOOKUP(A197,Declarations!B$6:C$185,2,FALSE)))</f>
        <v/>
      </c>
      <c r="C197" s="150" t="str">
        <f>IF(ISNA(VLOOKUP(A197,Declarations!B$6:F$185,5,FALSE)),"",IF(VLOOKUP(A197,Declarations!B$6:F$185,5,FALSE)="","",VLOOKUP(A197,Declarations!B$6:F$185,5,FALSE)))</f>
        <v/>
      </c>
      <c r="D197" s="150" t="str">
        <f>IF(ISNA(VLOOKUP(A197,Declarations!B$6:F$185,4,FALSE)),"",IF(VLOOKUP(A197,Declarations!B$6:F$185,4,FALSE)="","",VLOOKUP(A197,Declarations!B$6:F$185,4,FALSE)))</f>
        <v/>
      </c>
      <c r="E197" s="150" t="str">
        <f>IF(ISNA(VLOOKUP(A197,Declarations!B$6:D$185,3,FALSE)),"",IF(VLOOKUP(A197,Declarations!B$6:D$185,3,FALSE)="","",VLOOKUP(A197,Declarations!B$6:D$185,3,FALSE)))</f>
        <v/>
      </c>
      <c r="F197" s="49" t="str">
        <f>IF(B197="","",IF(ISNA(VLOOKUP(A197,'75m'!F$5:G$302,2,FALSE)),"",VLOOKUP(A197,'75m'!F$5:G$302,2,FALSE)))</f>
        <v/>
      </c>
      <c r="G197" s="49">
        <f>IF(B197="",0,IF(ISNA(VLOOKUP(A197,'75m'!F$5:J$302,5,FALSE)),0,VLOOKUP(A197,'75m'!F$5:J$302,5,FALSE)))</f>
        <v>0</v>
      </c>
      <c r="H197" s="49" t="str">
        <f>IF(B197="","",IF(ISNA(VLOOKUP(A197,'75m'!F$5:K$302,6,FALSE)),"",VLOOKUP(A197,'75m'!F$5:K$302,6,FALSE)))</f>
        <v/>
      </c>
      <c r="I197" s="51">
        <f>IF(B197="",0,IF(ISNA(VLOOKUP(A197,'600m'!F$5:J$302,2,FALSE)),0,VLOOKUP(A197,'600m'!F$5:J$302,2,FALSE)))</f>
        <v>0</v>
      </c>
      <c r="J197" s="49">
        <f>IF(B197="",0,IF(ISNA(VLOOKUP(A197,'600m'!F$5:J$302,5,FALSE)),0,VLOOKUP(A197,'600m'!F$5:J$302,5,FALSE)))</f>
        <v>0</v>
      </c>
      <c r="K197" s="49" t="str">
        <f>IF(B197="","",IF(ISNA(VLOOKUP(A197,'600m'!F$5:K$302,6,FALSE)),"",VLOOKUP(A197,'600m'!F$5:K$302,6,FALSE)))</f>
        <v/>
      </c>
      <c r="L197" s="49" t="str">
        <f>IF(B197="","",IF(ISNA(VLOOKUP(A197,LongJump!F$5:G$302,2,FALSE)),"",VLOOKUP(A197,LongJump!F$5:G$302,2,FALSE)))</f>
        <v/>
      </c>
      <c r="M197" s="49">
        <f>IF(B197="",0,IF(ISNA(VLOOKUP(A197,LongJump!F$5:J$302,5,FALSE)),0,VLOOKUP(A197,LongJump!F$5:J$302,5,FALSE)))</f>
        <v>0</v>
      </c>
      <c r="N197" s="49">
        <f>IF(B197="",0,IF(ISNA(VLOOKUP(A197,LongJump!F$5:K$302,6,FALSE)),0,VLOOKUP(A197,LongJump!F$5:K$302,6,FALSE)))</f>
        <v>0</v>
      </c>
      <c r="O197" s="49" t="str">
        <f>IF(B197="","",IF(ISNA(VLOOKUP(A197,Vortex!F$5:J$302,2,FALSE)),"",VLOOKUP(A197,Vortex!F$5:J$302,2,FALSE)))</f>
        <v/>
      </c>
      <c r="P197" s="49">
        <f>IF(B197="",0,IF(ISNA(VLOOKUP(A197,Vortex!F$5:J$302,5,FALSE)),0,VLOOKUP(A197,Vortex!F$5:J$302,5,FALSE)))</f>
        <v>0</v>
      </c>
      <c r="Q197" s="49">
        <f t="shared" si="10"/>
        <v>0</v>
      </c>
      <c r="R197" s="49" t="str">
        <f t="shared" si="11"/>
        <v/>
      </c>
      <c r="S197" s="49" t="str">
        <f t="shared" si="12"/>
        <v/>
      </c>
      <c r="T197" s="38"/>
      <c r="X197" s="9"/>
      <c r="Y197" s="9"/>
      <c r="AI197"/>
      <c r="AJ197"/>
    </row>
    <row r="198" spans="1:39" ht="13.95" customHeight="1">
      <c r="A198" s="49" t="str">
        <f>IF(Declarations!B171=0,"",Declarations!B171)</f>
        <v/>
      </c>
      <c r="B198" s="150" t="str">
        <f>IF(ISNA(VLOOKUP(A198,Declarations!B$6:C$185,2,FALSE)),"",IF(VLOOKUP(A198,Declarations!B$6:C$185,2,FALSE)="","",VLOOKUP(A198,Declarations!B$6:C$185,2,FALSE)))</f>
        <v/>
      </c>
      <c r="C198" s="150" t="str">
        <f>IF(ISNA(VLOOKUP(A198,Declarations!B$6:F$185,5,FALSE)),"",IF(VLOOKUP(A198,Declarations!B$6:F$185,5,FALSE)="","",VLOOKUP(A198,Declarations!B$6:F$185,5,FALSE)))</f>
        <v/>
      </c>
      <c r="D198" s="150" t="str">
        <f>IF(ISNA(VLOOKUP(A198,Declarations!B$6:F$185,4,FALSE)),"",IF(VLOOKUP(A198,Declarations!B$6:F$185,4,FALSE)="","",VLOOKUP(A198,Declarations!B$6:F$185,4,FALSE)))</f>
        <v/>
      </c>
      <c r="E198" s="150" t="str">
        <f>IF(ISNA(VLOOKUP(A198,Declarations!B$6:D$185,3,FALSE)),"",IF(VLOOKUP(A198,Declarations!B$6:D$185,3,FALSE)="","",VLOOKUP(A198,Declarations!B$6:D$185,3,FALSE)))</f>
        <v/>
      </c>
      <c r="F198" s="49" t="str">
        <f>IF(B198="","",IF(ISNA(VLOOKUP(A198,'75m'!F$5:G$302,2,FALSE)),"",VLOOKUP(A198,'75m'!F$5:G$302,2,FALSE)))</f>
        <v/>
      </c>
      <c r="G198" s="49">
        <f>IF(B198="",0,IF(ISNA(VLOOKUP(A198,'75m'!F$5:J$302,5,FALSE)),0,VLOOKUP(A198,'75m'!F$5:J$302,5,FALSE)))</f>
        <v>0</v>
      </c>
      <c r="H198" s="49" t="str">
        <f>IF(B198="","",IF(ISNA(VLOOKUP(A198,'75m'!F$5:K$302,6,FALSE)),"",VLOOKUP(A198,'75m'!F$5:K$302,6,FALSE)))</f>
        <v/>
      </c>
      <c r="I198" s="51">
        <f>IF(B198="",0,IF(ISNA(VLOOKUP(A198,'600m'!F$5:J$302,2,FALSE)),0,VLOOKUP(A198,'600m'!F$5:J$302,2,FALSE)))</f>
        <v>0</v>
      </c>
      <c r="J198" s="49">
        <f>IF(B198="",0,IF(ISNA(VLOOKUP(A198,'600m'!F$5:J$302,5,FALSE)),0,VLOOKUP(A198,'600m'!F$5:J$302,5,FALSE)))</f>
        <v>0</v>
      </c>
      <c r="K198" s="49" t="str">
        <f>IF(B198="","",IF(ISNA(VLOOKUP(A198,'600m'!F$5:K$302,6,FALSE)),"",VLOOKUP(A198,'600m'!F$5:K$302,6,FALSE)))</f>
        <v/>
      </c>
      <c r="L198" s="49" t="str">
        <f>IF(B198="","",IF(ISNA(VLOOKUP(A198,LongJump!F$5:G$302,2,FALSE)),"",VLOOKUP(A198,LongJump!F$5:G$302,2,FALSE)))</f>
        <v/>
      </c>
      <c r="M198" s="49">
        <f>IF(B198="",0,IF(ISNA(VLOOKUP(A198,LongJump!F$5:J$302,5,FALSE)),0,VLOOKUP(A198,LongJump!F$5:J$302,5,FALSE)))</f>
        <v>0</v>
      </c>
      <c r="N198" s="49">
        <f>IF(B198="",0,IF(ISNA(VLOOKUP(A198,LongJump!F$5:K$302,6,FALSE)),0,VLOOKUP(A198,LongJump!F$5:K$302,6,FALSE)))</f>
        <v>0</v>
      </c>
      <c r="O198" s="49" t="str">
        <f>IF(B198="","",IF(ISNA(VLOOKUP(A198,Vortex!F$5:J$302,2,FALSE)),"",VLOOKUP(A198,Vortex!F$5:J$302,2,FALSE)))</f>
        <v/>
      </c>
      <c r="P198" s="49">
        <f>IF(B198="",0,IF(ISNA(VLOOKUP(A198,Vortex!F$5:J$302,5,FALSE)),0,VLOOKUP(A198,Vortex!F$5:J$302,5,FALSE)))</f>
        <v>0</v>
      </c>
      <c r="Q198" s="49">
        <f t="shared" si="10"/>
        <v>0</v>
      </c>
      <c r="R198" s="49" t="str">
        <f t="shared" si="11"/>
        <v/>
      </c>
      <c r="S198" s="49" t="str">
        <f t="shared" si="12"/>
        <v/>
      </c>
      <c r="T198" s="38"/>
      <c r="X198" s="9"/>
      <c r="Y198" s="9"/>
      <c r="AI198"/>
      <c r="AJ198"/>
    </row>
    <row r="199" spans="1:39" ht="13.95" customHeight="1">
      <c r="A199" s="49" t="str">
        <f>IF(Declarations!B172=0,"",Declarations!B172)</f>
        <v/>
      </c>
      <c r="B199" s="150" t="str">
        <f>IF(ISNA(VLOOKUP(A199,Declarations!B$6:C$185,2,FALSE)),"",IF(VLOOKUP(A199,Declarations!B$6:C$185,2,FALSE)="","",VLOOKUP(A199,Declarations!B$6:C$185,2,FALSE)))</f>
        <v/>
      </c>
      <c r="C199" s="150" t="str">
        <f>IF(ISNA(VLOOKUP(A199,Declarations!B$6:F$185,5,FALSE)),"",IF(VLOOKUP(A199,Declarations!B$6:F$185,5,FALSE)="","",VLOOKUP(A199,Declarations!B$6:F$185,5,FALSE)))</f>
        <v/>
      </c>
      <c r="D199" s="150" t="str">
        <f>IF(ISNA(VLOOKUP(A199,Declarations!B$6:F$185,4,FALSE)),"",IF(VLOOKUP(A199,Declarations!B$6:F$185,4,FALSE)="","",VLOOKUP(A199,Declarations!B$6:F$185,4,FALSE)))</f>
        <v/>
      </c>
      <c r="E199" s="150" t="str">
        <f>IF(ISNA(VLOOKUP(A199,Declarations!B$6:D$185,3,FALSE)),"",IF(VLOOKUP(A199,Declarations!B$6:D$185,3,FALSE)="","",VLOOKUP(A199,Declarations!B$6:D$185,3,FALSE)))</f>
        <v/>
      </c>
      <c r="F199" s="49" t="str">
        <f>IF(B199="","",IF(ISNA(VLOOKUP(A199,'75m'!F$5:G$302,2,FALSE)),"",VLOOKUP(A199,'75m'!F$5:G$302,2,FALSE)))</f>
        <v/>
      </c>
      <c r="G199" s="49">
        <f>IF(B199="",0,IF(ISNA(VLOOKUP(A199,'75m'!F$5:J$302,5,FALSE)),0,VLOOKUP(A199,'75m'!F$5:J$302,5,FALSE)))</f>
        <v>0</v>
      </c>
      <c r="H199" s="49" t="str">
        <f>IF(B199="","",IF(ISNA(VLOOKUP(A199,'75m'!F$5:K$302,6,FALSE)),"",VLOOKUP(A199,'75m'!F$5:K$302,6,FALSE)))</f>
        <v/>
      </c>
      <c r="I199" s="51">
        <f>IF(B199="",0,IF(ISNA(VLOOKUP(A199,'600m'!F$5:J$302,2,FALSE)),0,VLOOKUP(A199,'600m'!F$5:J$302,2,FALSE)))</f>
        <v>0</v>
      </c>
      <c r="J199" s="49">
        <f>IF(B199="",0,IF(ISNA(VLOOKUP(A199,'600m'!F$5:J$302,5,FALSE)),0,VLOOKUP(A199,'600m'!F$5:J$302,5,FALSE)))</f>
        <v>0</v>
      </c>
      <c r="K199" s="49" t="str">
        <f>IF(B199="","",IF(ISNA(VLOOKUP(A199,'600m'!F$5:K$302,6,FALSE)),"",VLOOKUP(A199,'600m'!F$5:K$302,6,FALSE)))</f>
        <v/>
      </c>
      <c r="L199" s="49" t="str">
        <f>IF(B199="","",IF(ISNA(VLOOKUP(A199,LongJump!F$5:G$302,2,FALSE)),"",VLOOKUP(A199,LongJump!F$5:G$302,2,FALSE)))</f>
        <v/>
      </c>
      <c r="M199" s="49">
        <f>IF(B199="",0,IF(ISNA(VLOOKUP(A199,LongJump!F$5:J$302,5,FALSE)),0,VLOOKUP(A199,LongJump!F$5:J$302,5,FALSE)))</f>
        <v>0</v>
      </c>
      <c r="N199" s="49">
        <f>IF(B199="",0,IF(ISNA(VLOOKUP(A199,LongJump!F$5:K$302,6,FALSE)),0,VLOOKUP(A199,LongJump!F$5:K$302,6,FALSE)))</f>
        <v>0</v>
      </c>
      <c r="O199" s="49" t="str">
        <f>IF(B199="","",IF(ISNA(VLOOKUP(A199,Vortex!F$5:J$302,2,FALSE)),"",VLOOKUP(A199,Vortex!F$5:J$302,2,FALSE)))</f>
        <v/>
      </c>
      <c r="P199" s="49">
        <f>IF(B199="",0,IF(ISNA(VLOOKUP(A199,Vortex!F$5:J$302,5,FALSE)),0,VLOOKUP(A199,Vortex!F$5:J$302,5,FALSE)))</f>
        <v>0</v>
      </c>
      <c r="Q199" s="49">
        <f t="shared" si="10"/>
        <v>0</v>
      </c>
      <c r="R199" s="49" t="str">
        <f t="shared" si="11"/>
        <v/>
      </c>
      <c r="S199" s="49" t="str">
        <f t="shared" si="12"/>
        <v/>
      </c>
      <c r="T199" s="38"/>
      <c r="X199" s="9"/>
      <c r="Y199" s="9"/>
      <c r="AI199"/>
      <c r="AJ199"/>
    </row>
    <row r="200" spans="1:39" ht="13.95" customHeight="1">
      <c r="A200" s="49" t="str">
        <f>IF(Declarations!B173=0,"",Declarations!B173)</f>
        <v/>
      </c>
      <c r="B200" s="150" t="str">
        <f>IF(ISNA(VLOOKUP(A200,Declarations!B$6:C$185,2,FALSE)),"",IF(VLOOKUP(A200,Declarations!B$6:C$185,2,FALSE)="","",VLOOKUP(A200,Declarations!B$6:C$185,2,FALSE)))</f>
        <v/>
      </c>
      <c r="C200" s="150" t="str">
        <f>IF(ISNA(VLOOKUP(A200,Declarations!B$6:F$185,5,FALSE)),"",IF(VLOOKUP(A200,Declarations!B$6:F$185,5,FALSE)="","",VLOOKUP(A200,Declarations!B$6:F$185,5,FALSE)))</f>
        <v/>
      </c>
      <c r="D200" s="150" t="str">
        <f>IF(ISNA(VLOOKUP(A200,Declarations!B$6:F$185,4,FALSE)),"",IF(VLOOKUP(A200,Declarations!B$6:F$185,4,FALSE)="","",VLOOKUP(A200,Declarations!B$6:F$185,4,FALSE)))</f>
        <v/>
      </c>
      <c r="E200" s="150" t="str">
        <f>IF(ISNA(VLOOKUP(A200,Declarations!B$6:D$185,3,FALSE)),"",IF(VLOOKUP(A200,Declarations!B$6:D$185,3,FALSE)="","",VLOOKUP(A200,Declarations!B$6:D$185,3,FALSE)))</f>
        <v/>
      </c>
      <c r="F200" s="49" t="str">
        <f>IF(B200="","",IF(ISNA(VLOOKUP(A200,'75m'!F$5:G$302,2,FALSE)),"",VLOOKUP(A200,'75m'!F$5:G$302,2,FALSE)))</f>
        <v/>
      </c>
      <c r="G200" s="49">
        <f>IF(B200="",0,IF(ISNA(VLOOKUP(A200,'75m'!F$5:J$302,5,FALSE)),0,VLOOKUP(A200,'75m'!F$5:J$302,5,FALSE)))</f>
        <v>0</v>
      </c>
      <c r="H200" s="49" t="str">
        <f>IF(B200="","",IF(ISNA(VLOOKUP(A200,'75m'!F$5:K$302,6,FALSE)),"",VLOOKUP(A200,'75m'!F$5:K$302,6,FALSE)))</f>
        <v/>
      </c>
      <c r="I200" s="51">
        <f>IF(B200="",0,IF(ISNA(VLOOKUP(A200,'600m'!F$5:J$302,2,FALSE)),0,VLOOKUP(A200,'600m'!F$5:J$302,2,FALSE)))</f>
        <v>0</v>
      </c>
      <c r="J200" s="49">
        <f>IF(B200="",0,IF(ISNA(VLOOKUP(A200,'600m'!F$5:J$302,5,FALSE)),0,VLOOKUP(A200,'600m'!F$5:J$302,5,FALSE)))</f>
        <v>0</v>
      </c>
      <c r="K200" s="49" t="str">
        <f>IF(B200="","",IF(ISNA(VLOOKUP(A200,'600m'!F$5:K$302,6,FALSE)),"",VLOOKUP(A200,'600m'!F$5:K$302,6,FALSE)))</f>
        <v/>
      </c>
      <c r="L200" s="49" t="str">
        <f>IF(B200="","",IF(ISNA(VLOOKUP(A200,LongJump!F$5:G$302,2,FALSE)),"",VLOOKUP(A200,LongJump!F$5:G$302,2,FALSE)))</f>
        <v/>
      </c>
      <c r="M200" s="49">
        <f>IF(B200="",0,IF(ISNA(VLOOKUP(A200,LongJump!F$5:J$302,5,FALSE)),0,VLOOKUP(A200,LongJump!F$5:J$302,5,FALSE)))</f>
        <v>0</v>
      </c>
      <c r="N200" s="49">
        <f>IF(B200="",0,IF(ISNA(VLOOKUP(A200,LongJump!F$5:K$302,6,FALSE)),0,VLOOKUP(A200,LongJump!F$5:K$302,6,FALSE)))</f>
        <v>0</v>
      </c>
      <c r="O200" s="49" t="str">
        <f>IF(B200="","",IF(ISNA(VLOOKUP(A200,Vortex!F$5:J$302,2,FALSE)),"",VLOOKUP(A200,Vortex!F$5:J$302,2,FALSE)))</f>
        <v/>
      </c>
      <c r="P200" s="49">
        <f>IF(B200="",0,IF(ISNA(VLOOKUP(A200,Vortex!F$5:J$302,5,FALSE)),0,VLOOKUP(A200,Vortex!F$5:J$302,5,FALSE)))</f>
        <v>0</v>
      </c>
      <c r="Q200" s="49">
        <f t="shared" si="10"/>
        <v>0</v>
      </c>
      <c r="R200" s="49" t="str">
        <f t="shared" si="11"/>
        <v/>
      </c>
      <c r="S200" s="49" t="str">
        <f t="shared" si="12"/>
        <v/>
      </c>
      <c r="T200" s="38"/>
      <c r="X200" s="9"/>
      <c r="Y200" s="9"/>
      <c r="AI200"/>
      <c r="AJ200"/>
    </row>
    <row r="201" spans="1:39" ht="13.95" customHeight="1">
      <c r="A201" s="49" t="str">
        <f>IF(Declarations!B174=0,"",Declarations!B174)</f>
        <v/>
      </c>
      <c r="B201" s="150" t="str">
        <f>IF(ISNA(VLOOKUP(A201,Declarations!B$6:C$185,2,FALSE)),"",IF(VLOOKUP(A201,Declarations!B$6:C$185,2,FALSE)="","",VLOOKUP(A201,Declarations!B$6:C$185,2,FALSE)))</f>
        <v/>
      </c>
      <c r="C201" s="150" t="str">
        <f>IF(ISNA(VLOOKUP(A201,Declarations!B$6:F$185,5,FALSE)),"",IF(VLOOKUP(A201,Declarations!B$6:F$185,5,FALSE)="","",VLOOKUP(A201,Declarations!B$6:F$185,5,FALSE)))</f>
        <v/>
      </c>
      <c r="D201" s="150" t="str">
        <f>IF(ISNA(VLOOKUP(A201,Declarations!B$6:F$185,4,FALSE)),"",IF(VLOOKUP(A201,Declarations!B$6:F$185,4,FALSE)="","",VLOOKUP(A201,Declarations!B$6:F$185,4,FALSE)))</f>
        <v/>
      </c>
      <c r="E201" s="150" t="str">
        <f>IF(ISNA(VLOOKUP(A201,Declarations!B$6:D$185,3,FALSE)),"",IF(VLOOKUP(A201,Declarations!B$6:D$185,3,FALSE)="","",VLOOKUP(A201,Declarations!B$6:D$185,3,FALSE)))</f>
        <v/>
      </c>
      <c r="F201" s="49" t="str">
        <f>IF(B201="","",IF(ISNA(VLOOKUP(A201,'75m'!F$5:G$302,2,FALSE)),"",VLOOKUP(A201,'75m'!F$5:G$302,2,FALSE)))</f>
        <v/>
      </c>
      <c r="G201" s="49">
        <f>IF(B201="",0,IF(ISNA(VLOOKUP(A201,'75m'!F$5:J$302,5,FALSE)),0,VLOOKUP(A201,'75m'!F$5:J$302,5,FALSE)))</f>
        <v>0</v>
      </c>
      <c r="H201" s="49" t="str">
        <f>IF(B201="","",IF(ISNA(VLOOKUP(A201,'75m'!F$5:K$302,6,FALSE)),"",VLOOKUP(A201,'75m'!F$5:K$302,6,FALSE)))</f>
        <v/>
      </c>
      <c r="I201" s="51">
        <f>IF(B201="",0,IF(ISNA(VLOOKUP(A201,'600m'!F$5:J$302,2,FALSE)),0,VLOOKUP(A201,'600m'!F$5:J$302,2,FALSE)))</f>
        <v>0</v>
      </c>
      <c r="J201" s="49">
        <f>IF(B201="",0,IF(ISNA(VLOOKUP(A201,'600m'!F$5:J$302,5,FALSE)),0,VLOOKUP(A201,'600m'!F$5:J$302,5,FALSE)))</f>
        <v>0</v>
      </c>
      <c r="K201" s="49" t="str">
        <f>IF(B201="","",IF(ISNA(VLOOKUP(A201,'600m'!F$5:K$302,6,FALSE)),"",VLOOKUP(A201,'600m'!F$5:K$302,6,FALSE)))</f>
        <v/>
      </c>
      <c r="L201" s="49" t="str">
        <f>IF(B201="","",IF(ISNA(VLOOKUP(A201,LongJump!F$5:G$302,2,FALSE)),"",VLOOKUP(A201,LongJump!F$5:G$302,2,FALSE)))</f>
        <v/>
      </c>
      <c r="M201" s="49">
        <f>IF(B201="",0,IF(ISNA(VLOOKUP(A201,LongJump!F$5:J$302,5,FALSE)),0,VLOOKUP(A201,LongJump!F$5:J$302,5,FALSE)))</f>
        <v>0</v>
      </c>
      <c r="N201" s="49">
        <f>IF(B201="",0,IF(ISNA(VLOOKUP(A201,LongJump!F$5:K$302,6,FALSE)),0,VLOOKUP(A201,LongJump!F$5:K$302,6,FALSE)))</f>
        <v>0</v>
      </c>
      <c r="O201" s="49" t="str">
        <f>IF(B201="","",IF(ISNA(VLOOKUP(A201,Vortex!F$5:J$302,2,FALSE)),"",VLOOKUP(A201,Vortex!F$5:J$302,2,FALSE)))</f>
        <v/>
      </c>
      <c r="P201" s="49">
        <f>IF(B201="",0,IF(ISNA(VLOOKUP(A201,Vortex!F$5:J$302,5,FALSE)),0,VLOOKUP(A201,Vortex!F$5:J$302,5,FALSE)))</f>
        <v>0</v>
      </c>
      <c r="Q201" s="49">
        <f t="shared" si="10"/>
        <v>0</v>
      </c>
      <c r="R201" s="49" t="str">
        <f t="shared" si="11"/>
        <v/>
      </c>
      <c r="S201" s="49" t="str">
        <f t="shared" si="12"/>
        <v/>
      </c>
      <c r="T201" s="38"/>
      <c r="X201" s="9"/>
      <c r="Y201" s="9"/>
      <c r="AI201"/>
      <c r="AJ201"/>
    </row>
    <row r="202" spans="1:39" ht="13.95" customHeight="1">
      <c r="A202" s="49" t="str">
        <f>IF(Declarations!B175=0,"",Declarations!B175)</f>
        <v/>
      </c>
      <c r="B202" s="150" t="str">
        <f>IF(ISNA(VLOOKUP(A202,Declarations!B$6:C$185,2,FALSE)),"",IF(VLOOKUP(A202,Declarations!B$6:C$185,2,FALSE)="","",VLOOKUP(A202,Declarations!B$6:C$185,2,FALSE)))</f>
        <v/>
      </c>
      <c r="C202" s="150" t="str">
        <f>IF(ISNA(VLOOKUP(A202,Declarations!B$6:F$185,5,FALSE)),"",IF(VLOOKUP(A202,Declarations!B$6:F$185,5,FALSE)="","",VLOOKUP(A202,Declarations!B$6:F$185,5,FALSE)))</f>
        <v/>
      </c>
      <c r="D202" s="150" t="str">
        <f>IF(ISNA(VLOOKUP(A202,Declarations!B$6:F$185,4,FALSE)),"",IF(VLOOKUP(A202,Declarations!B$6:F$185,4,FALSE)="","",VLOOKUP(A202,Declarations!B$6:F$185,4,FALSE)))</f>
        <v/>
      </c>
      <c r="E202" s="150" t="str">
        <f>IF(ISNA(VLOOKUP(A202,Declarations!B$6:D$185,3,FALSE)),"",IF(VLOOKUP(A202,Declarations!B$6:D$185,3,FALSE)="","",VLOOKUP(A202,Declarations!B$6:D$185,3,FALSE)))</f>
        <v/>
      </c>
      <c r="F202" s="49" t="str">
        <f>IF(B202="","",IF(ISNA(VLOOKUP(A202,'75m'!F$5:G$302,2,FALSE)),"",VLOOKUP(A202,'75m'!F$5:G$302,2,FALSE)))</f>
        <v/>
      </c>
      <c r="G202" s="49">
        <f>IF(B202="",0,IF(ISNA(VLOOKUP(A202,'75m'!F$5:J$302,5,FALSE)),0,VLOOKUP(A202,'75m'!F$5:J$302,5,FALSE)))</f>
        <v>0</v>
      </c>
      <c r="H202" s="49" t="str">
        <f>IF(B202="","",IF(ISNA(VLOOKUP(A202,'75m'!F$5:K$302,6,FALSE)),"",VLOOKUP(A202,'75m'!F$5:K$302,6,FALSE)))</f>
        <v/>
      </c>
      <c r="I202" s="51">
        <f>IF(B202="",0,IF(ISNA(VLOOKUP(A202,'600m'!F$5:J$302,2,FALSE)),0,VLOOKUP(A202,'600m'!F$5:J$302,2,FALSE)))</f>
        <v>0</v>
      </c>
      <c r="J202" s="49">
        <f>IF(B202="",0,IF(ISNA(VLOOKUP(A202,'600m'!F$5:J$302,5,FALSE)),0,VLOOKUP(A202,'600m'!F$5:J$302,5,FALSE)))</f>
        <v>0</v>
      </c>
      <c r="K202" s="49" t="str">
        <f>IF(B202="","",IF(ISNA(VLOOKUP(A202,'600m'!F$5:K$302,6,FALSE)),"",VLOOKUP(A202,'600m'!F$5:K$302,6,FALSE)))</f>
        <v/>
      </c>
      <c r="L202" s="49" t="str">
        <f>IF(B202="","",IF(ISNA(VLOOKUP(A202,LongJump!F$5:G$302,2,FALSE)),"",VLOOKUP(A202,LongJump!F$5:G$302,2,FALSE)))</f>
        <v/>
      </c>
      <c r="M202" s="49">
        <f>IF(B202="",0,IF(ISNA(VLOOKUP(A202,LongJump!F$5:J$302,5,FALSE)),0,VLOOKUP(A202,LongJump!F$5:J$302,5,FALSE)))</f>
        <v>0</v>
      </c>
      <c r="N202" s="49">
        <f>IF(B202="",0,IF(ISNA(VLOOKUP(A202,LongJump!F$5:K$302,6,FALSE)),0,VLOOKUP(A202,LongJump!F$5:K$302,6,FALSE)))</f>
        <v>0</v>
      </c>
      <c r="O202" s="49" t="str">
        <f>IF(B202="","",IF(ISNA(VLOOKUP(A202,Vortex!F$5:J$302,2,FALSE)),"",VLOOKUP(A202,Vortex!F$5:J$302,2,FALSE)))</f>
        <v/>
      </c>
      <c r="P202" s="49">
        <f>IF(B202="",0,IF(ISNA(VLOOKUP(A202,Vortex!F$5:J$302,5,FALSE)),0,VLOOKUP(A202,Vortex!F$5:J$302,5,FALSE)))</f>
        <v>0</v>
      </c>
      <c r="Q202" s="49">
        <f t="shared" si="10"/>
        <v>0</v>
      </c>
      <c r="R202" s="49" t="str">
        <f t="shared" si="11"/>
        <v/>
      </c>
      <c r="S202" s="49" t="str">
        <f t="shared" si="12"/>
        <v/>
      </c>
      <c r="T202" s="38"/>
      <c r="X202" s="9"/>
      <c r="Y202" s="9"/>
      <c r="AI202"/>
      <c r="AJ202"/>
    </row>
    <row r="203" spans="1:39" ht="13.95" customHeight="1">
      <c r="A203" s="49" t="str">
        <f>IF(Declarations!B176=0,"",Declarations!B176)</f>
        <v/>
      </c>
      <c r="B203" s="150" t="str">
        <f>IF(ISNA(VLOOKUP(A203,Declarations!B$6:C$185,2,FALSE)),"",IF(VLOOKUP(A203,Declarations!B$6:C$185,2,FALSE)="","",VLOOKUP(A203,Declarations!B$6:C$185,2,FALSE)))</f>
        <v/>
      </c>
      <c r="C203" s="150" t="str">
        <f>IF(ISNA(VLOOKUP(A203,Declarations!B$6:F$185,5,FALSE)),"",IF(VLOOKUP(A203,Declarations!B$6:F$185,5,FALSE)="","",VLOOKUP(A203,Declarations!B$6:F$185,5,FALSE)))</f>
        <v/>
      </c>
      <c r="D203" s="150" t="str">
        <f>IF(ISNA(VLOOKUP(A203,Declarations!B$6:F$185,4,FALSE)),"",IF(VLOOKUP(A203,Declarations!B$6:F$185,4,FALSE)="","",VLOOKUP(A203,Declarations!B$6:F$185,4,FALSE)))</f>
        <v/>
      </c>
      <c r="E203" s="150" t="str">
        <f>IF(ISNA(VLOOKUP(A203,Declarations!B$6:D$185,3,FALSE)),"",IF(VLOOKUP(A203,Declarations!B$6:D$185,3,FALSE)="","",VLOOKUP(A203,Declarations!B$6:D$185,3,FALSE)))</f>
        <v/>
      </c>
      <c r="F203" s="49" t="str">
        <f>IF(B203="","",IF(ISNA(VLOOKUP(A203,'75m'!F$5:G$302,2,FALSE)),"",VLOOKUP(A203,'75m'!F$5:G$302,2,FALSE)))</f>
        <v/>
      </c>
      <c r="G203" s="49">
        <f>IF(B203="",0,IF(ISNA(VLOOKUP(A203,'75m'!F$5:J$302,5,FALSE)),0,VLOOKUP(A203,'75m'!F$5:J$302,5,FALSE)))</f>
        <v>0</v>
      </c>
      <c r="H203" s="49" t="str">
        <f>IF(B203="","",IF(ISNA(VLOOKUP(A203,'75m'!F$5:K$302,6,FALSE)),"",VLOOKUP(A203,'75m'!F$5:K$302,6,FALSE)))</f>
        <v/>
      </c>
      <c r="I203" s="51">
        <f>IF(B203="",0,IF(ISNA(VLOOKUP(A203,'600m'!F$5:J$302,2,FALSE)),0,VLOOKUP(A203,'600m'!F$5:J$302,2,FALSE)))</f>
        <v>0</v>
      </c>
      <c r="J203" s="49">
        <f>IF(B203="",0,IF(ISNA(VLOOKUP(A203,'600m'!F$5:J$302,5,FALSE)),0,VLOOKUP(A203,'600m'!F$5:J$302,5,FALSE)))</f>
        <v>0</v>
      </c>
      <c r="K203" s="49" t="str">
        <f>IF(B203="","",IF(ISNA(VLOOKUP(A203,'600m'!F$5:K$302,6,FALSE)),"",VLOOKUP(A203,'600m'!F$5:K$302,6,FALSE)))</f>
        <v/>
      </c>
      <c r="L203" s="49" t="str">
        <f>IF(B203="","",IF(ISNA(VLOOKUP(A203,LongJump!F$5:G$302,2,FALSE)),"",VLOOKUP(A203,LongJump!F$5:G$302,2,FALSE)))</f>
        <v/>
      </c>
      <c r="M203" s="49">
        <f>IF(B203="",0,IF(ISNA(VLOOKUP(A203,LongJump!F$5:J$302,5,FALSE)),0,VLOOKUP(A203,LongJump!F$5:J$302,5,FALSE)))</f>
        <v>0</v>
      </c>
      <c r="N203" s="49">
        <f>IF(B203="",0,IF(ISNA(VLOOKUP(A203,LongJump!F$5:K$302,6,FALSE)),0,VLOOKUP(A203,LongJump!F$5:K$302,6,FALSE)))</f>
        <v>0</v>
      </c>
      <c r="O203" s="49" t="str">
        <f>IF(B203="","",IF(ISNA(VLOOKUP(A203,Vortex!F$5:J$302,2,FALSE)),"",VLOOKUP(A203,Vortex!F$5:J$302,2,FALSE)))</f>
        <v/>
      </c>
      <c r="P203" s="49">
        <f>IF(B203="",0,IF(ISNA(VLOOKUP(A203,Vortex!F$5:J$302,5,FALSE)),0,VLOOKUP(A203,Vortex!F$5:J$302,5,FALSE)))</f>
        <v>0</v>
      </c>
      <c r="Q203" s="49">
        <f t="shared" si="10"/>
        <v>0</v>
      </c>
      <c r="R203" s="49" t="str">
        <f t="shared" si="11"/>
        <v/>
      </c>
      <c r="S203" s="49" t="str">
        <f t="shared" si="12"/>
        <v/>
      </c>
      <c r="X203" s="9"/>
      <c r="Y203" s="9"/>
      <c r="AI203"/>
      <c r="AJ203"/>
    </row>
    <row r="204" spans="1:39" ht="13.95" customHeight="1">
      <c r="A204" s="49" t="str">
        <f>IF(Declarations!B177=0,"",Declarations!B177)</f>
        <v/>
      </c>
      <c r="B204" s="150" t="str">
        <f>IF(ISNA(VLOOKUP(A204,Declarations!B$6:C$185,2,FALSE)),"",IF(VLOOKUP(A204,Declarations!B$6:C$185,2,FALSE)="","",VLOOKUP(A204,Declarations!B$6:C$185,2,FALSE)))</f>
        <v/>
      </c>
      <c r="C204" s="150" t="str">
        <f>IF(ISNA(VLOOKUP(A204,Declarations!B$6:F$185,5,FALSE)),"",IF(VLOOKUP(A204,Declarations!B$6:F$185,5,FALSE)="","",VLOOKUP(A204,Declarations!B$6:F$185,5,FALSE)))</f>
        <v/>
      </c>
      <c r="D204" s="150" t="str">
        <f>IF(ISNA(VLOOKUP(A204,Declarations!B$6:F$185,4,FALSE)),"",IF(VLOOKUP(A204,Declarations!B$6:F$185,4,FALSE)="","",VLOOKUP(A204,Declarations!B$6:F$185,4,FALSE)))</f>
        <v/>
      </c>
      <c r="E204" s="150" t="str">
        <f>IF(ISNA(VLOOKUP(A204,Declarations!B$6:D$185,3,FALSE)),"",IF(VLOOKUP(A204,Declarations!B$6:D$185,3,FALSE)="","",VLOOKUP(A204,Declarations!B$6:D$185,3,FALSE)))</f>
        <v/>
      </c>
      <c r="F204" s="49" t="str">
        <f>IF(B204="","",IF(ISNA(VLOOKUP(A204,'75m'!F$5:G$302,2,FALSE)),"",VLOOKUP(A204,'75m'!F$5:G$302,2,FALSE)))</f>
        <v/>
      </c>
      <c r="G204" s="49">
        <f>IF(B204="",0,IF(ISNA(VLOOKUP(A204,'75m'!F$5:J$302,5,FALSE)),0,VLOOKUP(A204,'75m'!F$5:J$302,5,FALSE)))</f>
        <v>0</v>
      </c>
      <c r="H204" s="49" t="str">
        <f>IF(B204="","",IF(ISNA(VLOOKUP(A204,'75m'!F$5:K$302,6,FALSE)),"",VLOOKUP(A204,'75m'!F$5:K$302,6,FALSE)))</f>
        <v/>
      </c>
      <c r="I204" s="51">
        <f>IF(B204="",0,IF(ISNA(VLOOKUP(A204,'600m'!F$5:J$302,2,FALSE)),0,VLOOKUP(A204,'600m'!F$5:J$302,2,FALSE)))</f>
        <v>0</v>
      </c>
      <c r="J204" s="49">
        <f>IF(B204="",0,IF(ISNA(VLOOKUP(A204,'600m'!F$5:J$302,5,FALSE)),0,VLOOKUP(A204,'600m'!F$5:J$302,5,FALSE)))</f>
        <v>0</v>
      </c>
      <c r="K204" s="49" t="str">
        <f>IF(B204="","",IF(ISNA(VLOOKUP(A204,'600m'!F$5:K$302,6,FALSE)),"",VLOOKUP(A204,'600m'!F$5:K$302,6,FALSE)))</f>
        <v/>
      </c>
      <c r="L204" s="49" t="str">
        <f>IF(B204="","",IF(ISNA(VLOOKUP(A204,LongJump!F$5:G$302,2,FALSE)),"",VLOOKUP(A204,LongJump!F$5:G$302,2,FALSE)))</f>
        <v/>
      </c>
      <c r="M204" s="49">
        <f>IF(B204="",0,IF(ISNA(VLOOKUP(A204,LongJump!F$5:J$302,5,FALSE)),0,VLOOKUP(A204,LongJump!F$5:J$302,5,FALSE)))</f>
        <v>0</v>
      </c>
      <c r="N204" s="49">
        <f>IF(B204="",0,IF(ISNA(VLOOKUP(A204,LongJump!F$5:K$302,6,FALSE)),0,VLOOKUP(A204,LongJump!F$5:K$302,6,FALSE)))</f>
        <v>0</v>
      </c>
      <c r="O204" s="49" t="str">
        <f>IF(B204="","",IF(ISNA(VLOOKUP(A204,Vortex!F$5:J$302,2,FALSE)),"",VLOOKUP(A204,Vortex!F$5:J$302,2,FALSE)))</f>
        <v/>
      </c>
      <c r="P204" s="49">
        <f>IF(B204="",0,IF(ISNA(VLOOKUP(A204,Vortex!F$5:J$302,5,FALSE)),0,VLOOKUP(A204,Vortex!F$5:J$302,5,FALSE)))</f>
        <v>0</v>
      </c>
      <c r="Q204" s="49">
        <f t="shared" si="10"/>
        <v>0</v>
      </c>
      <c r="R204" s="49" t="str">
        <f t="shared" si="11"/>
        <v/>
      </c>
      <c r="S204" s="49" t="str">
        <f t="shared" si="12"/>
        <v/>
      </c>
      <c r="X204" s="9"/>
      <c r="Y204" s="9"/>
      <c r="AI204"/>
      <c r="AJ204"/>
    </row>
    <row r="205" spans="1:39" ht="13.95" customHeight="1">
      <c r="A205" s="49" t="str">
        <f>IF(Declarations!B178=0,"",Declarations!B178)</f>
        <v/>
      </c>
      <c r="B205" s="150" t="str">
        <f>IF(ISNA(VLOOKUP(A205,Declarations!B$6:C$185,2,FALSE)),"",IF(VLOOKUP(A205,Declarations!B$6:C$185,2,FALSE)="","",VLOOKUP(A205,Declarations!B$6:C$185,2,FALSE)))</f>
        <v/>
      </c>
      <c r="C205" s="150" t="str">
        <f>IF(ISNA(VLOOKUP(A205,Declarations!B$6:F$185,5,FALSE)),"",IF(VLOOKUP(A205,Declarations!B$6:F$185,5,FALSE)="","",VLOOKUP(A205,Declarations!B$6:F$185,5,FALSE)))</f>
        <v/>
      </c>
      <c r="D205" s="150" t="str">
        <f>IF(ISNA(VLOOKUP(A205,Declarations!B$6:F$185,4,FALSE)),"",IF(VLOOKUP(A205,Declarations!B$6:F$185,4,FALSE)="","",VLOOKUP(A205,Declarations!B$6:F$185,4,FALSE)))</f>
        <v/>
      </c>
      <c r="E205" s="150" t="str">
        <f>IF(ISNA(VLOOKUP(A205,Declarations!B$6:D$185,3,FALSE)),"",IF(VLOOKUP(A205,Declarations!B$6:D$185,3,FALSE)="","",VLOOKUP(A205,Declarations!B$6:D$185,3,FALSE)))</f>
        <v/>
      </c>
      <c r="F205" s="49" t="str">
        <f>IF(B205="","",IF(ISNA(VLOOKUP(A205,'75m'!F$5:G$302,2,FALSE)),"",VLOOKUP(A205,'75m'!F$5:G$302,2,FALSE)))</f>
        <v/>
      </c>
      <c r="G205" s="49">
        <f>IF(B205="",0,IF(ISNA(VLOOKUP(A205,'75m'!F$5:J$302,5,FALSE)),0,VLOOKUP(A205,'75m'!F$5:J$302,5,FALSE)))</f>
        <v>0</v>
      </c>
      <c r="H205" s="49" t="str">
        <f>IF(B205="","",IF(ISNA(VLOOKUP(A205,'75m'!F$5:K$302,6,FALSE)),"",VLOOKUP(A205,'75m'!F$5:K$302,6,FALSE)))</f>
        <v/>
      </c>
      <c r="I205" s="51">
        <f>IF(B205="",0,IF(ISNA(VLOOKUP(A205,'600m'!F$5:J$302,2,FALSE)),0,VLOOKUP(A205,'600m'!F$5:J$302,2,FALSE)))</f>
        <v>0</v>
      </c>
      <c r="J205" s="49">
        <f>IF(B205="",0,IF(ISNA(VLOOKUP(A205,'600m'!F$5:J$302,5,FALSE)),0,VLOOKUP(A205,'600m'!F$5:J$302,5,FALSE)))</f>
        <v>0</v>
      </c>
      <c r="K205" s="49" t="str">
        <f>IF(B205="","",IF(ISNA(VLOOKUP(A205,'600m'!F$5:K$302,6,FALSE)),"",VLOOKUP(A205,'600m'!F$5:K$302,6,FALSE)))</f>
        <v/>
      </c>
      <c r="L205" s="49" t="str">
        <f>IF(B205="","",IF(ISNA(VLOOKUP(A205,LongJump!F$5:G$302,2,FALSE)),"",VLOOKUP(A205,LongJump!F$5:G$302,2,FALSE)))</f>
        <v/>
      </c>
      <c r="M205" s="49">
        <f>IF(B205="",0,IF(ISNA(VLOOKUP(A205,LongJump!F$5:J$302,5,FALSE)),0,VLOOKUP(A205,LongJump!F$5:J$302,5,FALSE)))</f>
        <v>0</v>
      </c>
      <c r="N205" s="49">
        <f>IF(B205="",0,IF(ISNA(VLOOKUP(A205,LongJump!F$5:K$302,6,FALSE)),0,VLOOKUP(A205,LongJump!F$5:K$302,6,FALSE)))</f>
        <v>0</v>
      </c>
      <c r="O205" s="49" t="str">
        <f>IF(B205="","",IF(ISNA(VLOOKUP(A205,Vortex!F$5:J$302,2,FALSE)),"",VLOOKUP(A205,Vortex!F$5:J$302,2,FALSE)))</f>
        <v/>
      </c>
      <c r="P205" s="49">
        <f>IF(B205="",0,IF(ISNA(VLOOKUP(A205,Vortex!F$5:J$302,5,FALSE)),0,VLOOKUP(A205,Vortex!F$5:J$302,5,FALSE)))</f>
        <v>0</v>
      </c>
      <c r="Q205" s="49">
        <f t="shared" si="10"/>
        <v>0</v>
      </c>
      <c r="R205" s="49" t="str">
        <f t="shared" si="11"/>
        <v/>
      </c>
      <c r="S205" s="49" t="str">
        <f t="shared" si="12"/>
        <v/>
      </c>
      <c r="X205" s="9"/>
      <c r="Y205" s="9"/>
      <c r="AI205"/>
      <c r="AJ205"/>
    </row>
    <row r="206" spans="1:39" ht="13.95" customHeight="1">
      <c r="A206" s="49" t="str">
        <f>IF(Declarations!B179=0,"",Declarations!B179)</f>
        <v/>
      </c>
      <c r="B206" s="150" t="str">
        <f>IF(ISNA(VLOOKUP(A206,Declarations!B$6:C$185,2,FALSE)),"",IF(VLOOKUP(A206,Declarations!B$6:C$185,2,FALSE)="","",VLOOKUP(A206,Declarations!B$6:C$185,2,FALSE)))</f>
        <v/>
      </c>
      <c r="C206" s="150" t="str">
        <f>IF(ISNA(VLOOKUP(A206,Declarations!B$6:F$185,5,FALSE)),"",IF(VLOOKUP(A206,Declarations!B$6:F$185,5,FALSE)="","",VLOOKUP(A206,Declarations!B$6:F$185,5,FALSE)))</f>
        <v/>
      </c>
      <c r="D206" s="150" t="str">
        <f>IF(ISNA(VLOOKUP(A206,Declarations!B$6:F$185,4,FALSE)),"",IF(VLOOKUP(A206,Declarations!B$6:F$185,4,FALSE)="","",VLOOKUP(A206,Declarations!B$6:F$185,4,FALSE)))</f>
        <v/>
      </c>
      <c r="E206" s="150" t="str">
        <f>IF(ISNA(VLOOKUP(A206,Declarations!B$6:D$185,3,FALSE)),"",IF(VLOOKUP(A206,Declarations!B$6:D$185,3,FALSE)="","",VLOOKUP(A206,Declarations!B$6:D$185,3,FALSE)))</f>
        <v/>
      </c>
      <c r="F206" s="49" t="str">
        <f>IF(B206="","",IF(ISNA(VLOOKUP(A206,'75m'!F$5:G$302,2,FALSE)),"",VLOOKUP(A206,'75m'!F$5:G$302,2,FALSE)))</f>
        <v/>
      </c>
      <c r="G206" s="49">
        <f>IF(B206="",0,IF(ISNA(VLOOKUP(A206,'75m'!F$5:J$302,5,FALSE)),0,VLOOKUP(A206,'75m'!F$5:J$302,5,FALSE)))</f>
        <v>0</v>
      </c>
      <c r="H206" s="49" t="str">
        <f>IF(B206="","",IF(ISNA(VLOOKUP(A206,'75m'!F$5:K$302,6,FALSE)),"",VLOOKUP(A206,'75m'!F$5:K$302,6,FALSE)))</f>
        <v/>
      </c>
      <c r="I206" s="51">
        <f>IF(B206="",0,IF(ISNA(VLOOKUP(A206,'600m'!F$5:J$302,2,FALSE)),0,VLOOKUP(A206,'600m'!F$5:J$302,2,FALSE)))</f>
        <v>0</v>
      </c>
      <c r="J206" s="49">
        <f>IF(B206="",0,IF(ISNA(VLOOKUP(A206,'600m'!F$5:J$302,5,FALSE)),0,VLOOKUP(A206,'600m'!F$5:J$302,5,FALSE)))</f>
        <v>0</v>
      </c>
      <c r="K206" s="49" t="str">
        <f>IF(B206="","",IF(ISNA(VLOOKUP(A206,'600m'!F$5:K$302,6,FALSE)),"",VLOOKUP(A206,'600m'!F$5:K$302,6,FALSE)))</f>
        <v/>
      </c>
      <c r="L206" s="49" t="str">
        <f>IF(B206="","",IF(ISNA(VLOOKUP(A206,LongJump!F$5:G$302,2,FALSE)),"",VLOOKUP(A206,LongJump!F$5:G$302,2,FALSE)))</f>
        <v/>
      </c>
      <c r="M206" s="49">
        <f>IF(B206="",0,IF(ISNA(VLOOKUP(A206,LongJump!F$5:J$302,5,FALSE)),0,VLOOKUP(A206,LongJump!F$5:J$302,5,FALSE)))</f>
        <v>0</v>
      </c>
      <c r="N206" s="49">
        <f>IF(B206="",0,IF(ISNA(VLOOKUP(A206,LongJump!F$5:K$302,6,FALSE)),0,VLOOKUP(A206,LongJump!F$5:K$302,6,FALSE)))</f>
        <v>0</v>
      </c>
      <c r="O206" s="49" t="str">
        <f>IF(B206="","",IF(ISNA(VLOOKUP(A206,Vortex!F$5:J$302,2,FALSE)),"",VLOOKUP(A206,Vortex!F$5:J$302,2,FALSE)))</f>
        <v/>
      </c>
      <c r="P206" s="49">
        <f>IF(B206="",0,IF(ISNA(VLOOKUP(A206,Vortex!F$5:J$302,5,FALSE)),0,VLOOKUP(A206,Vortex!F$5:J$302,5,FALSE)))</f>
        <v>0</v>
      </c>
      <c r="Q206" s="49">
        <f t="shared" si="10"/>
        <v>0</v>
      </c>
      <c r="R206" s="49" t="str">
        <f t="shared" si="11"/>
        <v/>
      </c>
      <c r="S206" s="49" t="str">
        <f t="shared" si="12"/>
        <v/>
      </c>
      <c r="X206" s="9"/>
      <c r="Y206" s="9"/>
      <c r="AI206"/>
      <c r="AJ206" s="16"/>
      <c r="AK206" s="16"/>
      <c r="AL206" s="16"/>
      <c r="AM206" s="16"/>
    </row>
    <row r="207" spans="1:39" s="16" customFormat="1" ht="13.95" customHeight="1">
      <c r="A207" s="49" t="str">
        <f>IF(Declarations!B180=0,"",Declarations!B180)</f>
        <v/>
      </c>
      <c r="B207" s="150" t="str">
        <f>IF(ISNA(VLOOKUP(A207,Declarations!B$6:C$185,2,FALSE)),"",IF(VLOOKUP(A207,Declarations!B$6:C$185,2,FALSE)="","",VLOOKUP(A207,Declarations!B$6:C$185,2,FALSE)))</f>
        <v/>
      </c>
      <c r="C207" s="150" t="str">
        <f>IF(ISNA(VLOOKUP(A207,Declarations!B$6:F$185,5,FALSE)),"",IF(VLOOKUP(A207,Declarations!B$6:F$185,5,FALSE)="","",VLOOKUP(A207,Declarations!B$6:F$185,5,FALSE)))</f>
        <v/>
      </c>
      <c r="D207" s="150" t="str">
        <f>IF(ISNA(VLOOKUP(A207,Declarations!B$6:F$185,4,FALSE)),"",IF(VLOOKUP(A207,Declarations!B$6:F$185,4,FALSE)="","",VLOOKUP(A207,Declarations!B$6:F$185,4,FALSE)))</f>
        <v/>
      </c>
      <c r="E207" s="150" t="str">
        <f>IF(ISNA(VLOOKUP(A207,Declarations!B$6:D$185,3,FALSE)),"",IF(VLOOKUP(A207,Declarations!B$6:D$185,3,FALSE)="","",VLOOKUP(A207,Declarations!B$6:D$185,3,FALSE)))</f>
        <v/>
      </c>
      <c r="F207" s="49" t="str">
        <f>IF(B207="","",IF(ISNA(VLOOKUP(A207,'75m'!F$5:G$302,2,FALSE)),"",VLOOKUP(A207,'75m'!F$5:G$302,2,FALSE)))</f>
        <v/>
      </c>
      <c r="G207" s="49">
        <f>IF(B207="",0,IF(ISNA(VLOOKUP(A207,'75m'!F$5:J$302,5,FALSE)),0,VLOOKUP(A207,'75m'!F$5:J$302,5,FALSE)))</f>
        <v>0</v>
      </c>
      <c r="H207" s="49" t="str">
        <f>IF(B207="","",IF(ISNA(VLOOKUP(A207,'75m'!F$5:K$302,6,FALSE)),"",VLOOKUP(A207,'75m'!F$5:K$302,6,FALSE)))</f>
        <v/>
      </c>
      <c r="I207" s="51">
        <f>IF(B207="",0,IF(ISNA(VLOOKUP(A207,'600m'!F$5:J$302,2,FALSE)),0,VLOOKUP(A207,'600m'!F$5:J$302,2,FALSE)))</f>
        <v>0</v>
      </c>
      <c r="J207" s="49">
        <f>IF(B207="",0,IF(ISNA(VLOOKUP(A207,'600m'!F$5:J$302,5,FALSE)),0,VLOOKUP(A207,'600m'!F$5:J$302,5,FALSE)))</f>
        <v>0</v>
      </c>
      <c r="K207" s="49" t="str">
        <f>IF(B207="","",IF(ISNA(VLOOKUP(A207,'600m'!F$5:K$302,6,FALSE)),"",VLOOKUP(A207,'600m'!F$5:K$302,6,FALSE)))</f>
        <v/>
      </c>
      <c r="L207" s="49" t="str">
        <f>IF(B207="","",IF(ISNA(VLOOKUP(A207,LongJump!F$5:G$302,2,FALSE)),"",VLOOKUP(A207,LongJump!F$5:G$302,2,FALSE)))</f>
        <v/>
      </c>
      <c r="M207" s="49">
        <f>IF(B207="",0,IF(ISNA(VLOOKUP(A207,LongJump!F$5:J$302,5,FALSE)),0,VLOOKUP(A207,LongJump!F$5:J$302,5,FALSE)))</f>
        <v>0</v>
      </c>
      <c r="N207" s="49">
        <f>IF(B207="",0,IF(ISNA(VLOOKUP(A207,LongJump!F$5:K$302,6,FALSE)),0,VLOOKUP(A207,LongJump!F$5:K$302,6,FALSE)))</f>
        <v>0</v>
      </c>
      <c r="O207" s="49" t="str">
        <f>IF(B207="","",IF(ISNA(VLOOKUP(A207,Vortex!F$5:J$302,2,FALSE)),"",VLOOKUP(A207,Vortex!F$5:J$302,2,FALSE)))</f>
        <v/>
      </c>
      <c r="P207" s="49">
        <f>IF(B207="",0,IF(ISNA(VLOOKUP(A207,Vortex!F$5:J$302,5,FALSE)),0,VLOOKUP(A207,Vortex!F$5:J$302,5,FALSE)))</f>
        <v>0</v>
      </c>
      <c r="Q207" s="49">
        <f t="shared" si="10"/>
        <v>0</v>
      </c>
      <c r="R207" s="49" t="str">
        <f t="shared" si="11"/>
        <v/>
      </c>
      <c r="S207" s="49" t="str">
        <f t="shared" si="12"/>
        <v/>
      </c>
      <c r="T207"/>
      <c r="U207"/>
      <c r="V207"/>
      <c r="W207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/>
      <c r="AJ207"/>
      <c r="AK207"/>
      <c r="AL207"/>
      <c r="AM207"/>
    </row>
    <row r="208" spans="1:39" ht="13.95" customHeight="1">
      <c r="A208" s="49" t="str">
        <f>IF(Declarations!B181=0,"",Declarations!B181)</f>
        <v/>
      </c>
      <c r="B208" s="150" t="str">
        <f>IF(ISNA(VLOOKUP(A208,Declarations!B$6:C$185,2,FALSE)),"",IF(VLOOKUP(A208,Declarations!B$6:C$185,2,FALSE)="","",VLOOKUP(A208,Declarations!B$6:C$185,2,FALSE)))</f>
        <v/>
      </c>
      <c r="C208" s="150" t="str">
        <f>IF(ISNA(VLOOKUP(A208,Declarations!B$6:F$185,5,FALSE)),"",IF(VLOOKUP(A208,Declarations!B$6:F$185,5,FALSE)="","",VLOOKUP(A208,Declarations!B$6:F$185,5,FALSE)))</f>
        <v/>
      </c>
      <c r="D208" s="150" t="str">
        <f>IF(ISNA(VLOOKUP(A208,Declarations!B$6:F$185,4,FALSE)),"",IF(VLOOKUP(A208,Declarations!B$6:F$185,4,FALSE)="","",VLOOKUP(A208,Declarations!B$6:F$185,4,FALSE)))</f>
        <v/>
      </c>
      <c r="E208" s="150" t="str">
        <f>IF(ISNA(VLOOKUP(A208,Declarations!B$6:D$185,3,FALSE)),"",IF(VLOOKUP(A208,Declarations!B$6:D$185,3,FALSE)="","",VLOOKUP(A208,Declarations!B$6:D$185,3,FALSE)))</f>
        <v/>
      </c>
      <c r="F208" s="49" t="str">
        <f>IF(B208="","",IF(ISNA(VLOOKUP(A208,'75m'!F$5:G$302,2,FALSE)),"",VLOOKUP(A208,'75m'!F$5:G$302,2,FALSE)))</f>
        <v/>
      </c>
      <c r="G208" s="49">
        <f>IF(B208="",0,IF(ISNA(VLOOKUP(A208,'75m'!F$5:J$302,5,FALSE)),0,VLOOKUP(A208,'75m'!F$5:J$302,5,FALSE)))</f>
        <v>0</v>
      </c>
      <c r="H208" s="49" t="str">
        <f>IF(B208="","",IF(ISNA(VLOOKUP(A208,'75m'!F$5:K$302,6,FALSE)),"",VLOOKUP(A208,'75m'!F$5:K$302,6,FALSE)))</f>
        <v/>
      </c>
      <c r="I208" s="51">
        <f>IF(B208="",0,IF(ISNA(VLOOKUP(A208,'600m'!F$5:J$302,2,FALSE)),0,VLOOKUP(A208,'600m'!F$5:J$302,2,FALSE)))</f>
        <v>0</v>
      </c>
      <c r="J208" s="49">
        <f>IF(B208="",0,IF(ISNA(VLOOKUP(A208,'600m'!F$5:J$302,5,FALSE)),0,VLOOKUP(A208,'600m'!F$5:J$302,5,FALSE)))</f>
        <v>0</v>
      </c>
      <c r="K208" s="49" t="str">
        <f>IF(B208="","",IF(ISNA(VLOOKUP(A208,'600m'!F$5:K$302,6,FALSE)),"",VLOOKUP(A208,'600m'!F$5:K$302,6,FALSE)))</f>
        <v/>
      </c>
      <c r="L208" s="49" t="str">
        <f>IF(B208="","",IF(ISNA(VLOOKUP(A208,LongJump!F$5:G$302,2,FALSE)),"",VLOOKUP(A208,LongJump!F$5:G$302,2,FALSE)))</f>
        <v/>
      </c>
      <c r="M208" s="49">
        <f>IF(B208="",0,IF(ISNA(VLOOKUP(A208,LongJump!F$5:J$302,5,FALSE)),0,VLOOKUP(A208,LongJump!F$5:J$302,5,FALSE)))</f>
        <v>0</v>
      </c>
      <c r="N208" s="49">
        <f>IF(B208="",0,IF(ISNA(VLOOKUP(A208,LongJump!F$5:K$302,6,FALSE)),0,VLOOKUP(A208,LongJump!F$5:K$302,6,FALSE)))</f>
        <v>0</v>
      </c>
      <c r="O208" s="49" t="str">
        <f>IF(B208="","",IF(ISNA(VLOOKUP(A208,Vortex!F$5:J$302,2,FALSE)),"",VLOOKUP(A208,Vortex!F$5:J$302,2,FALSE)))</f>
        <v/>
      </c>
      <c r="P208" s="49">
        <f>IF(B208="",0,IF(ISNA(VLOOKUP(A208,Vortex!F$5:J$302,5,FALSE)),0,VLOOKUP(A208,Vortex!F$5:J$302,5,FALSE)))</f>
        <v>0</v>
      </c>
      <c r="Q208" s="49">
        <f t="shared" si="10"/>
        <v>0</v>
      </c>
      <c r="R208" s="49" t="str">
        <f t="shared" si="11"/>
        <v/>
      </c>
      <c r="S208" s="49" t="str">
        <f t="shared" si="12"/>
        <v/>
      </c>
      <c r="X208" s="9"/>
      <c r="Y208" s="9"/>
      <c r="AI208"/>
      <c r="AJ208"/>
    </row>
    <row r="209" spans="1:36" ht="13.95" customHeight="1">
      <c r="A209" s="49" t="str">
        <f>IF(Declarations!B182=0,"",Declarations!B182)</f>
        <v/>
      </c>
      <c r="B209" s="150" t="str">
        <f>IF(ISNA(VLOOKUP(A209,Declarations!B$6:C$185,2,FALSE)),"",IF(VLOOKUP(A209,Declarations!B$6:C$185,2,FALSE)="","",VLOOKUP(A209,Declarations!B$6:C$185,2,FALSE)))</f>
        <v/>
      </c>
      <c r="C209" s="150" t="str">
        <f>IF(ISNA(VLOOKUP(A209,Declarations!B$6:F$185,5,FALSE)),"",IF(VLOOKUP(A209,Declarations!B$6:F$185,5,FALSE)="","",VLOOKUP(A209,Declarations!B$6:F$185,5,FALSE)))</f>
        <v/>
      </c>
      <c r="D209" s="150" t="str">
        <f>IF(ISNA(VLOOKUP(A209,Declarations!B$6:F$185,4,FALSE)),"",IF(VLOOKUP(A209,Declarations!B$6:F$185,4,FALSE)="","",VLOOKUP(A209,Declarations!B$6:F$185,4,FALSE)))</f>
        <v/>
      </c>
      <c r="E209" s="150" t="str">
        <f>IF(ISNA(VLOOKUP(A209,Declarations!B$6:D$185,3,FALSE)),"",IF(VLOOKUP(A209,Declarations!B$6:D$185,3,FALSE)="","",VLOOKUP(A209,Declarations!B$6:D$185,3,FALSE)))</f>
        <v/>
      </c>
      <c r="F209" s="49" t="str">
        <f>IF(B209="","",IF(ISNA(VLOOKUP(A209,'75m'!F$5:G$302,2,FALSE)),"",VLOOKUP(A209,'75m'!F$5:G$302,2,FALSE)))</f>
        <v/>
      </c>
      <c r="G209" s="49">
        <f>IF(B209="",0,IF(ISNA(VLOOKUP(A209,'75m'!F$5:J$302,5,FALSE)),0,VLOOKUP(A209,'75m'!F$5:J$302,5,FALSE)))</f>
        <v>0</v>
      </c>
      <c r="H209" s="49" t="str">
        <f>IF(B209="","",IF(ISNA(VLOOKUP(A209,'75m'!F$5:K$302,6,FALSE)),"",VLOOKUP(A209,'75m'!F$5:K$302,6,FALSE)))</f>
        <v/>
      </c>
      <c r="I209" s="51">
        <f>IF(B209="",0,IF(ISNA(VLOOKUP(A209,'600m'!F$5:J$302,2,FALSE)),0,VLOOKUP(A209,'600m'!F$5:J$302,2,FALSE)))</f>
        <v>0</v>
      </c>
      <c r="J209" s="49">
        <f>IF(B209="",0,IF(ISNA(VLOOKUP(A209,'600m'!F$5:J$302,5,FALSE)),0,VLOOKUP(A209,'600m'!F$5:J$302,5,FALSE)))</f>
        <v>0</v>
      </c>
      <c r="K209" s="49" t="str">
        <f>IF(B209="","",IF(ISNA(VLOOKUP(A209,'600m'!F$5:K$302,6,FALSE)),"",VLOOKUP(A209,'600m'!F$5:K$302,6,FALSE)))</f>
        <v/>
      </c>
      <c r="L209" s="49" t="str">
        <f>IF(B209="","",IF(ISNA(VLOOKUP(A209,LongJump!F$5:G$302,2,FALSE)),"",VLOOKUP(A209,LongJump!F$5:G$302,2,FALSE)))</f>
        <v/>
      </c>
      <c r="M209" s="49">
        <f>IF(B209="",0,IF(ISNA(VLOOKUP(A209,LongJump!F$5:J$302,5,FALSE)),0,VLOOKUP(A209,LongJump!F$5:J$302,5,FALSE)))</f>
        <v>0</v>
      </c>
      <c r="N209" s="49">
        <f>IF(B209="",0,IF(ISNA(VLOOKUP(A209,LongJump!F$5:K$302,6,FALSE)),0,VLOOKUP(A209,LongJump!F$5:K$302,6,FALSE)))</f>
        <v>0</v>
      </c>
      <c r="O209" s="49" t="str">
        <f>IF(B209="","",IF(ISNA(VLOOKUP(A209,Vortex!F$5:J$302,2,FALSE)),"",VLOOKUP(A209,Vortex!F$5:J$302,2,FALSE)))</f>
        <v/>
      </c>
      <c r="P209" s="49">
        <f>IF(B209="",0,IF(ISNA(VLOOKUP(A209,Vortex!F$5:J$302,5,FALSE)),0,VLOOKUP(A209,Vortex!F$5:J$302,5,FALSE)))</f>
        <v>0</v>
      </c>
      <c r="Q209" s="49">
        <f t="shared" si="10"/>
        <v>0</v>
      </c>
      <c r="R209" s="49" t="str">
        <f t="shared" si="11"/>
        <v/>
      </c>
      <c r="S209" s="49" t="str">
        <f t="shared" si="12"/>
        <v/>
      </c>
      <c r="X209" s="9"/>
      <c r="Y209" s="9"/>
      <c r="AI209"/>
      <c r="AJ209"/>
    </row>
    <row r="210" spans="1:36" ht="13.95" customHeight="1">
      <c r="A210" s="49" t="str">
        <f>IF(Declarations!B183=0,"",Declarations!B183)</f>
        <v/>
      </c>
      <c r="B210" s="150" t="str">
        <f>IF(ISNA(VLOOKUP(A210,Declarations!B$6:C$185,2,FALSE)),"",IF(VLOOKUP(A210,Declarations!B$6:C$185,2,FALSE)="","",VLOOKUP(A210,Declarations!B$6:C$185,2,FALSE)))</f>
        <v/>
      </c>
      <c r="C210" s="150" t="str">
        <f>IF(ISNA(VLOOKUP(A210,Declarations!B$6:F$185,5,FALSE)),"",IF(VLOOKUP(A210,Declarations!B$6:F$185,5,FALSE)="","",VLOOKUP(A210,Declarations!B$6:F$185,5,FALSE)))</f>
        <v/>
      </c>
      <c r="D210" s="150" t="str">
        <f>IF(ISNA(VLOOKUP(A210,Declarations!B$6:F$185,4,FALSE)),"",IF(VLOOKUP(A210,Declarations!B$6:F$185,4,FALSE)="","",VLOOKUP(A210,Declarations!B$6:F$185,4,FALSE)))</f>
        <v/>
      </c>
      <c r="E210" s="150" t="str">
        <f>IF(ISNA(VLOOKUP(A210,Declarations!B$6:D$185,3,FALSE)),"",IF(VLOOKUP(A210,Declarations!B$6:D$185,3,FALSE)="","",VLOOKUP(A210,Declarations!B$6:D$185,3,FALSE)))</f>
        <v/>
      </c>
      <c r="F210" s="49" t="str">
        <f>IF(B210="","",IF(ISNA(VLOOKUP(A210,'75m'!F$5:G$302,2,FALSE)),"",VLOOKUP(A210,'75m'!F$5:G$302,2,FALSE)))</f>
        <v/>
      </c>
      <c r="G210" s="49">
        <f>IF(B210="",0,IF(ISNA(VLOOKUP(A210,'75m'!F$5:J$302,5,FALSE)),0,VLOOKUP(A210,'75m'!F$5:J$302,5,FALSE)))</f>
        <v>0</v>
      </c>
      <c r="H210" s="49" t="str">
        <f>IF(B210="","",IF(ISNA(VLOOKUP(A210,'75m'!F$5:K$302,6,FALSE)),"",VLOOKUP(A210,'75m'!F$5:K$302,6,FALSE)))</f>
        <v/>
      </c>
      <c r="I210" s="51">
        <f>IF(B210="",0,IF(ISNA(VLOOKUP(A210,'600m'!F$5:J$302,2,FALSE)),0,VLOOKUP(A210,'600m'!F$5:J$302,2,FALSE)))</f>
        <v>0</v>
      </c>
      <c r="J210" s="49">
        <f>IF(B210="",0,IF(ISNA(VLOOKUP(A210,'600m'!F$5:J$302,5,FALSE)),0,VLOOKUP(A210,'600m'!F$5:J$302,5,FALSE)))</f>
        <v>0</v>
      </c>
      <c r="K210" s="49" t="str">
        <f>IF(B210="","",IF(ISNA(VLOOKUP(A210,'600m'!F$5:K$302,6,FALSE)),"",VLOOKUP(A210,'600m'!F$5:K$302,6,FALSE)))</f>
        <v/>
      </c>
      <c r="L210" s="49" t="str">
        <f>IF(B210="","",IF(ISNA(VLOOKUP(A210,LongJump!F$5:G$302,2,FALSE)),"",VLOOKUP(A210,LongJump!F$5:G$302,2,FALSE)))</f>
        <v/>
      </c>
      <c r="M210" s="49">
        <f>IF(B210="",0,IF(ISNA(VLOOKUP(A210,LongJump!F$5:J$302,5,FALSE)),0,VLOOKUP(A210,LongJump!F$5:J$302,5,FALSE)))</f>
        <v>0</v>
      </c>
      <c r="N210" s="49">
        <f>IF(B210="",0,IF(ISNA(VLOOKUP(A210,LongJump!F$5:K$302,6,FALSE)),0,VLOOKUP(A210,LongJump!F$5:K$302,6,FALSE)))</f>
        <v>0</v>
      </c>
      <c r="O210" s="49" t="str">
        <f>IF(B210="","",IF(ISNA(VLOOKUP(A210,Vortex!F$5:J$302,2,FALSE)),"",VLOOKUP(A210,Vortex!F$5:J$302,2,FALSE)))</f>
        <v/>
      </c>
      <c r="P210" s="49">
        <f>IF(B210="",0,IF(ISNA(VLOOKUP(A210,Vortex!F$5:J$302,5,FALSE)),0,VLOOKUP(A210,Vortex!F$5:J$302,5,FALSE)))</f>
        <v>0</v>
      </c>
      <c r="Q210" s="49">
        <f t="shared" si="10"/>
        <v>0</v>
      </c>
      <c r="R210" s="49" t="str">
        <f t="shared" si="11"/>
        <v/>
      </c>
      <c r="S210" s="49" t="str">
        <f t="shared" si="12"/>
        <v/>
      </c>
      <c r="X210" s="9"/>
      <c r="Y210" s="9"/>
      <c r="AI210"/>
      <c r="AJ210"/>
    </row>
    <row r="211" spans="1:36" ht="13.95" customHeight="1">
      <c r="A211" s="49" t="str">
        <f>IF(Declarations!B184=0,"",Declarations!B184)</f>
        <v/>
      </c>
      <c r="B211" s="150" t="str">
        <f>IF(ISNA(VLOOKUP(A211,Declarations!B$6:C$185,2,FALSE)),"",IF(VLOOKUP(A211,Declarations!B$6:C$185,2,FALSE)="","",VLOOKUP(A211,Declarations!B$6:C$185,2,FALSE)))</f>
        <v/>
      </c>
      <c r="C211" s="150" t="str">
        <f>IF(ISNA(VLOOKUP(A211,Declarations!B$6:F$185,5,FALSE)),"",IF(VLOOKUP(A211,Declarations!B$6:F$185,5,FALSE)="","",VLOOKUP(A211,Declarations!B$6:F$185,5,FALSE)))</f>
        <v/>
      </c>
      <c r="D211" s="150" t="str">
        <f>IF(ISNA(VLOOKUP(A211,Declarations!B$6:F$185,4,FALSE)),"",IF(VLOOKUP(A211,Declarations!B$6:F$185,4,FALSE)="","",VLOOKUP(A211,Declarations!B$6:F$185,4,FALSE)))</f>
        <v/>
      </c>
      <c r="E211" s="150" t="str">
        <f>IF(ISNA(VLOOKUP(A211,Declarations!B$6:D$185,3,FALSE)),"",IF(VLOOKUP(A211,Declarations!B$6:D$185,3,FALSE)="","",VLOOKUP(A211,Declarations!B$6:D$185,3,FALSE)))</f>
        <v/>
      </c>
      <c r="F211" s="49" t="str">
        <f>IF(B211="","",IF(ISNA(VLOOKUP(A211,'75m'!F$5:G$302,2,FALSE)),"",VLOOKUP(A211,'75m'!F$5:G$302,2,FALSE)))</f>
        <v/>
      </c>
      <c r="G211" s="49">
        <f>IF(B211="",0,IF(ISNA(VLOOKUP(A211,'75m'!F$5:J$302,5,FALSE)),0,VLOOKUP(A211,'75m'!F$5:J$302,5,FALSE)))</f>
        <v>0</v>
      </c>
      <c r="H211" s="49" t="str">
        <f>IF(B211="","",IF(ISNA(VLOOKUP(A211,'75m'!F$5:K$302,6,FALSE)),"",VLOOKUP(A211,'75m'!F$5:K$302,6,FALSE)))</f>
        <v/>
      </c>
      <c r="I211" s="51">
        <f>IF(B211="",0,IF(ISNA(VLOOKUP(A211,'600m'!F$5:J$302,2,FALSE)),0,VLOOKUP(A211,'600m'!F$5:J$302,2,FALSE)))</f>
        <v>0</v>
      </c>
      <c r="J211" s="49">
        <f>IF(B211="",0,IF(ISNA(VLOOKUP(A211,'600m'!F$5:J$302,5,FALSE)),0,VLOOKUP(A211,'600m'!F$5:J$302,5,FALSE)))</f>
        <v>0</v>
      </c>
      <c r="K211" s="49" t="str">
        <f>IF(B211="","",IF(ISNA(VLOOKUP(A211,'600m'!F$5:K$302,6,FALSE)),"",VLOOKUP(A211,'600m'!F$5:K$302,6,FALSE)))</f>
        <v/>
      </c>
      <c r="L211" s="49" t="str">
        <f>IF(B211="","",IF(ISNA(VLOOKUP(A211,LongJump!F$5:G$302,2,FALSE)),"",VLOOKUP(A211,LongJump!F$5:G$302,2,FALSE)))</f>
        <v/>
      </c>
      <c r="M211" s="49">
        <f>IF(B211="",0,IF(ISNA(VLOOKUP(A211,LongJump!F$5:J$302,5,FALSE)),0,VLOOKUP(A211,LongJump!F$5:J$302,5,FALSE)))</f>
        <v>0</v>
      </c>
      <c r="N211" s="49">
        <f>IF(B211="",0,IF(ISNA(VLOOKUP(A211,LongJump!F$5:K$302,6,FALSE)),0,VLOOKUP(A211,LongJump!F$5:K$302,6,FALSE)))</f>
        <v>0</v>
      </c>
      <c r="O211" s="49" t="str">
        <f>IF(B211="","",IF(ISNA(VLOOKUP(A211,Vortex!F$5:J$302,2,FALSE)),"",VLOOKUP(A211,Vortex!F$5:J$302,2,FALSE)))</f>
        <v/>
      </c>
      <c r="P211" s="49">
        <f>IF(B211="",0,IF(ISNA(VLOOKUP(A211,Vortex!F$5:J$302,5,FALSE)),0,VLOOKUP(A211,Vortex!F$5:J$302,5,FALSE)))</f>
        <v>0</v>
      </c>
      <c r="Q211" s="49">
        <f t="shared" si="10"/>
        <v>0</v>
      </c>
      <c r="R211" s="49" t="str">
        <f t="shared" si="11"/>
        <v/>
      </c>
      <c r="S211" s="49" t="str">
        <f t="shared" si="12"/>
        <v/>
      </c>
      <c r="X211" s="9"/>
      <c r="Y211" s="9"/>
      <c r="AH211" s="90"/>
      <c r="AI211" s="16"/>
      <c r="AJ211"/>
    </row>
    <row r="212" spans="1:36" ht="13.95" customHeight="1">
      <c r="A212" s="49" t="str">
        <f>IF(Declarations!B185=0,"",Declarations!B185)</f>
        <v/>
      </c>
      <c r="B212" s="150" t="str">
        <f>IF(ISNA(VLOOKUP(A212,Declarations!B$6:C$185,2,FALSE)),"",IF(VLOOKUP(A212,Declarations!B$6:C$185,2,FALSE)="","",VLOOKUP(A212,Declarations!B$6:C$185,2,FALSE)))</f>
        <v/>
      </c>
      <c r="C212" s="150" t="str">
        <f>IF(ISNA(VLOOKUP(A212,Declarations!B$6:F$185,5,FALSE)),"",IF(VLOOKUP(A212,Declarations!B$6:F$185,5,FALSE)="","",VLOOKUP(A212,Declarations!B$6:F$185,5,FALSE)))</f>
        <v/>
      </c>
      <c r="D212" s="150" t="str">
        <f>IF(ISNA(VLOOKUP(A212,Declarations!B$6:F$185,4,FALSE)),"",IF(VLOOKUP(A212,Declarations!B$6:F$185,4,FALSE)="","",VLOOKUP(A212,Declarations!B$6:F$185,4,FALSE)))</f>
        <v/>
      </c>
      <c r="E212" s="150" t="str">
        <f>IF(ISNA(VLOOKUP(A212,Declarations!B$6:D$185,3,FALSE)),"",IF(VLOOKUP(A212,Declarations!B$6:D$185,3,FALSE)="","",VLOOKUP(A212,Declarations!B$6:D$185,3,FALSE)))</f>
        <v/>
      </c>
      <c r="F212" s="49" t="str">
        <f>IF(B212="","",IF(ISNA(VLOOKUP(A212,'75m'!F$5:G$302,2,FALSE)),"",VLOOKUP(A212,'75m'!F$5:G$302,2,FALSE)))</f>
        <v/>
      </c>
      <c r="G212" s="49">
        <f>IF(B212="",0,IF(ISNA(VLOOKUP(A212,'75m'!F$5:J$302,5,FALSE)),0,VLOOKUP(A212,'75m'!F$5:J$302,5,FALSE)))</f>
        <v>0</v>
      </c>
      <c r="H212" s="49" t="str">
        <f>IF(B212="","",IF(ISNA(VLOOKUP(A212,'75m'!F$5:K$302,6,FALSE)),"",VLOOKUP(A212,'75m'!F$5:K$302,6,FALSE)))</f>
        <v/>
      </c>
      <c r="I212" s="51">
        <f>IF(B212="",0,IF(ISNA(VLOOKUP(A212,'600m'!F$5:J$302,2,FALSE)),0,VLOOKUP(A212,'600m'!F$5:J$302,2,FALSE)))</f>
        <v>0</v>
      </c>
      <c r="J212" s="49">
        <f>IF(B212="",0,IF(ISNA(VLOOKUP(A212,'600m'!F$5:J$302,5,FALSE)),0,VLOOKUP(A212,'600m'!F$5:J$302,5,FALSE)))</f>
        <v>0</v>
      </c>
      <c r="K212" s="49" t="str">
        <f>IF(B212="","",IF(ISNA(VLOOKUP(A212,'600m'!F$5:K$302,6,FALSE)),"",VLOOKUP(A212,'600m'!F$5:K$302,6,FALSE)))</f>
        <v/>
      </c>
      <c r="L212" s="49" t="str">
        <f>IF(B212="","",IF(ISNA(VLOOKUP(A212,LongJump!F$5:G$302,2,FALSE)),"",VLOOKUP(A212,LongJump!F$5:G$302,2,FALSE)))</f>
        <v/>
      </c>
      <c r="M212" s="49">
        <f>IF(B212="",0,IF(ISNA(VLOOKUP(A212,LongJump!F$5:J$302,5,FALSE)),0,VLOOKUP(A212,LongJump!F$5:J$302,5,FALSE)))</f>
        <v>0</v>
      </c>
      <c r="N212" s="49">
        <f>IF(B212="",0,IF(ISNA(VLOOKUP(A212,LongJump!F$5:K$302,6,FALSE)),0,VLOOKUP(A212,LongJump!F$5:K$302,6,FALSE)))</f>
        <v>0</v>
      </c>
      <c r="O212" s="49" t="str">
        <f>IF(B212="","",IF(ISNA(VLOOKUP(A212,Vortex!F$5:J$302,2,FALSE)),"",VLOOKUP(A212,Vortex!F$5:J$302,2,FALSE)))</f>
        <v/>
      </c>
      <c r="P212" s="49">
        <f>IF(B212="",0,IF(ISNA(VLOOKUP(A212,Vortex!F$5:J$302,5,FALSE)),0,VLOOKUP(A212,Vortex!F$5:J$302,5,FALSE)))</f>
        <v>0</v>
      </c>
      <c r="Q212" s="49">
        <f t="shared" si="10"/>
        <v>0</v>
      </c>
      <c r="R212" s="49" t="str">
        <f t="shared" si="11"/>
        <v/>
      </c>
      <c r="S212" s="49" t="str">
        <f t="shared" si="12"/>
        <v/>
      </c>
      <c r="X212" s="9"/>
      <c r="Y212" s="9"/>
      <c r="AI212"/>
      <c r="AJ212"/>
    </row>
    <row r="213" spans="1:36">
      <c r="V213" s="161"/>
    </row>
    <row r="214" spans="1:36">
      <c r="A214" s="124" t="str">
        <f>'Read Me First'!C11</f>
        <v>Camberley &amp; District AC</v>
      </c>
      <c r="B214" s="124" t="s">
        <v>134</v>
      </c>
      <c r="C214" s="124" t="s">
        <v>116</v>
      </c>
      <c r="D214" s="50" cm="1">
        <f t="array" ref="D214">IF(IFERROR(ROWS(_xlfn._xlws.FILTER($A$33:$A$212,($C$33:$C$212=A214)*($D$33:$D$212=B214)*($E$33:$E$212=C214))),0)=0, 0,SUM(LARGE(_xlfn._xlws.FILTER($Q$33:$Q$212,($C$33:$C$212=A214)*($D$33:$D$212=B214)*($E$33:$E$212=C214)),_xlfn.SEQUENCE(IF(IFERROR(ROWS(_xlfn._xlws.FILTER($A$33:$A$212,($C$33:$C$212=A214)*($D$33:$D$212=B214)*($E$33:$E$212=C214))),0)&gt;3, 4, IFERROR(ROWS(_xlfn._xlws.FILTER($A$33:$A$212,($C$33:$C$212=A214)*($D$33:$D$212=B214)*($E$33:$E$212=C214))),0))))))</f>
        <v>830</v>
      </c>
      <c r="E214" s="49">
        <f t="shared" ref="E214:E221" si="13">IF(D214=0,"",RANK(D214,D$214:D$221))</f>
        <v>3</v>
      </c>
      <c r="F214" s="49">
        <f t="shared" ref="F214:F221" si="14">IF(E214="", 0, 9-E214)</f>
        <v>6</v>
      </c>
      <c r="G214" s="124" t="str">
        <f>'Read Me First'!C11</f>
        <v>Camberley &amp; District AC</v>
      </c>
      <c r="H214" s="124" t="s">
        <v>133</v>
      </c>
      <c r="I214" s="124" t="s">
        <v>116</v>
      </c>
      <c r="J214" s="50" cm="1">
        <f t="array" ref="J214">IF(IFERROR(ROWS(_xlfn._xlws.FILTER($A$33:$A$212,($C$33:$C$212=G214)*($D$33:$D$212=H214)*($E$33:$E$212=I214))),0)=0, 0,SUM(LARGE(_xlfn._xlws.FILTER($Q$33:$Q$212,($C$33:$C$212=G214)*($D$33:$D$212=H214)*($E$33:$E$212=I214)),_xlfn.SEQUENCE(IF(IFERROR(ROWS(_xlfn._xlws.FILTER($A$33:$A$212,($C$33:$C$212=G214)*($D$33:$D$212=H214)*($E$33:$E$212=I214))),0)&gt;3, 4, IFERROR(ROWS(_xlfn._xlws.FILTER($A$33:$A$212,($C$33:$C$212=G214)*($D$33:$D$212=H214)*($E$33:$E$212=I214))),0))))))</f>
        <v>853</v>
      </c>
      <c r="K214" s="49">
        <f t="shared" ref="K214:K221" si="15">IF(J214=0,"",RANK(J214,J$214:J$221))</f>
        <v>5</v>
      </c>
      <c r="L214" s="49">
        <f>IF(K214="", 0, 9-K214)</f>
        <v>4</v>
      </c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Z214"/>
      <c r="AA214"/>
      <c r="AB214"/>
      <c r="AC214"/>
      <c r="AD214"/>
      <c r="AE214"/>
      <c r="AF214"/>
      <c r="AG214"/>
      <c r="AH214"/>
      <c r="AI214"/>
      <c r="AJ214"/>
    </row>
    <row r="215" spans="1:36">
      <c r="A215" s="124" t="str">
        <f>'Read Me First'!C12</f>
        <v>Woking AC</v>
      </c>
      <c r="B215" s="124" t="s">
        <v>134</v>
      </c>
      <c r="C215" s="124" t="s">
        <v>116</v>
      </c>
      <c r="D215" s="50" cm="1">
        <f t="array" ref="D215">IF(IFERROR(ROWS(_xlfn._xlws.FILTER($A$33:$A$212,($C$33:$C$212=A215)*($D$33:$D$212=B215)*($E$33:$E$212=C215))),0)=0, 0,SUM(LARGE(_xlfn._xlws.FILTER($Q$33:$Q$212,($C$33:$C$212=A215)*($D$33:$D$212=B215)*($E$33:$E$212=C215)),_xlfn.SEQUENCE(IF(IFERROR(ROWS(_xlfn._xlws.FILTER($A$33:$A$212,($C$33:$C$212=A215)*($D$33:$D$212=B215)*($E$33:$E$212=C215))),0)&gt;3, 4, IFERROR(ROWS(_xlfn._xlws.FILTER($A$33:$A$212,($C$33:$C$212=A215)*($D$33:$D$212=B215)*($E$33:$E$212=C215))),0))))))</f>
        <v>783</v>
      </c>
      <c r="E215" s="49">
        <f t="shared" si="13"/>
        <v>4</v>
      </c>
      <c r="F215" s="49">
        <f t="shared" si="14"/>
        <v>5</v>
      </c>
      <c r="G215" s="124" t="str">
        <f>'Read Me First'!C12</f>
        <v>Woking AC</v>
      </c>
      <c r="H215" s="124" t="s">
        <v>133</v>
      </c>
      <c r="I215" s="124" t="s">
        <v>116</v>
      </c>
      <c r="J215" s="50" cm="1">
        <f t="array" ref="J215">IF(IFERROR(ROWS(_xlfn._xlws.FILTER($A$33:$A$212,($C$33:$C$212=G215)*($D$33:$D$212=H215)*($E$33:$E$212=I215))),0)=0, 0,SUM(LARGE(_xlfn._xlws.FILTER($Q$33:$Q$212,($C$33:$C$212=G215)*($D$33:$D$212=H215)*($E$33:$E$212=I215)),_xlfn.SEQUENCE(IF(IFERROR(ROWS(_xlfn._xlws.FILTER($A$33:$A$212,($C$33:$C$212=G215)*($D$33:$D$212=H215)*($E$33:$E$212=I215))),0)&gt;3, 4, IFERROR(ROWS(_xlfn._xlws.FILTER($A$33:$A$212,($C$33:$C$212=G215)*($D$33:$D$212=H215)*($E$33:$E$212=I215))),0))))))</f>
        <v>1036</v>
      </c>
      <c r="K215" s="49">
        <f t="shared" si="15"/>
        <v>1</v>
      </c>
      <c r="L215" s="49">
        <f t="shared" ref="L215:L221" si="16">IF(K215="", 0, 9-K215)</f>
        <v>8</v>
      </c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Z215"/>
      <c r="AA215"/>
      <c r="AB215"/>
      <c r="AC215"/>
      <c r="AD215"/>
      <c r="AE215"/>
      <c r="AF215"/>
      <c r="AG215"/>
      <c r="AH215"/>
      <c r="AI215"/>
      <c r="AJ215"/>
    </row>
    <row r="216" spans="1:36">
      <c r="A216" s="124" t="str">
        <f>'Read Me First'!C13</f>
        <v>Poole Runners</v>
      </c>
      <c r="B216" s="124" t="s">
        <v>134</v>
      </c>
      <c r="C216" s="124" t="s">
        <v>116</v>
      </c>
      <c r="D216" s="50" cm="1">
        <f t="array" ref="D216">IF(IFERROR(ROWS(_xlfn._xlws.FILTER($A$33:$A$212,($C$33:$C$212=A216)*($D$33:$D$212=B216)*($E$33:$E$212=C216))),0)=0, 0,SUM(LARGE(_xlfn._xlws.FILTER($Q$33:$Q$212,($C$33:$C$212=A216)*($D$33:$D$212=B216)*($E$33:$E$212=C216)),_xlfn.SEQUENCE(IF(IFERROR(ROWS(_xlfn._xlws.FILTER($A$33:$A$212,($C$33:$C$212=A216)*($D$33:$D$212=B216)*($E$33:$E$212=C216))),0)&gt;3, 4, IFERROR(ROWS(_xlfn._xlws.FILTER($A$33:$A$212,($C$33:$C$212=A216)*($D$33:$D$212=B216)*($E$33:$E$212=C216))),0))))))</f>
        <v>738</v>
      </c>
      <c r="E216" s="49">
        <f t="shared" si="13"/>
        <v>5</v>
      </c>
      <c r="F216" s="49">
        <f t="shared" si="14"/>
        <v>4</v>
      </c>
      <c r="G216" s="124" t="str">
        <f>'Read Me First'!C13</f>
        <v>Poole Runners</v>
      </c>
      <c r="H216" s="124" t="s">
        <v>133</v>
      </c>
      <c r="I216" s="124" t="s">
        <v>116</v>
      </c>
      <c r="J216" s="50" cm="1">
        <f t="array" ref="J216">IF(IFERROR(ROWS(_xlfn._xlws.FILTER($A$33:$A$212,($C$33:$C$212=G216)*($D$33:$D$212=H216)*($E$33:$E$212=I216))),0)=0, 0,SUM(LARGE(_xlfn._xlws.FILTER($Q$33:$Q$212,($C$33:$C$212=G216)*($D$33:$D$212=H216)*($E$33:$E$212=I216)),_xlfn.SEQUENCE(IF(IFERROR(ROWS(_xlfn._xlws.FILTER($A$33:$A$212,($C$33:$C$212=G216)*($D$33:$D$212=H216)*($E$33:$E$212=I216))),0)&gt;3, 4, IFERROR(ROWS(_xlfn._xlws.FILTER($A$33:$A$212,($C$33:$C$212=G216)*($D$33:$D$212=H216)*($E$33:$E$212=I216))),0))))))</f>
        <v>855</v>
      </c>
      <c r="K216" s="49">
        <f t="shared" si="15"/>
        <v>4</v>
      </c>
      <c r="L216" s="49">
        <f t="shared" si="16"/>
        <v>5</v>
      </c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Z216"/>
      <c r="AA216"/>
      <c r="AB216"/>
      <c r="AC216"/>
      <c r="AD216"/>
      <c r="AE216"/>
      <c r="AF216"/>
      <c r="AG216"/>
      <c r="AH216"/>
      <c r="AI216"/>
      <c r="AJ216"/>
    </row>
    <row r="217" spans="1:36">
      <c r="A217" s="124" t="str">
        <f>'Read Me First'!C14</f>
        <v>Fleet &amp; Crookham AC</v>
      </c>
      <c r="B217" s="124" t="s">
        <v>134</v>
      </c>
      <c r="C217" s="124" t="s">
        <v>116</v>
      </c>
      <c r="D217" s="50" cm="1">
        <f t="array" ref="D217">IF(IFERROR(ROWS(_xlfn._xlws.FILTER($A$33:$A$212,($C$33:$C$212=A217)*($D$33:$D$212=B217)*($E$33:$E$212=C217))),0)=0, 0,SUM(LARGE(_xlfn._xlws.FILTER($Q$33:$Q$212,($C$33:$C$212=A217)*($D$33:$D$212=B217)*($E$33:$E$212=C217)),_xlfn.SEQUENCE(IF(IFERROR(ROWS(_xlfn._xlws.FILTER($A$33:$A$212,($C$33:$C$212=A217)*($D$33:$D$212=B217)*($E$33:$E$212=C217))),0)&gt;3, 4, IFERROR(ROWS(_xlfn._xlws.FILTER($A$33:$A$212,($C$33:$C$212=A217)*($D$33:$D$212=B217)*($E$33:$E$212=C217))),0))))))</f>
        <v>839</v>
      </c>
      <c r="E217" s="49">
        <f t="shared" si="13"/>
        <v>1</v>
      </c>
      <c r="F217" s="49">
        <f t="shared" si="14"/>
        <v>8</v>
      </c>
      <c r="G217" s="124" t="str">
        <f>'Read Me First'!C14</f>
        <v>Fleet &amp; Crookham AC</v>
      </c>
      <c r="H217" s="124" t="s">
        <v>133</v>
      </c>
      <c r="I217" s="124" t="s">
        <v>116</v>
      </c>
      <c r="J217" s="50" cm="1">
        <f t="array" ref="J217">IF(IFERROR(ROWS(_xlfn._xlws.FILTER($A$33:$A$212,($C$33:$C$212=G217)*($D$33:$D$212=H217)*($E$33:$E$212=I217))),0)=0, 0,SUM(LARGE(_xlfn._xlws.FILTER($Q$33:$Q$212,($C$33:$C$212=G217)*($D$33:$D$212=H217)*($E$33:$E$212=I217)),_xlfn.SEQUENCE(IF(IFERROR(ROWS(_xlfn._xlws.FILTER($A$33:$A$212,($C$33:$C$212=G217)*($D$33:$D$212=H217)*($E$33:$E$212=I217))),0)&gt;3, 4, IFERROR(ROWS(_xlfn._xlws.FILTER($A$33:$A$212,($C$33:$C$212=G217)*($D$33:$D$212=H217)*($E$33:$E$212=I217))),0))))))</f>
        <v>892</v>
      </c>
      <c r="K217" s="49">
        <f t="shared" si="15"/>
        <v>3</v>
      </c>
      <c r="L217" s="49">
        <f t="shared" si="16"/>
        <v>6</v>
      </c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Z217"/>
      <c r="AA217"/>
      <c r="AB217"/>
      <c r="AC217"/>
      <c r="AD217"/>
      <c r="AE217"/>
      <c r="AF217"/>
      <c r="AG217"/>
      <c r="AH217"/>
      <c r="AI217"/>
      <c r="AJ217"/>
    </row>
    <row r="218" spans="1:36">
      <c r="A218" s="124" t="str">
        <f>'Read Me First'!C15</f>
        <v>Waverley Athletics Club</v>
      </c>
      <c r="B218" s="124" t="s">
        <v>134</v>
      </c>
      <c r="C218" s="124" t="s">
        <v>116</v>
      </c>
      <c r="D218" s="50" cm="1">
        <f t="array" ref="D218">IF(IFERROR(ROWS(_xlfn._xlws.FILTER($A$33:$A$212,($C$33:$C$212=A218)*($D$33:$D$212=B218)*($E$33:$E$212=C218))),0)=0, 0,SUM(LARGE(_xlfn._xlws.FILTER($Q$33:$Q$212,($C$33:$C$212=A218)*($D$33:$D$212=B218)*($E$33:$E$212=C218)),_xlfn.SEQUENCE(IF(IFERROR(ROWS(_xlfn._xlws.FILTER($A$33:$A$212,($C$33:$C$212=A218)*($D$33:$D$212=B218)*($E$33:$E$212=C218))),0)&gt;3, 4, IFERROR(ROWS(_xlfn._xlws.FILTER($A$33:$A$212,($C$33:$C$212=A218)*($D$33:$D$212=B218)*($E$33:$E$212=C218))),0))))))</f>
        <v>834</v>
      </c>
      <c r="E218" s="49">
        <f t="shared" si="13"/>
        <v>2</v>
      </c>
      <c r="F218" s="49">
        <f t="shared" si="14"/>
        <v>7</v>
      </c>
      <c r="G218" s="124" t="str">
        <f>'Read Me First'!C15</f>
        <v>Waverley Athletics Club</v>
      </c>
      <c r="H218" s="124" t="s">
        <v>133</v>
      </c>
      <c r="I218" s="124" t="s">
        <v>116</v>
      </c>
      <c r="J218" s="50" cm="1">
        <f t="array" ref="J218">IF(IFERROR(ROWS(_xlfn._xlws.FILTER($A$33:$A$212,($C$33:$C$212=G218)*($D$33:$D$212=H218)*($E$33:$E$212=I218))),0)=0, 0,SUM(LARGE(_xlfn._xlws.FILTER($Q$33:$Q$212,($C$33:$C$212=G218)*($D$33:$D$212=H218)*($E$33:$E$212=I218)),_xlfn.SEQUENCE(IF(IFERROR(ROWS(_xlfn._xlws.FILTER($A$33:$A$212,($C$33:$C$212=G218)*($D$33:$D$212=H218)*($E$33:$E$212=I218))),0)&gt;3, 4, IFERROR(ROWS(_xlfn._xlws.FILTER($A$33:$A$212,($C$33:$C$212=G218)*($D$33:$D$212=H218)*($E$33:$E$212=I218))),0))))))</f>
        <v>617</v>
      </c>
      <c r="K218" s="49">
        <f t="shared" si="15"/>
        <v>6</v>
      </c>
      <c r="L218" s="49">
        <f t="shared" si="16"/>
        <v>3</v>
      </c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Z218"/>
      <c r="AA218"/>
      <c r="AB218"/>
      <c r="AC218"/>
      <c r="AD218"/>
      <c r="AE218"/>
      <c r="AF218"/>
      <c r="AG218"/>
      <c r="AH218"/>
      <c r="AI218"/>
      <c r="AJ218"/>
    </row>
    <row r="219" spans="1:36">
      <c r="A219" s="124" t="str">
        <f>'Read Me First'!C16</f>
        <v>Basingstoke &amp; Mid Hants AC</v>
      </c>
      <c r="B219" s="124" t="s">
        <v>134</v>
      </c>
      <c r="C219" s="124" t="s">
        <v>116</v>
      </c>
      <c r="D219" s="50" cm="1">
        <f t="array" ref="D219">IF(IFERROR(ROWS(_xlfn._xlws.FILTER($A$33:$A$212,($C$33:$C$212=A219)*($D$33:$D$212=B219)*($E$33:$E$212=C219))),0)=0, 0,SUM(LARGE(_xlfn._xlws.FILTER($Q$33:$Q$212,($C$33:$C$212=A219)*($D$33:$D$212=B219)*($E$33:$E$212=C219)),_xlfn.SEQUENCE(IF(IFERROR(ROWS(_xlfn._xlws.FILTER($A$33:$A$212,($C$33:$C$212=A219)*($D$33:$D$212=B219)*($E$33:$E$212=C219))),0)&gt;3, 4, IFERROR(ROWS(_xlfn._xlws.FILTER($A$33:$A$212,($C$33:$C$212=A219)*($D$33:$D$212=B219)*($E$33:$E$212=C219))),0))))))</f>
        <v>654</v>
      </c>
      <c r="E219" s="49">
        <f t="shared" si="13"/>
        <v>6</v>
      </c>
      <c r="F219" s="49">
        <f t="shared" si="14"/>
        <v>3</v>
      </c>
      <c r="G219" s="124" t="str">
        <f>'Read Me First'!C16</f>
        <v>Basingstoke &amp; Mid Hants AC</v>
      </c>
      <c r="H219" s="124" t="s">
        <v>133</v>
      </c>
      <c r="I219" s="124" t="s">
        <v>116</v>
      </c>
      <c r="J219" s="50" cm="1">
        <f t="array" ref="J219">IF(IFERROR(ROWS(_xlfn._xlws.FILTER($A$33:$A$212,($C$33:$C$212=G219)*($D$33:$D$212=H219)*($E$33:$E$212=I219))),0)=0, 0,SUM(LARGE(_xlfn._xlws.FILTER($Q$33:$Q$212,($C$33:$C$212=G219)*($D$33:$D$212=H219)*($E$33:$E$212=I219)),_xlfn.SEQUENCE(IF(IFERROR(ROWS(_xlfn._xlws.FILTER($A$33:$A$212,($C$33:$C$212=G219)*($D$33:$D$212=H219)*($E$33:$E$212=I219))),0)&gt;3, 4, IFERROR(ROWS(_xlfn._xlws.FILTER($A$33:$A$212,($C$33:$C$212=G219)*($D$33:$D$212=H219)*($E$33:$E$212=I219))),0))))))</f>
        <v>946</v>
      </c>
      <c r="K219" s="49">
        <f t="shared" si="15"/>
        <v>2</v>
      </c>
      <c r="L219" s="49">
        <f t="shared" si="16"/>
        <v>7</v>
      </c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Z219"/>
      <c r="AA219"/>
      <c r="AB219"/>
      <c r="AC219"/>
      <c r="AD219"/>
      <c r="AE219"/>
      <c r="AF219"/>
      <c r="AG219"/>
      <c r="AH219"/>
      <c r="AI219"/>
      <c r="AJ219"/>
    </row>
    <row r="220" spans="1:36">
      <c r="A220" s="124" t="str">
        <f>'Read Me First'!C17</f>
        <v/>
      </c>
      <c r="B220" s="124" t="s">
        <v>134</v>
      </c>
      <c r="C220" s="124" t="s">
        <v>116</v>
      </c>
      <c r="D220" s="50" cm="1">
        <f t="array" ref="D220">IF(IFERROR(ROWS(_xlfn._xlws.FILTER($A$33:$A$212,($C$33:$C$212=A220)*($D$33:$D$212=B220)*($E$33:$E$212=C220))),0)=0, 0,SUM(LARGE(_xlfn._xlws.FILTER($Q$33:$Q$212,($C$33:$C$212=A220)*($D$33:$D$212=B220)*($E$33:$E$212=C220)),_xlfn.SEQUENCE(IF(IFERROR(ROWS(_xlfn._xlws.FILTER($A$33:$A$212,($C$33:$C$212=A220)*($D$33:$D$212=B220)*($E$33:$E$212=C220))),0)&gt;3, 4, IFERROR(ROWS(_xlfn._xlws.FILTER($A$33:$A$212,($C$33:$C$212=A220)*($D$33:$D$212=B220)*($E$33:$E$212=C220))),0))))))</f>
        <v>0</v>
      </c>
      <c r="E220" s="49" t="str">
        <f t="shared" si="13"/>
        <v/>
      </c>
      <c r="F220" s="49">
        <f t="shared" si="14"/>
        <v>0</v>
      </c>
      <c r="G220" s="124" t="str">
        <f>'Read Me First'!C17</f>
        <v/>
      </c>
      <c r="H220" s="124" t="s">
        <v>133</v>
      </c>
      <c r="I220" s="124" t="s">
        <v>116</v>
      </c>
      <c r="J220" s="50" cm="1">
        <f t="array" ref="J220">IF(IFERROR(ROWS(_xlfn._xlws.FILTER($A$33:$A$212,($C$33:$C$212=G220)*($D$33:$D$212=H220)*($E$33:$E$212=I220))),0)=0, 0,SUM(LARGE(_xlfn._xlws.FILTER($Q$33:$Q$212,($C$33:$C$212=G220)*($D$33:$D$212=H220)*($E$33:$E$212=I220)),_xlfn.SEQUENCE(IF(IFERROR(ROWS(_xlfn._xlws.FILTER($A$33:$A$212,($C$33:$C$212=G220)*($D$33:$D$212=H220)*($E$33:$E$212=I220))),0)&gt;3, 4, IFERROR(ROWS(_xlfn._xlws.FILTER($A$33:$A$212,($C$33:$C$212=G220)*($D$33:$D$212=H220)*($E$33:$E$212=I220))),0))))))</f>
        <v>0</v>
      </c>
      <c r="K220" s="49" t="str">
        <f t="shared" si="15"/>
        <v/>
      </c>
      <c r="L220" s="49">
        <f t="shared" si="16"/>
        <v>0</v>
      </c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Z220"/>
      <c r="AA220"/>
      <c r="AB220"/>
      <c r="AC220"/>
      <c r="AD220"/>
      <c r="AE220"/>
      <c r="AF220"/>
      <c r="AG220"/>
      <c r="AH220"/>
      <c r="AI220"/>
      <c r="AJ220"/>
    </row>
    <row r="221" spans="1:36">
      <c r="A221" s="124" t="str">
        <f>'Read Me First'!C18</f>
        <v/>
      </c>
      <c r="B221" s="124" t="s">
        <v>134</v>
      </c>
      <c r="C221" s="124" t="s">
        <v>116</v>
      </c>
      <c r="D221" s="50" cm="1">
        <f t="array" ref="D221">IF(IFERROR(ROWS(_xlfn._xlws.FILTER($A$33:$A$212,($C$33:$C$212=A221)*($D$33:$D$212=B221)*($E$33:$E$212=C221))),0)=0, 0,SUM(LARGE(_xlfn._xlws.FILTER($Q$33:$Q$212,($C$33:$C$212=A221)*($D$33:$D$212=B221)*($E$33:$E$212=C221)),_xlfn.SEQUENCE(IF(IFERROR(ROWS(_xlfn._xlws.FILTER($A$33:$A$212,($C$33:$C$212=A221)*($D$33:$D$212=B221)*($E$33:$E$212=C221))),0)&gt;3, 4, IFERROR(ROWS(_xlfn._xlws.FILTER($A$33:$A$212,($C$33:$C$212=A221)*($D$33:$D$212=B221)*($E$33:$E$212=C221))),0))))))</f>
        <v>0</v>
      </c>
      <c r="E221" s="49" t="str">
        <f t="shared" si="13"/>
        <v/>
      </c>
      <c r="F221" s="49">
        <f t="shared" si="14"/>
        <v>0</v>
      </c>
      <c r="G221" s="124" t="str">
        <f>'Read Me First'!C18</f>
        <v/>
      </c>
      <c r="H221" s="124" t="s">
        <v>133</v>
      </c>
      <c r="I221" s="124" t="s">
        <v>116</v>
      </c>
      <c r="J221" s="50" cm="1">
        <f t="array" ref="J221">IF(IFERROR(ROWS(_xlfn._xlws.FILTER($A$33:$A$212,($C$33:$C$212=G221)*($D$33:$D$212=H221)*($E$33:$E$212=I221))),0)=0, 0,SUM(LARGE(_xlfn._xlws.FILTER($Q$33:$Q$212,($C$33:$C$212=G221)*($D$33:$D$212=H221)*($E$33:$E$212=I221)),_xlfn.SEQUENCE(IF(IFERROR(ROWS(_xlfn._xlws.FILTER($A$33:$A$212,($C$33:$C$212=G221)*($D$33:$D$212=H221)*($E$33:$E$212=I221))),0)&gt;3, 4, IFERROR(ROWS(_xlfn._xlws.FILTER($A$33:$A$212,($C$33:$C$212=G221)*($D$33:$D$212=H221)*($E$33:$E$212=I221))),0))))))</f>
        <v>0</v>
      </c>
      <c r="K221" s="49" t="str">
        <f t="shared" si="15"/>
        <v/>
      </c>
      <c r="L221" s="49">
        <f t="shared" si="16"/>
        <v>0</v>
      </c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Z221"/>
      <c r="AA221"/>
      <c r="AB221"/>
      <c r="AC221"/>
      <c r="AD221"/>
      <c r="AE221"/>
      <c r="AF221"/>
      <c r="AG221"/>
      <c r="AH221"/>
      <c r="AI221"/>
      <c r="AJ221"/>
    </row>
    <row r="222" spans="1:36">
      <c r="A222" s="124" t="str">
        <f>'Read Me First'!C19</f>
        <v/>
      </c>
      <c r="B222" s="124" t="s">
        <v>134</v>
      </c>
      <c r="C222" s="124" t="s">
        <v>116</v>
      </c>
      <c r="D222" s="50" cm="1">
        <f t="array" ref="D222">IF(IFERROR(ROWS(_xlfn._xlws.FILTER($A$33:$A$212,($C$33:$C$212=A222)*($D$33:$D$212=B222)*($E$33:$E$212=C222))),0)=0, 0,SUM(LARGE(_xlfn._xlws.FILTER($Q$33:$Q$212,($C$33:$C$212=A222)*($D$33:$D$212=B222)*($E$33:$E$212=C222)),_xlfn.SEQUENCE(IF(IFERROR(ROWS(_xlfn._xlws.FILTER($A$33:$A$212,($C$33:$C$212=A222)*($D$33:$D$212=B222)*($E$33:$E$212=C222))),0)&gt;3, 4, IFERROR(ROWS(_xlfn._xlws.FILTER($A$33:$A$212,($C$33:$C$212=A222)*($D$33:$D$212=B222)*($E$33:$E$212=C222))),0))))))</f>
        <v>0</v>
      </c>
      <c r="E222" s="151" t="s">
        <v>103</v>
      </c>
      <c r="F222" s="151" t="s">
        <v>103</v>
      </c>
      <c r="G222" s="124" t="str">
        <f>'Read Me First'!C19</f>
        <v/>
      </c>
      <c r="H222" s="124" t="s">
        <v>133</v>
      </c>
      <c r="I222" s="124" t="s">
        <v>116</v>
      </c>
      <c r="J222" s="50" cm="1">
        <f t="array" ref="J222">IF(IFERROR(ROWS(_xlfn._xlws.FILTER($A$33:$A$212,($C$33:$C$212=G222)*($D$33:$D$212=H222)*($E$33:$E$212=I222))),0)=0, 0,SUM(LARGE(_xlfn._xlws.FILTER($Q$33:$Q$212,($C$33:$C$212=G222)*($D$33:$D$212=H222)*($E$33:$E$212=I222)),_xlfn.SEQUENCE(IF(IFERROR(ROWS(_xlfn._xlws.FILTER($A$33:$A$212,($C$33:$C$212=G222)*($D$33:$D$212=H222)*($E$33:$E$212=I222))),0)&gt;3, 4, IFERROR(ROWS(_xlfn._xlws.FILTER($A$33:$A$212,($C$33:$C$212=G222)*($D$33:$D$212=H222)*($E$33:$E$212=I222))),0))))))</f>
        <v>0</v>
      </c>
      <c r="K222" s="151" t="s">
        <v>103</v>
      </c>
      <c r="L222" s="151" t="s">
        <v>103</v>
      </c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Z222"/>
      <c r="AA222"/>
      <c r="AB222"/>
      <c r="AC222"/>
      <c r="AD222"/>
      <c r="AE222"/>
      <c r="AF222"/>
      <c r="AG222"/>
      <c r="AH222"/>
      <c r="AI222"/>
      <c r="AJ222"/>
    </row>
    <row r="224" spans="1:36">
      <c r="A224" s="152" t="str" cm="1">
        <f t="array" ref="A224:D229">IFERROR(_xlfn._xlws.SORT(_xlfn._xlws.FILTER(CHOOSE({1,2,3,4},$A$214:$A$221,$D$214:$D$221,$E$214:$E$221,$F$214:$F$221),$D$214:$D$221&lt;&gt;0),3),"")</f>
        <v>Fleet &amp; Crookham AC</v>
      </c>
      <c r="B224" s="152">
        <v>839</v>
      </c>
      <c r="C224" s="152">
        <v>1</v>
      </c>
      <c r="D224" s="152">
        <v>8</v>
      </c>
      <c r="E224" s="152"/>
      <c r="F224" s="152" t="str" cm="1">
        <f t="array" ref="F224:I229">IFERROR(_xlfn._xlws.SORT(_xlfn._xlws.FILTER(CHOOSE({1,2,3,4},$G$214:$G$221,$J$214:$J$221,$K$214:$K$221,$L$214:$L$221),$J$214:$J$221&lt;&gt;0),3),"")</f>
        <v>Woking AC</v>
      </c>
      <c r="G224" s="152">
        <v>1036</v>
      </c>
      <c r="H224" s="152">
        <v>1</v>
      </c>
      <c r="I224" s="152">
        <v>8</v>
      </c>
      <c r="J224" s="152"/>
      <c r="K224" s="152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Z224"/>
      <c r="AA224"/>
      <c r="AB224"/>
      <c r="AC224"/>
      <c r="AD224"/>
      <c r="AE224"/>
      <c r="AF224"/>
      <c r="AG224"/>
      <c r="AH224"/>
      <c r="AI224"/>
      <c r="AJ224"/>
    </row>
    <row r="225" spans="1:36">
      <c r="A225" s="152" t="str">
        <v>Waverley Athletics Club</v>
      </c>
      <c r="B225" s="152">
        <v>834</v>
      </c>
      <c r="C225" s="152">
        <v>2</v>
      </c>
      <c r="D225" s="152">
        <v>7</v>
      </c>
      <c r="E225" s="152"/>
      <c r="F225" s="152" t="str">
        <v>Basingstoke &amp; Mid Hants AC</v>
      </c>
      <c r="G225" s="152">
        <v>946</v>
      </c>
      <c r="H225" s="152">
        <v>2</v>
      </c>
      <c r="I225" s="152">
        <v>7</v>
      </c>
      <c r="J225" s="152"/>
      <c r="K225" s="152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Z225"/>
      <c r="AA225"/>
      <c r="AB225"/>
      <c r="AC225"/>
      <c r="AD225"/>
      <c r="AE225"/>
      <c r="AF225"/>
      <c r="AG225"/>
      <c r="AH225"/>
      <c r="AI225"/>
      <c r="AJ225"/>
    </row>
    <row r="226" spans="1:36">
      <c r="A226" s="152" t="str">
        <v>Camberley &amp; District AC</v>
      </c>
      <c r="B226" s="152">
        <v>830</v>
      </c>
      <c r="C226" s="152">
        <v>3</v>
      </c>
      <c r="D226" s="152">
        <v>6</v>
      </c>
      <c r="E226" s="152"/>
      <c r="F226" s="152" t="str">
        <v>Fleet &amp; Crookham AC</v>
      </c>
      <c r="G226" s="152">
        <v>892</v>
      </c>
      <c r="H226" s="152">
        <v>3</v>
      </c>
      <c r="I226" s="152">
        <v>6</v>
      </c>
      <c r="J226" s="152"/>
      <c r="K226" s="152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Z226"/>
      <c r="AA226"/>
      <c r="AB226"/>
      <c r="AC226"/>
      <c r="AD226"/>
      <c r="AE226"/>
      <c r="AF226"/>
      <c r="AG226"/>
      <c r="AH226"/>
      <c r="AI226"/>
      <c r="AJ226"/>
    </row>
    <row r="227" spans="1:36">
      <c r="A227" s="152" t="str">
        <v>Woking AC</v>
      </c>
      <c r="B227" s="152">
        <v>783</v>
      </c>
      <c r="C227" s="152">
        <v>4</v>
      </c>
      <c r="D227" s="152">
        <v>5</v>
      </c>
      <c r="E227" s="152"/>
      <c r="F227" s="152" t="str">
        <v>Poole Runners</v>
      </c>
      <c r="G227" s="152">
        <v>855</v>
      </c>
      <c r="H227" s="152">
        <v>4</v>
      </c>
      <c r="I227" s="152">
        <v>5</v>
      </c>
      <c r="J227" s="152"/>
      <c r="K227" s="152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Z227"/>
      <c r="AA227"/>
      <c r="AB227"/>
      <c r="AC227"/>
      <c r="AD227"/>
      <c r="AE227"/>
      <c r="AF227"/>
      <c r="AG227"/>
      <c r="AH227"/>
      <c r="AI227"/>
      <c r="AJ227"/>
    </row>
    <row r="228" spans="1:36">
      <c r="A228" s="152" t="str">
        <v>Poole Runners</v>
      </c>
      <c r="B228" s="152">
        <v>738</v>
      </c>
      <c r="C228" s="152">
        <v>5</v>
      </c>
      <c r="D228" s="152">
        <v>4</v>
      </c>
      <c r="E228" s="152"/>
      <c r="F228" s="152" t="str">
        <v>Camberley &amp; District AC</v>
      </c>
      <c r="G228" s="152">
        <v>853</v>
      </c>
      <c r="H228" s="152">
        <v>5</v>
      </c>
      <c r="I228" s="152">
        <v>4</v>
      </c>
      <c r="J228" s="152"/>
      <c r="K228" s="152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Z228"/>
      <c r="AA228"/>
      <c r="AB228"/>
      <c r="AC228"/>
      <c r="AD228"/>
      <c r="AE228"/>
      <c r="AF228"/>
      <c r="AG228"/>
      <c r="AH228"/>
      <c r="AI228"/>
      <c r="AJ228"/>
    </row>
    <row r="229" spans="1:36">
      <c r="A229" s="152" t="str">
        <v>Basingstoke &amp; Mid Hants AC</v>
      </c>
      <c r="B229" s="152">
        <v>654</v>
      </c>
      <c r="C229" s="152">
        <v>6</v>
      </c>
      <c r="D229" s="152">
        <v>3</v>
      </c>
      <c r="E229" s="152"/>
      <c r="F229" s="152" t="str">
        <v>Waverley Athletics Club</v>
      </c>
      <c r="G229" s="152">
        <v>617</v>
      </c>
      <c r="H229" s="152">
        <v>6</v>
      </c>
      <c r="I229" s="152">
        <v>3</v>
      </c>
      <c r="J229" s="152"/>
      <c r="K229" s="152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Z229"/>
      <c r="AA229"/>
      <c r="AB229"/>
      <c r="AC229"/>
      <c r="AD229"/>
      <c r="AE229"/>
      <c r="AF229"/>
      <c r="AG229"/>
      <c r="AH229"/>
      <c r="AI229"/>
      <c r="AJ229"/>
    </row>
    <row r="230" spans="1:36">
      <c r="A230" s="152"/>
      <c r="B230" s="152"/>
      <c r="C230" s="152"/>
      <c r="D230" s="152"/>
      <c r="E230" s="152"/>
      <c r="F230" s="152"/>
      <c r="G230" s="152"/>
      <c r="H230" s="152"/>
      <c r="I230" s="152"/>
      <c r="J230" s="152"/>
      <c r="K230" s="152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Z230"/>
      <c r="AA230"/>
      <c r="AB230"/>
      <c r="AC230"/>
      <c r="AD230"/>
      <c r="AE230"/>
      <c r="AF230"/>
      <c r="AG230"/>
      <c r="AH230"/>
      <c r="AI230"/>
      <c r="AJ230"/>
    </row>
    <row r="231" spans="1:36">
      <c r="A231" s="152"/>
      <c r="B231" s="152"/>
      <c r="C231" s="152"/>
      <c r="D231" s="152"/>
      <c r="E231" s="152"/>
      <c r="F231" s="152"/>
      <c r="G231" s="152"/>
      <c r="H231" s="152"/>
      <c r="I231" s="152"/>
      <c r="J231" s="152"/>
      <c r="K231" s="152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Z231"/>
      <c r="AA231"/>
      <c r="AB231"/>
      <c r="AC231"/>
      <c r="AD231"/>
      <c r="AE231"/>
      <c r="AF231"/>
      <c r="AG231"/>
      <c r="AH231"/>
      <c r="AI231"/>
      <c r="AJ231"/>
    </row>
    <row r="232" spans="1:36">
      <c r="A232" s="152"/>
      <c r="B232" s="152"/>
      <c r="C232" s="152"/>
      <c r="D232" s="152"/>
      <c r="E232" s="152"/>
      <c r="F232" s="152"/>
      <c r="G232" s="152"/>
      <c r="H232" s="152"/>
      <c r="I232" s="152"/>
      <c r="J232" s="152"/>
      <c r="K232" s="152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Z232"/>
      <c r="AA232"/>
      <c r="AB232"/>
      <c r="AC232"/>
      <c r="AD232"/>
      <c r="AE232"/>
      <c r="AF232"/>
      <c r="AG232"/>
      <c r="AH232"/>
      <c r="AI232"/>
      <c r="AJ232"/>
    </row>
    <row r="233" spans="1:36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</row>
    <row r="234" spans="1:36">
      <c r="A234" s="83"/>
      <c r="B234" s="149"/>
      <c r="C234" s="148" t="s">
        <v>81</v>
      </c>
      <c r="D234" s="148" t="s">
        <v>120</v>
      </c>
      <c r="E234" s="148" t="s">
        <v>166</v>
      </c>
      <c r="F234" s="83"/>
      <c r="G234" s="83"/>
      <c r="H234" s="83"/>
      <c r="I234" s="83"/>
      <c r="J234" s="83"/>
      <c r="K234" s="83"/>
      <c r="L234" s="83"/>
      <c r="M234" s="83"/>
      <c r="N234" s="149"/>
      <c r="O234" s="148" t="s">
        <v>81</v>
      </c>
      <c r="P234" s="148" t="s">
        <v>166</v>
      </c>
      <c r="Q234" s="83"/>
      <c r="R234" s="83"/>
      <c r="S234" s="83"/>
      <c r="T234" s="83"/>
      <c r="U234" s="83"/>
      <c r="V234" s="83"/>
      <c r="W234" s="83"/>
    </row>
    <row r="235" spans="1:36">
      <c r="A235" s="83"/>
      <c r="B235" s="124" t="str">
        <f>'Read Me First'!C11</f>
        <v>Camberley &amp; District AC</v>
      </c>
      <c r="C235" s="149">
        <f>D214+J214</f>
        <v>1683</v>
      </c>
      <c r="D235" s="149">
        <f>F214+L214</f>
        <v>10</v>
      </c>
      <c r="E235" s="49">
        <f>IF(D235=0,"",RANK(D235,D$235:D$242) + COUNTIFS(D$235:D$242, D235, C$235:C$242, "&gt;"&amp; C235))</f>
        <v>3</v>
      </c>
      <c r="F235" s="83"/>
      <c r="G235" s="83"/>
      <c r="H235" s="153" t="str" cm="1">
        <f t="array" ref="H235:K240">_xlfn._xlws.FILTER((_xlfn._xlws.SORT((_xlfn._xlws.SORT(_xlfn._xlws.FILTER(B235:E242,D235:D242&lt;&gt;0),2,-1)),4)), _xlfn.CHOOSECOLS((_xlfn._xlws.SORT((_xlfn._xlws.SORT(_xlfn._xlws.FILTER(B235:E242,D235:D242&lt;&gt;0),2,-1)),4)),1)&lt;&gt;0)</f>
        <v>Fleet &amp; Crookham AC</v>
      </c>
      <c r="I235" s="153">
        <v>1731</v>
      </c>
      <c r="J235" s="153">
        <v>14</v>
      </c>
      <c r="K235" s="153">
        <v>1</v>
      </c>
      <c r="L235" s="83"/>
      <c r="M235" s="83"/>
      <c r="N235" s="124" t="str">
        <f>'Read Me First'!C11</f>
        <v>Camberley &amp; District AC</v>
      </c>
      <c r="O235" s="149">
        <f>D214+J214</f>
        <v>1683</v>
      </c>
      <c r="P235" s="49">
        <f>IF(O235=0,"",RANK(O235,O$235:O$242))</f>
        <v>3</v>
      </c>
      <c r="Q235" s="83"/>
      <c r="R235" s="83"/>
      <c r="S235" s="153" t="str" cm="1">
        <f t="array" ref="S235:U240">_xlfn._xlws.FILTER((_xlfn._xlws.SORT((_xlfn._xlws.SORT(_xlfn._xlws.FILTER(N235:P242,O235:O242&lt;&gt;0),2,-1)),3)), _xlfn.CHOOSECOLS((_xlfn._xlws.SORT((_xlfn._xlws.SORT(_xlfn._xlws.FILTER(N235:P242,O235:O242&lt;&gt;0),2,-1)),3)),1)&lt;&gt;0)</f>
        <v>Woking AC</v>
      </c>
      <c r="T235" s="153">
        <v>1819</v>
      </c>
      <c r="U235" s="153">
        <v>1</v>
      </c>
      <c r="V235" s="153"/>
      <c r="W235" s="83"/>
    </row>
    <row r="236" spans="1:36">
      <c r="A236" s="83"/>
      <c r="B236" s="124" t="str">
        <f>'Read Me First'!C12</f>
        <v>Woking AC</v>
      </c>
      <c r="C236" s="149">
        <f t="shared" ref="C236:C242" si="17">D215+J215</f>
        <v>1819</v>
      </c>
      <c r="D236" s="149">
        <f t="shared" ref="D236:D242" si="18">F215+L215</f>
        <v>13</v>
      </c>
      <c r="E236" s="49">
        <f t="shared" ref="E236:E242" si="19">IF(D236=0,"",RANK(D236,D$235:D$242) + COUNTIFS(D$235:D$242, D236, C$235:C$242, "&gt;"&amp; C236))</f>
        <v>2</v>
      </c>
      <c r="F236" s="83"/>
      <c r="G236" s="83"/>
      <c r="H236" s="153" t="str">
        <v>Woking AC</v>
      </c>
      <c r="I236" s="153">
        <v>1819</v>
      </c>
      <c r="J236" s="153">
        <v>13</v>
      </c>
      <c r="K236" s="153">
        <v>2</v>
      </c>
      <c r="L236" s="83"/>
      <c r="M236" s="83"/>
      <c r="N236" s="124" t="str">
        <f>'Read Me First'!C12</f>
        <v>Woking AC</v>
      </c>
      <c r="O236" s="149">
        <f t="shared" ref="O236:O242" si="20">D215+J215</f>
        <v>1819</v>
      </c>
      <c r="P236" s="49">
        <f t="shared" ref="P236:P242" si="21">IF(O236=0,"",RANK(O236,O$235:O$242))</f>
        <v>1</v>
      </c>
      <c r="Q236" s="83"/>
      <c r="R236" s="83"/>
      <c r="S236" s="153" t="str">
        <v>Fleet &amp; Crookham AC</v>
      </c>
      <c r="T236" s="153">
        <v>1731</v>
      </c>
      <c r="U236" s="153">
        <v>2</v>
      </c>
      <c r="V236" s="153"/>
      <c r="W236" s="83"/>
    </row>
    <row r="237" spans="1:36">
      <c r="B237" s="124" t="str">
        <f>'Read Me First'!C13</f>
        <v>Poole Runners</v>
      </c>
      <c r="C237" s="149">
        <f t="shared" si="17"/>
        <v>1593</v>
      </c>
      <c r="D237" s="149">
        <f t="shared" si="18"/>
        <v>9</v>
      </c>
      <c r="E237" s="49">
        <f t="shared" si="19"/>
        <v>6</v>
      </c>
      <c r="F237" s="84"/>
      <c r="H237" s="157" t="str">
        <v>Camberley &amp; District AC</v>
      </c>
      <c r="I237" s="157">
        <v>1683</v>
      </c>
      <c r="J237" s="157">
        <v>10</v>
      </c>
      <c r="K237" s="157">
        <v>3</v>
      </c>
      <c r="N237" s="124" t="str">
        <f>'Read Me First'!C13</f>
        <v>Poole Runners</v>
      </c>
      <c r="O237" s="149">
        <f t="shared" si="20"/>
        <v>1593</v>
      </c>
      <c r="P237" s="49">
        <f t="shared" si="21"/>
        <v>5</v>
      </c>
      <c r="Q237" s="84"/>
      <c r="R237" s="4"/>
      <c r="S237" s="157" t="str">
        <v>Camberley &amp; District AC</v>
      </c>
      <c r="T237" s="157">
        <v>1683</v>
      </c>
      <c r="U237" s="157">
        <v>3</v>
      </c>
      <c r="V237" s="157"/>
    </row>
    <row r="238" spans="1:36">
      <c r="B238" s="124" t="str">
        <f>'Read Me First'!C14</f>
        <v>Fleet &amp; Crookham AC</v>
      </c>
      <c r="C238" s="149">
        <f t="shared" si="17"/>
        <v>1731</v>
      </c>
      <c r="D238" s="149">
        <f t="shared" si="18"/>
        <v>14</v>
      </c>
      <c r="E238" s="49">
        <f t="shared" si="19"/>
        <v>1</v>
      </c>
      <c r="F238" s="84"/>
      <c r="H238" s="157" t="str">
        <v>Basingstoke &amp; Mid Hants AC</v>
      </c>
      <c r="I238" s="157">
        <v>1600</v>
      </c>
      <c r="J238" s="157">
        <v>10</v>
      </c>
      <c r="K238" s="157">
        <v>4</v>
      </c>
      <c r="N238" s="124" t="str">
        <f>'Read Me First'!C14</f>
        <v>Fleet &amp; Crookham AC</v>
      </c>
      <c r="O238" s="149">
        <f t="shared" si="20"/>
        <v>1731</v>
      </c>
      <c r="P238" s="49">
        <f t="shared" si="21"/>
        <v>2</v>
      </c>
      <c r="Q238" s="84"/>
      <c r="R238" s="4"/>
      <c r="S238" s="157" t="str">
        <v>Basingstoke &amp; Mid Hants AC</v>
      </c>
      <c r="T238" s="157">
        <v>1600</v>
      </c>
      <c r="U238" s="157">
        <v>4</v>
      </c>
      <c r="V238" s="157"/>
      <c r="X238" s="83"/>
    </row>
    <row r="239" spans="1:36">
      <c r="B239" s="124" t="str">
        <f>'Read Me First'!C15</f>
        <v>Waverley Athletics Club</v>
      </c>
      <c r="C239" s="149">
        <f t="shared" si="17"/>
        <v>1451</v>
      </c>
      <c r="D239" s="149">
        <f t="shared" si="18"/>
        <v>10</v>
      </c>
      <c r="E239" s="49">
        <f t="shared" si="19"/>
        <v>5</v>
      </c>
      <c r="F239" s="84"/>
      <c r="H239" s="157" t="str">
        <v>Waverley Athletics Club</v>
      </c>
      <c r="I239" s="157">
        <v>1451</v>
      </c>
      <c r="J239" s="157">
        <v>10</v>
      </c>
      <c r="K239" s="157">
        <v>5</v>
      </c>
      <c r="N239" s="124" t="str">
        <f>'Read Me First'!C15</f>
        <v>Waverley Athletics Club</v>
      </c>
      <c r="O239" s="149">
        <f t="shared" si="20"/>
        <v>1451</v>
      </c>
      <c r="P239" s="49">
        <f t="shared" si="21"/>
        <v>6</v>
      </c>
      <c r="Q239" s="84"/>
      <c r="R239" s="4"/>
      <c r="S239" s="157" t="str">
        <v>Poole Runners</v>
      </c>
      <c r="T239" s="157">
        <v>1593</v>
      </c>
      <c r="U239" s="157">
        <v>5</v>
      </c>
      <c r="V239" s="157"/>
      <c r="X239" s="83"/>
    </row>
    <row r="240" spans="1:36">
      <c r="B240" s="124" t="str">
        <f>'Read Me First'!C16</f>
        <v>Basingstoke &amp; Mid Hants AC</v>
      </c>
      <c r="C240" s="149">
        <f t="shared" si="17"/>
        <v>1600</v>
      </c>
      <c r="D240" s="149">
        <f t="shared" si="18"/>
        <v>10</v>
      </c>
      <c r="E240" s="49">
        <f t="shared" si="19"/>
        <v>4</v>
      </c>
      <c r="F240" s="84"/>
      <c r="H240" s="157" t="str">
        <v>Poole Runners</v>
      </c>
      <c r="I240" s="157">
        <v>1593</v>
      </c>
      <c r="J240" s="157">
        <v>9</v>
      </c>
      <c r="K240" s="157">
        <v>6</v>
      </c>
      <c r="N240" s="124" t="str">
        <f>'Read Me First'!C16</f>
        <v>Basingstoke &amp; Mid Hants AC</v>
      </c>
      <c r="O240" s="149">
        <f t="shared" si="20"/>
        <v>1600</v>
      </c>
      <c r="P240" s="49">
        <f t="shared" si="21"/>
        <v>4</v>
      </c>
      <c r="Q240" s="84"/>
      <c r="R240" s="4"/>
      <c r="S240" s="157" t="str">
        <v>Waverley Athletics Club</v>
      </c>
      <c r="T240" s="157">
        <v>1451</v>
      </c>
      <c r="U240" s="157">
        <v>6</v>
      </c>
      <c r="V240" s="157"/>
      <c r="X240" s="83"/>
    </row>
    <row r="241" spans="1:27">
      <c r="B241" s="124" t="str">
        <f>'Read Me First'!C17</f>
        <v/>
      </c>
      <c r="C241" s="149">
        <f t="shared" si="17"/>
        <v>0</v>
      </c>
      <c r="D241" s="149">
        <f t="shared" si="18"/>
        <v>0</v>
      </c>
      <c r="E241" s="49" t="str">
        <f t="shared" si="19"/>
        <v/>
      </c>
      <c r="F241" s="84"/>
      <c r="H241" s="157"/>
      <c r="I241" s="157"/>
      <c r="J241" s="157"/>
      <c r="K241" s="157"/>
      <c r="N241" s="124" t="str">
        <f>'Read Me First'!C17</f>
        <v/>
      </c>
      <c r="O241" s="149">
        <f t="shared" si="20"/>
        <v>0</v>
      </c>
      <c r="P241" s="49" t="str">
        <f t="shared" si="21"/>
        <v/>
      </c>
      <c r="Q241" s="84"/>
      <c r="R241" s="4"/>
      <c r="S241" s="157"/>
      <c r="T241" s="157"/>
      <c r="U241" s="157"/>
      <c r="V241" s="157"/>
    </row>
    <row r="242" spans="1:27">
      <c r="B242" s="124" t="str">
        <f>'Read Me First'!C18</f>
        <v/>
      </c>
      <c r="C242" s="149">
        <f t="shared" si="17"/>
        <v>0</v>
      </c>
      <c r="D242" s="149">
        <f t="shared" si="18"/>
        <v>0</v>
      </c>
      <c r="E242" s="49" t="str">
        <f t="shared" si="19"/>
        <v/>
      </c>
      <c r="F242" s="84"/>
      <c r="H242" s="157"/>
      <c r="I242" s="157"/>
      <c r="J242" s="157"/>
      <c r="K242" s="157"/>
      <c r="N242" s="124" t="str">
        <f>'Read Me First'!C18</f>
        <v/>
      </c>
      <c r="O242" s="149">
        <f t="shared" si="20"/>
        <v>0</v>
      </c>
      <c r="P242" s="49" t="str">
        <f t="shared" si="21"/>
        <v/>
      </c>
      <c r="Q242" s="84"/>
      <c r="R242" s="4"/>
      <c r="S242" s="157"/>
      <c r="T242" s="157"/>
      <c r="U242" s="157"/>
      <c r="V242" s="157"/>
    </row>
    <row r="245" spans="1:27" ht="15.6">
      <c r="A245" s="415" t="s">
        <v>88</v>
      </c>
      <c r="B245" s="415"/>
      <c r="C245" s="415"/>
      <c r="D245" s="415"/>
      <c r="E245" s="415"/>
      <c r="F245" s="415"/>
      <c r="G245" s="415"/>
      <c r="H245" s="415"/>
      <c r="I245" s="415"/>
      <c r="J245" s="415"/>
      <c r="K245" s="415"/>
      <c r="L245" s="415"/>
      <c r="M245" s="415"/>
      <c r="N245" s="415"/>
      <c r="O245" s="415"/>
      <c r="P245" s="415"/>
      <c r="Q245" s="415"/>
      <c r="R245" s="415"/>
      <c r="S245" s="415"/>
      <c r="T245" s="415"/>
      <c r="U245" s="415"/>
      <c r="Y245" s="524" t="s">
        <v>83</v>
      </c>
      <c r="Z245" s="524"/>
      <c r="AA245" s="524"/>
    </row>
    <row r="246" spans="1:27">
      <c r="A246"/>
      <c r="F246"/>
      <c r="G246"/>
      <c r="H246"/>
      <c r="Y246" s="524"/>
      <c r="Z246" s="524"/>
      <c r="AA246" s="524"/>
    </row>
    <row r="247" spans="1:27">
      <c r="A247" s="46"/>
      <c r="B247" s="148" t="s">
        <v>80</v>
      </c>
      <c r="C247" s="148" t="s">
        <v>75</v>
      </c>
      <c r="D247" s="148" t="s">
        <v>161</v>
      </c>
      <c r="E247" s="148" t="s">
        <v>162</v>
      </c>
      <c r="F247" s="515" t="s">
        <v>85</v>
      </c>
      <c r="G247" s="515"/>
      <c r="H247" s="321"/>
      <c r="I247" s="515" t="s">
        <v>95</v>
      </c>
      <c r="J247" s="515"/>
      <c r="K247" s="321"/>
      <c r="L247" s="513" t="s">
        <v>110</v>
      </c>
      <c r="M247" s="514"/>
      <c r="N247" s="323"/>
      <c r="O247" s="513" t="s">
        <v>104</v>
      </c>
      <c r="P247" s="514"/>
      <c r="Q247" s="322" t="s">
        <v>81</v>
      </c>
      <c r="R247" s="322" t="s">
        <v>167</v>
      </c>
      <c r="S247" s="322" t="s">
        <v>163</v>
      </c>
      <c r="T247" s="322" t="s">
        <v>168</v>
      </c>
      <c r="U247" s="322" t="s">
        <v>164</v>
      </c>
      <c r="Y247" s="524"/>
      <c r="Z247" s="524"/>
      <c r="AA247" s="524"/>
    </row>
    <row r="248" spans="1:27">
      <c r="A248" s="46"/>
      <c r="B248" s="149"/>
      <c r="C248" s="149"/>
      <c r="D248" s="149"/>
      <c r="E248" s="149"/>
      <c r="F248" s="47" t="s">
        <v>113</v>
      </c>
      <c r="G248" s="321" t="s">
        <v>81</v>
      </c>
      <c r="H248" s="123" t="s">
        <v>82</v>
      </c>
      <c r="I248" s="48" t="s">
        <v>113</v>
      </c>
      <c r="J248" s="321" t="s">
        <v>81</v>
      </c>
      <c r="K248" s="123" t="s">
        <v>82</v>
      </c>
      <c r="L248" s="48" t="s">
        <v>114</v>
      </c>
      <c r="M248" s="321" t="s">
        <v>81</v>
      </c>
      <c r="N248" s="123" t="s">
        <v>82</v>
      </c>
      <c r="O248" s="48" t="s">
        <v>114</v>
      </c>
      <c r="P248" s="321" t="s">
        <v>81</v>
      </c>
      <c r="Q248" s="321"/>
      <c r="R248" s="321"/>
      <c r="S248" s="321"/>
      <c r="T248" s="321"/>
      <c r="U248" s="321"/>
      <c r="Y248" s="524"/>
      <c r="Z248" s="524"/>
      <c r="AA248" s="524"/>
    </row>
    <row r="249" spans="1:27">
      <c r="A249" s="49">
        <f>IF(Declarations!B6=0,"",Declarations!B6)</f>
        <v>1</v>
      </c>
      <c r="B249" s="150" t="str">
        <f>IF(ISNA(VLOOKUP(A249,Declarations!B$6:C$185,2,FALSE)),"",IF(VLOOKUP(A249,Declarations!B$6:C$185,2,FALSE)="","",VLOOKUP(A249,Declarations!B$6:C$185,2,FALSE)))</f>
        <v>EVNI DUNUSINGHE</v>
      </c>
      <c r="C249" s="150" t="str">
        <f>IF(ISNA(VLOOKUP(A249,Declarations!B$6:F$185,5,FALSE)),"",IF(VLOOKUP(A249,Declarations!B$6:F$185,5,FALSE)="","",VLOOKUP(A249,Declarations!B$6:F$185,5,FALSE)))</f>
        <v>Camberley &amp; District AC</v>
      </c>
      <c r="D249" s="150" t="str">
        <f>IF(ISNA(VLOOKUP(A249,Declarations!B$6:F$185,4,FALSE)),"",IF(VLOOKUP(A249,Declarations!B$6:F$185,4,FALSE)="","",VLOOKUP(A249,Declarations!B$6:F$185,4,FALSE)))</f>
        <v>GIRLS</v>
      </c>
      <c r="E249" s="150" t="str">
        <f>IF(ISNA(VLOOKUP(A249,Declarations!B$6:D$185,3,FALSE)),"",IF(VLOOKUP(A249,Declarations!B$6:D$185,3,FALSE)="","",VLOOKUP(A249,Declarations!B$6:D$185,3,FALSE)))</f>
        <v>U12</v>
      </c>
      <c r="F249" s="49">
        <f>IF(B249="","",IF(ISNA(VLOOKUP(A249,'75m'!F$5:G$302,2,FALSE)),"",VLOOKUP(A249,'75m'!F$5:G$302,2,FALSE)))</f>
        <v>11.4</v>
      </c>
      <c r="G249" s="49">
        <f>IF(B249="",0,IF(ISNA(_xlfn.XLOOKUP(A249,'75m'!F$5:F$302,'75m'!M$5:M$302)),0,_xlfn.XLOOKUP(A249,'75m'!F$5:F$302,'75m'!M$5:M$302)))</f>
        <v>106</v>
      </c>
      <c r="H249" s="49" t="str">
        <f>IF(B249="","",IF(ISNA(VLOOKUP(A249,'75m'!F$5:K$302,6,FALSE)),"",VLOOKUP(A249,'75m'!F$5:K$302,6,FALSE)))</f>
        <v>PB9</v>
      </c>
      <c r="I249" s="51">
        <f>IF(B249="",0,IF(ISNA(VLOOKUP(A249,'600m'!F$5:J$302,2,FALSE)),0,VLOOKUP(A249,'600m'!F$5:J$302,2,FALSE)))</f>
        <v>1.5162037037037036E-3</v>
      </c>
      <c r="J249" s="49">
        <f>IF(B249="",0,IF(ISNA(_xlfn.XLOOKUP(A249,'600m'!F$5:F$302,'600m'!M$5:M$302)),0,_xlfn.XLOOKUP(A249,'600m'!F$5:F$302,'600m'!M$5:M$302)))</f>
        <v>58</v>
      </c>
      <c r="K249" s="49" t="str">
        <f>IF(B249="","",IF(ISNA(VLOOKUP(A249,'600m'!F$5:K$302,6,FALSE)),"",VLOOKUP(A249,'600m'!F$5:K$302,6,FALSE)))</f>
        <v>PB3</v>
      </c>
      <c r="L249" s="49">
        <f>IF(B249="","",IF(ISNA(VLOOKUP(A249,LongJump!F$5:G$302,2,FALSE)),"",VLOOKUP(A249,LongJump!F$5:G$302,2,FALSE)))</f>
        <v>3.42</v>
      </c>
      <c r="M249" s="49">
        <f>IF(B249="",0,IF(ISNA(_xlfn.XLOOKUP(A249,LongJump!F$5:F$302,LongJump!M$5:M$302)),0,_xlfn.XLOOKUP(A249,LongJump!F$5:F$302,LongJump!M$5:M$302)))</f>
        <v>86</v>
      </c>
      <c r="N249" s="49" t="str">
        <f>IF(B249="","",IF(ISNA(VLOOKUP(A249,LongJump!F$5:K$302,6,FALSE)),0,VLOOKUP(A249,LongJump!F$5:K$302,6,FALSE)))</f>
        <v>PB7</v>
      </c>
      <c r="O249" s="49">
        <f>IF(B249="","",IF(ISNA(VLOOKUP(A249,Vortex!F$5:J$302,2,FALSE)),"",VLOOKUP(A249,Vortex!F$5:J$302,2,FALSE)))</f>
        <v>28.79</v>
      </c>
      <c r="P249" s="49">
        <f>IF(B249="",0,IF(ISNA(_xlfn.XLOOKUP(A249,Vortex!F$5:F$302,Vortex!M$5:M$302)),0,_xlfn.XLOOKUP(A249,Vortex!F$5:F$302,Vortex!M$5:M$302)))</f>
        <v>103</v>
      </c>
      <c r="Q249" s="49">
        <f>G249+J249+M249+P249</f>
        <v>353</v>
      </c>
      <c r="R249" s="49" t="str">
        <f>IF(OR($Q249=0,$E249&lt;&gt;"U10"),"",COUNTIFS($C$249:$C$536, $C249, $D$249:$D$536, $D249, $E$249:$E$536, $E249, $Q$249:$Q$536,"&gt;"&amp;$Q249)+1)</f>
        <v/>
      </c>
      <c r="S249" s="49">
        <f>IF(OR($Q249=0,$E249&lt;&gt;"U12"),"",COUNTIFS($C$249:$C$536, $C249, $D$249:$D$536, $D249, $E$249:$E$536, $E249, $Q$249:$Q$536,"&gt;"&amp;$Q249)+1)</f>
        <v>1</v>
      </c>
      <c r="T249" s="49" t="str">
        <f>IF(OR($Q249=0,$E249&lt;&gt;"U10"),"",COUNTIFS($D$249:$D$536, $D249,$E$249:$E$536,$E249,$Q$249:$Q$536,"&gt;"&amp;$Q249)+1)</f>
        <v/>
      </c>
      <c r="U249" s="49">
        <f>IF(OR($Q249=0,$E249&lt;&gt;"U12"),"",COUNTIFS($D$249:$D$536, $D249,$E$249:$E$536,$E249,$Q$249:$Q$536,"&gt;"&amp;$Q249)+1)</f>
        <v>2</v>
      </c>
    </row>
    <row r="250" spans="1:27">
      <c r="A250" s="49">
        <f>IF(Declarations!B7=0,"",Declarations!B7)</f>
        <v>2</v>
      </c>
      <c r="B250" s="150" t="str">
        <f>IF(ISNA(VLOOKUP(A250,Declarations!B$6:C$185,2,FALSE)),"",IF(VLOOKUP(A250,Declarations!B$6:C$185,2,FALSE)="","",VLOOKUP(A250,Declarations!B$6:C$185,2,FALSE)))</f>
        <v>POPPY READ</v>
      </c>
      <c r="C250" s="150" t="str">
        <f>IF(ISNA(VLOOKUP(A250,Declarations!B$6:F$185,5,FALSE)),"",IF(VLOOKUP(A250,Declarations!B$6:F$185,5,FALSE)="","",VLOOKUP(A250,Declarations!B$6:F$185,5,FALSE)))</f>
        <v>Camberley &amp; District AC</v>
      </c>
      <c r="D250" s="150" t="str">
        <f>IF(ISNA(VLOOKUP(A250,Declarations!B$6:F$185,4,FALSE)),"",IF(VLOOKUP(A250,Declarations!B$6:F$185,4,FALSE)="","",VLOOKUP(A250,Declarations!B$6:F$185,4,FALSE)))</f>
        <v>GIRLS</v>
      </c>
      <c r="E250" s="150" t="str">
        <f>IF(ISNA(VLOOKUP(A250,Declarations!B$6:D$185,3,FALSE)),"",IF(VLOOKUP(A250,Declarations!B$6:D$185,3,FALSE)="","",VLOOKUP(A250,Declarations!B$6:D$185,3,FALSE)))</f>
        <v>U12</v>
      </c>
      <c r="F250" s="49">
        <f>IF(B250="","",IF(ISNA(VLOOKUP(A250,'75m'!F$5:G$302,2,FALSE)),"",VLOOKUP(A250,'75m'!F$5:G$302,2,FALSE)))</f>
        <v>11.8</v>
      </c>
      <c r="G250" s="49">
        <f>IF(B250="",0,IF(ISNA(_xlfn.XLOOKUP(A250,'75m'!F$5:F$302,'75m'!M$5:M$302)),0,_xlfn.XLOOKUP(A250,'75m'!F$5:F$302,'75m'!M$5:M$302)))</f>
        <v>97</v>
      </c>
      <c r="H250" s="49" t="str">
        <f>IF(B250="","",IF(ISNA(VLOOKUP(A250,'75m'!F$5:K$302,6,FALSE)),"",VLOOKUP(A250,'75m'!F$5:K$302,6,FALSE)))</f>
        <v>PB8</v>
      </c>
      <c r="I250" s="51">
        <f>IF(B250="",0,IF(ISNA(VLOOKUP(A250,'600m'!F$5:J$302,2,FALSE)),0,VLOOKUP(A250,'600m'!F$5:J$302,2,FALSE)))</f>
        <v>1.6909722222222222E-3</v>
      </c>
      <c r="J250" s="49">
        <f>IF(B250="",0,IF(ISNA(_xlfn.XLOOKUP(A250,'600m'!F$5:F$302,'600m'!M$5:M$302)),0,_xlfn.XLOOKUP(A250,'600m'!F$5:F$302,'600m'!M$5:M$302)))</f>
        <v>28</v>
      </c>
      <c r="K250" s="49" t="str">
        <f>IF(B250="","",IF(ISNA(VLOOKUP(A250,'600m'!F$5:K$302,6,FALSE)),"",VLOOKUP(A250,'600m'!F$5:K$302,6,FALSE)))</f>
        <v>PB1</v>
      </c>
      <c r="L250" s="49">
        <f>IF(B250="","",IF(ISNA(VLOOKUP(A250,LongJump!F$5:G$302,2,FALSE)),"",VLOOKUP(A250,LongJump!F$5:G$302,2,FALSE)))</f>
        <v>3.35</v>
      </c>
      <c r="M250" s="49">
        <f>IF(B250="",0,IF(ISNA(_xlfn.XLOOKUP(A250,LongJump!F$5:F$302,LongJump!M$5:M$302)),0,_xlfn.XLOOKUP(A250,LongJump!F$5:F$302,LongJump!M$5:M$302)))</f>
        <v>83</v>
      </c>
      <c r="N250" s="49" t="str">
        <f>IF(B250="","",IF(ISNA(VLOOKUP(A250,LongJump!F$5:K$302,6,FALSE)),0,VLOOKUP(A250,LongJump!F$5:K$302,6,FALSE)))</f>
        <v>PB7</v>
      </c>
      <c r="O250" s="49">
        <f>IF(B250="","",IF(ISNA(VLOOKUP(A250,Vortex!F$5:J$302,2,FALSE)),"",VLOOKUP(A250,Vortex!F$5:J$302,2,FALSE)))</f>
        <v>15.8</v>
      </c>
      <c r="P250" s="49">
        <f>IF(B250="",0,IF(ISNA(_xlfn.XLOOKUP(A250,Vortex!F$5:F$302,Vortex!M$5:M$302)),0,_xlfn.XLOOKUP(A250,Vortex!F$5:F$302,Vortex!M$5:M$302)))</f>
        <v>39</v>
      </c>
      <c r="Q250" s="49">
        <f t="shared" ref="Q250:Q313" si="22">G250+J250+M250+P250</f>
        <v>247</v>
      </c>
      <c r="R250" s="49" t="str">
        <f t="shared" ref="R250:R313" si="23">IF(OR($Q250=0,$E250&lt;&gt;"U10"),"",COUNTIFS($C$249:$C$536, $C250, $D$249:$D$536, $D250, $E$249:$E$536, $E250, $Q$249:$Q$536,"&gt;"&amp;$Q250)+1)</f>
        <v/>
      </c>
      <c r="S250" s="49">
        <f t="shared" ref="S250:S313" si="24">IF(OR($Q250=0,$E250&lt;&gt;"U12"),"",COUNTIFS($C$249:$C$536, $C250, $D$249:$D$536, $D250, $E$249:$E$536, $E250, $Q$249:$Q$536,"&gt;"&amp;$Q250)+1)</f>
        <v>6</v>
      </c>
      <c r="T250" s="49" t="str">
        <f t="shared" ref="T250:T313" si="25">IF(OR($Q250=0,$E250&lt;&gt;"U10"),"",COUNTIFS($D$249:$D$536, $D250,$E$249:$E$536,$E250,$Q$249:$Q$536,"&gt;"&amp;$Q250)+1)</f>
        <v/>
      </c>
      <c r="U250" s="49">
        <f t="shared" ref="U250:U313" si="26">IF(OR($Q250=0,$E250&lt;&gt;"U12"),"",COUNTIFS($D$249:$D$536, $D250,$E$249:$E$536,$E250,$Q$249:$Q$536,"&gt;"&amp;$Q250)+1)</f>
        <v>25</v>
      </c>
    </row>
    <row r="251" spans="1:27">
      <c r="A251" s="49">
        <f>IF(Declarations!B8=0,"",Declarations!B8)</f>
        <v>3</v>
      </c>
      <c r="B251" s="150" t="str">
        <f>IF(ISNA(VLOOKUP(A251,Declarations!B$6:C$185,2,FALSE)),"",IF(VLOOKUP(A251,Declarations!B$6:C$185,2,FALSE)="","",VLOOKUP(A251,Declarations!B$6:C$185,2,FALSE)))</f>
        <v>CHARLOTTE SHEPPARD</v>
      </c>
      <c r="C251" s="150" t="str">
        <f>IF(ISNA(VLOOKUP(A251,Declarations!B$6:F$185,5,FALSE)),"",IF(VLOOKUP(A251,Declarations!B$6:F$185,5,FALSE)="","",VLOOKUP(A251,Declarations!B$6:F$185,5,FALSE)))</f>
        <v>Camberley &amp; District AC</v>
      </c>
      <c r="D251" s="150" t="str">
        <f>IF(ISNA(VLOOKUP(A251,Declarations!B$6:F$185,4,FALSE)),"",IF(VLOOKUP(A251,Declarations!B$6:F$185,4,FALSE)="","",VLOOKUP(A251,Declarations!B$6:F$185,4,FALSE)))</f>
        <v>GIRLS</v>
      </c>
      <c r="E251" s="150" t="str">
        <f>IF(ISNA(VLOOKUP(A251,Declarations!B$6:D$185,3,FALSE)),"",IF(VLOOKUP(A251,Declarations!B$6:D$185,3,FALSE)="","",VLOOKUP(A251,Declarations!B$6:D$185,3,FALSE)))</f>
        <v>U12</v>
      </c>
      <c r="F251" s="49">
        <f>IF(B251="","",IF(ISNA(VLOOKUP(A251,'75m'!F$5:G$302,2,FALSE)),"",VLOOKUP(A251,'75m'!F$5:G$302,2,FALSE)))</f>
        <v>11</v>
      </c>
      <c r="G251" s="49">
        <f>IF(B251="",0,IF(ISNA(_xlfn.XLOOKUP(A251,'75m'!F$5:F$302,'75m'!M$5:M$302)),0,_xlfn.XLOOKUP(A251,'75m'!F$5:F$302,'75m'!M$5:M$302)))</f>
        <v>114</v>
      </c>
      <c r="H251" s="49" t="str">
        <f>IF(B251="","",IF(ISNA(VLOOKUP(A251,'75m'!F$5:K$302,6,FALSE)),"",VLOOKUP(A251,'75m'!F$5:K$302,6,FALSE)))</f>
        <v>PB9</v>
      </c>
      <c r="I251" s="51">
        <f>IF(B251="",0,IF(ISNA(VLOOKUP(A251,'600m'!F$5:J$302,2,FALSE)),0,VLOOKUP(A251,'600m'!F$5:J$302,2,FALSE)))</f>
        <v>1.431712962962963E-3</v>
      </c>
      <c r="J251" s="49">
        <f>IF(B251="",0,IF(ISNA(_xlfn.XLOOKUP(A251,'600m'!F$5:F$302,'600m'!M$5:M$302)),0,_xlfn.XLOOKUP(A251,'600m'!F$5:F$302,'600m'!M$5:M$302)))</f>
        <v>72</v>
      </c>
      <c r="K251" s="49" t="str">
        <f>IF(B251="","",IF(ISNA(VLOOKUP(A251,'600m'!F$5:K$302,6,FALSE)),"",VLOOKUP(A251,'600m'!F$5:K$302,6,FALSE)))</f>
        <v>PB5</v>
      </c>
      <c r="L251" s="49">
        <f>IF(B251="","",IF(ISNA(VLOOKUP(A251,LongJump!F$5:G$302,2,FALSE)),"",VLOOKUP(A251,LongJump!F$5:G$302,2,FALSE)))</f>
        <v>3.37</v>
      </c>
      <c r="M251" s="49">
        <f>IF(B251="",0,IF(ISNA(_xlfn.XLOOKUP(A251,LongJump!F$5:F$302,LongJump!M$5:M$302)),0,_xlfn.XLOOKUP(A251,LongJump!F$5:F$302,LongJump!M$5:M$302)))</f>
        <v>84</v>
      </c>
      <c r="N251" s="49" t="str">
        <f>IF(B251="","",IF(ISNA(VLOOKUP(A251,LongJump!F$5:K$302,6,FALSE)),0,VLOOKUP(A251,LongJump!F$5:K$302,6,FALSE)))</f>
        <v>PB7</v>
      </c>
      <c r="O251" s="49">
        <f>IF(B251="","",IF(ISNA(VLOOKUP(A251,Vortex!F$5:J$302,2,FALSE)),"",VLOOKUP(A251,Vortex!F$5:J$302,2,FALSE)))</f>
        <v>14.98</v>
      </c>
      <c r="P251" s="49">
        <f>IF(B251="",0,IF(ISNA(_xlfn.XLOOKUP(A251,Vortex!F$5:F$302,Vortex!M$5:M$302)),0,_xlfn.XLOOKUP(A251,Vortex!F$5:F$302,Vortex!M$5:M$302)))</f>
        <v>34</v>
      </c>
      <c r="Q251" s="49">
        <f t="shared" si="22"/>
        <v>304</v>
      </c>
      <c r="R251" s="49" t="str">
        <f t="shared" si="23"/>
        <v/>
      </c>
      <c r="S251" s="49">
        <f t="shared" si="24"/>
        <v>3</v>
      </c>
      <c r="T251" s="49" t="str">
        <f t="shared" si="25"/>
        <v/>
      </c>
      <c r="U251" s="49">
        <f t="shared" si="26"/>
        <v>11</v>
      </c>
    </row>
    <row r="252" spans="1:27">
      <c r="A252" s="49">
        <f>IF(Declarations!B9=0,"",Declarations!B9)</f>
        <v>4</v>
      </c>
      <c r="B252" s="150" t="str">
        <f>IF(ISNA(VLOOKUP(A252,Declarations!B$6:C$185,2,FALSE)),"",IF(VLOOKUP(A252,Declarations!B$6:C$185,2,FALSE)="","",VLOOKUP(A252,Declarations!B$6:C$185,2,FALSE)))</f>
        <v>AVA WANLESS</v>
      </c>
      <c r="C252" s="150" t="str">
        <f>IF(ISNA(VLOOKUP(A252,Declarations!B$6:F$185,5,FALSE)),"",IF(VLOOKUP(A252,Declarations!B$6:F$185,5,FALSE)="","",VLOOKUP(A252,Declarations!B$6:F$185,5,FALSE)))</f>
        <v>Camberley &amp; District AC</v>
      </c>
      <c r="D252" s="150" t="str">
        <f>IF(ISNA(VLOOKUP(A252,Declarations!B$6:F$185,4,FALSE)),"",IF(VLOOKUP(A252,Declarations!B$6:F$185,4,FALSE)="","",VLOOKUP(A252,Declarations!B$6:F$185,4,FALSE)))</f>
        <v>GIRLS</v>
      </c>
      <c r="E252" s="150" t="str">
        <f>IF(ISNA(VLOOKUP(A252,Declarations!B$6:D$185,3,FALSE)),"",IF(VLOOKUP(A252,Declarations!B$6:D$185,3,FALSE)="","",VLOOKUP(A252,Declarations!B$6:D$185,3,FALSE)))</f>
        <v>U12</v>
      </c>
      <c r="F252" s="49">
        <f>IF(B252="","",IF(ISNA(VLOOKUP(A252,'75m'!F$5:G$302,2,FALSE)),"",VLOOKUP(A252,'75m'!F$5:G$302,2,FALSE)))</f>
        <v>12.3</v>
      </c>
      <c r="G252" s="49">
        <f>IF(B252="",0,IF(ISNA(_xlfn.XLOOKUP(A252,'75m'!F$5:F$302,'75m'!M$5:M$302)),0,_xlfn.XLOOKUP(A252,'75m'!F$5:F$302,'75m'!M$5:M$302)))</f>
        <v>85</v>
      </c>
      <c r="H252" s="49" t="str">
        <f>IF(B252="","",IF(ISNA(VLOOKUP(A252,'75m'!F$5:K$302,6,FALSE)),"",VLOOKUP(A252,'75m'!F$5:K$302,6,FALSE)))</f>
        <v>PB7</v>
      </c>
      <c r="I252" s="51">
        <f>IF(B252="",0,IF(ISNA(VLOOKUP(A252,'600m'!F$5:J$302,2,FALSE)),0,VLOOKUP(A252,'600m'!F$5:J$302,2,FALSE)))</f>
        <v>1.7719907407407406E-3</v>
      </c>
      <c r="J252" s="49">
        <f>IF(B252="",0,IF(ISNA(_xlfn.XLOOKUP(A252,'600m'!F$5:F$302,'600m'!M$5:M$302)),0,_xlfn.XLOOKUP(A252,'600m'!F$5:F$302,'600m'!M$5:M$302)))</f>
        <v>21</v>
      </c>
      <c r="K252" s="49" t="str">
        <f>IF(B252="","",IF(ISNA(VLOOKUP(A252,'600m'!F$5:K$302,6,FALSE)),"",VLOOKUP(A252,'600m'!F$5:K$302,6,FALSE)))</f>
        <v>PB1</v>
      </c>
      <c r="L252" s="49">
        <f>IF(B252="","",IF(ISNA(VLOOKUP(A252,LongJump!F$5:G$302,2,FALSE)),"",VLOOKUP(A252,LongJump!F$5:G$302,2,FALSE)))</f>
        <v>2.99</v>
      </c>
      <c r="M252" s="49">
        <f>IF(B252="",0,IF(ISNA(_xlfn.XLOOKUP(A252,LongJump!F$5:F$302,LongJump!M$5:M$302)),0,_xlfn.XLOOKUP(A252,LongJump!F$5:F$302,LongJump!M$5:M$302)))</f>
        <v>69</v>
      </c>
      <c r="N252" s="49" t="str">
        <f>IF(B252="","",IF(ISNA(VLOOKUP(A252,LongJump!F$5:K$302,6,FALSE)),0,VLOOKUP(A252,LongJump!F$5:K$302,6,FALSE)))</f>
        <v>PB5</v>
      </c>
      <c r="O252" s="49">
        <f>IF(B252="","",IF(ISNA(VLOOKUP(A252,Vortex!F$5:J$302,2,FALSE)),"",VLOOKUP(A252,Vortex!F$5:J$302,2,FALSE)))</f>
        <v>14.76</v>
      </c>
      <c r="P252" s="49">
        <f>IF(B252="",0,IF(ISNA(_xlfn.XLOOKUP(A252,Vortex!F$5:F$302,Vortex!M$5:M$302)),0,_xlfn.XLOOKUP(A252,Vortex!F$5:F$302,Vortex!M$5:M$302)))</f>
        <v>33</v>
      </c>
      <c r="Q252" s="49">
        <f t="shared" si="22"/>
        <v>208</v>
      </c>
      <c r="R252" s="49" t="str">
        <f t="shared" si="23"/>
        <v/>
      </c>
      <c r="S252" s="49">
        <f t="shared" si="24"/>
        <v>7</v>
      </c>
      <c r="T252" s="49" t="str">
        <f t="shared" si="25"/>
        <v/>
      </c>
      <c r="U252" s="49">
        <f t="shared" si="26"/>
        <v>34</v>
      </c>
    </row>
    <row r="253" spans="1:27">
      <c r="A253" s="49">
        <f>IF(Declarations!B10=0,"",Declarations!B10)</f>
        <v>5</v>
      </c>
      <c r="B253" s="150" t="str">
        <f>IF(ISNA(VLOOKUP(A253,Declarations!B$6:C$185,2,FALSE)),"",IF(VLOOKUP(A253,Declarations!B$6:C$185,2,FALSE)="","",VLOOKUP(A253,Declarations!B$6:C$185,2,FALSE)))</f>
        <v>EMILIA-MAE O'DWYER</v>
      </c>
      <c r="C253" s="150" t="str">
        <f>IF(ISNA(VLOOKUP(A253,Declarations!B$6:F$185,5,FALSE)),"",IF(VLOOKUP(A253,Declarations!B$6:F$185,5,FALSE)="","",VLOOKUP(A253,Declarations!B$6:F$185,5,FALSE)))</f>
        <v>Camberley &amp; District AC</v>
      </c>
      <c r="D253" s="150" t="str">
        <f>IF(ISNA(VLOOKUP(A253,Declarations!B$6:F$185,4,FALSE)),"",IF(VLOOKUP(A253,Declarations!B$6:F$185,4,FALSE)="","",VLOOKUP(A253,Declarations!B$6:F$185,4,FALSE)))</f>
        <v>GIRLS</v>
      </c>
      <c r="E253" s="150" t="str">
        <f>IF(ISNA(VLOOKUP(A253,Declarations!B$6:D$185,3,FALSE)),"",IF(VLOOKUP(A253,Declarations!B$6:D$185,3,FALSE)="","",VLOOKUP(A253,Declarations!B$6:D$185,3,FALSE)))</f>
        <v>U12</v>
      </c>
      <c r="F253" s="49">
        <f>IF(B253="","",IF(ISNA(VLOOKUP(A253,'75m'!F$5:G$302,2,FALSE)),"",VLOOKUP(A253,'75m'!F$5:G$302,2,FALSE)))</f>
        <v>11.8</v>
      </c>
      <c r="G253" s="49">
        <f>IF(B253="",0,IF(ISNA(_xlfn.XLOOKUP(A253,'75m'!F$5:F$302,'75m'!M$5:M$302)),0,_xlfn.XLOOKUP(A253,'75m'!F$5:F$302,'75m'!M$5:M$302)))</f>
        <v>97</v>
      </c>
      <c r="H253" s="49" t="str">
        <f>IF(B253="","",IF(ISNA(VLOOKUP(A253,'75m'!F$5:K$302,6,FALSE)),"",VLOOKUP(A253,'75m'!F$5:K$302,6,FALSE)))</f>
        <v>PB8</v>
      </c>
      <c r="I253" s="51">
        <f>IF(B253="",0,IF(ISNA(VLOOKUP(A253,'600m'!F$5:J$302,2,FALSE)),0,VLOOKUP(A253,'600m'!F$5:J$302,2,FALSE)))</f>
        <v>1.5520833333333333E-3</v>
      </c>
      <c r="J253" s="49">
        <f>IF(B253="",0,IF(ISNA(_xlfn.XLOOKUP(A253,'600m'!F$5:F$302,'600m'!M$5:M$302)),0,_xlfn.XLOOKUP(A253,'600m'!F$5:F$302,'600m'!M$5:M$302)))</f>
        <v>51</v>
      </c>
      <c r="K253" s="49" t="str">
        <f>IF(B253="","",IF(ISNA(VLOOKUP(A253,'600m'!F$5:K$302,6,FALSE)),"",VLOOKUP(A253,'600m'!F$5:K$302,6,FALSE)))</f>
        <v>PB3</v>
      </c>
      <c r="L253" s="49">
        <f>IF(B253="","",IF(ISNA(VLOOKUP(A253,LongJump!F$5:G$302,2,FALSE)),"",VLOOKUP(A253,LongJump!F$5:G$302,2,FALSE)))</f>
        <v>3.49</v>
      </c>
      <c r="M253" s="49">
        <f>IF(B253="",0,IF(ISNA(_xlfn.XLOOKUP(A253,LongJump!F$5:F$302,LongJump!M$5:M$302)),0,_xlfn.XLOOKUP(A253,LongJump!F$5:F$302,LongJump!M$5:M$302)))</f>
        <v>89</v>
      </c>
      <c r="N253" s="49" t="str">
        <f>IF(B253="","",IF(ISNA(VLOOKUP(A253,LongJump!F$5:K$302,6,FALSE)),0,VLOOKUP(A253,LongJump!F$5:K$302,6,FALSE)))</f>
        <v>PB7</v>
      </c>
      <c r="O253" s="49">
        <f>IF(B253="","",IF(ISNA(VLOOKUP(A253,Vortex!F$5:J$302,2,FALSE)),"",VLOOKUP(A253,Vortex!F$5:J$302,2,FALSE)))</f>
        <v>15.49</v>
      </c>
      <c r="P253" s="49">
        <f>IF(B253="",0,IF(ISNA(_xlfn.XLOOKUP(A253,Vortex!F$5:F$302,Vortex!M$5:M$302)),0,_xlfn.XLOOKUP(A253,Vortex!F$5:F$302,Vortex!M$5:M$302)))</f>
        <v>37</v>
      </c>
      <c r="Q253" s="49">
        <f t="shared" si="22"/>
        <v>274</v>
      </c>
      <c r="R253" s="49" t="str">
        <f t="shared" si="23"/>
        <v/>
      </c>
      <c r="S253" s="49">
        <f t="shared" si="24"/>
        <v>5</v>
      </c>
      <c r="T253" s="49" t="str">
        <f t="shared" si="25"/>
        <v/>
      </c>
      <c r="U253" s="49">
        <f t="shared" si="26"/>
        <v>16</v>
      </c>
    </row>
    <row r="254" spans="1:27">
      <c r="A254" s="49">
        <f>IF(Declarations!B11=0,"",Declarations!B11)</f>
        <v>6</v>
      </c>
      <c r="B254" s="150" t="str">
        <f>IF(ISNA(VLOOKUP(A254,Declarations!B$6:C$185,2,FALSE)),"",IF(VLOOKUP(A254,Declarations!B$6:C$185,2,FALSE)="","",VLOOKUP(A254,Declarations!B$6:C$185,2,FALSE)))</f>
        <v>RUBY WILLIAMS</v>
      </c>
      <c r="C254" s="150" t="str">
        <f>IF(ISNA(VLOOKUP(A254,Declarations!B$6:F$185,5,FALSE)),"",IF(VLOOKUP(A254,Declarations!B$6:F$185,5,FALSE)="","",VLOOKUP(A254,Declarations!B$6:F$185,5,FALSE)))</f>
        <v>Camberley &amp; District AC</v>
      </c>
      <c r="D254" s="150" t="str">
        <f>IF(ISNA(VLOOKUP(A254,Declarations!B$6:F$185,4,FALSE)),"",IF(VLOOKUP(A254,Declarations!B$6:F$185,4,FALSE)="","",VLOOKUP(A254,Declarations!B$6:F$185,4,FALSE)))</f>
        <v>GIRLS</v>
      </c>
      <c r="E254" s="150" t="str">
        <f>IF(ISNA(VLOOKUP(A254,Declarations!B$6:D$185,3,FALSE)),"",IF(VLOOKUP(A254,Declarations!B$6:D$185,3,FALSE)="","",VLOOKUP(A254,Declarations!B$6:D$185,3,FALSE)))</f>
        <v>U12</v>
      </c>
      <c r="F254" s="49">
        <f>IF(B254="","",IF(ISNA(VLOOKUP(A254,'75m'!F$5:G$302,2,FALSE)),"",VLOOKUP(A254,'75m'!F$5:G$302,2,FALSE)))</f>
        <v>12.6</v>
      </c>
      <c r="G254" s="49">
        <f>IF(B254="",0,IF(ISNA(_xlfn.XLOOKUP(A254,'75m'!F$5:F$302,'75m'!M$5:M$302)),0,_xlfn.XLOOKUP(A254,'75m'!F$5:F$302,'75m'!M$5:M$302)))</f>
        <v>78</v>
      </c>
      <c r="H254" s="49" t="str">
        <f>IF(B254="","",IF(ISNA(VLOOKUP(A254,'75m'!F$5:K$302,6,FALSE)),"",VLOOKUP(A254,'75m'!F$5:K$302,6,FALSE)))</f>
        <v>PB6</v>
      </c>
      <c r="I254" s="51">
        <f>IF(B254="",0,IF(ISNA(VLOOKUP(A254,'600m'!F$5:J$302,2,FALSE)),0,VLOOKUP(A254,'600m'!F$5:J$302,2,FALSE)))</f>
        <v>1.5081018518518521E-3</v>
      </c>
      <c r="J254" s="49">
        <f>IF(B254="",0,IF(ISNA(_xlfn.XLOOKUP(A254,'600m'!F$5:F$302,'600m'!M$5:M$302)),0,_xlfn.XLOOKUP(A254,'600m'!F$5:F$302,'600m'!M$5:M$302)))</f>
        <v>59</v>
      </c>
      <c r="K254" s="49" t="str">
        <f>IF(B254="","",IF(ISNA(VLOOKUP(A254,'600m'!F$5:K$302,6,FALSE)),"",VLOOKUP(A254,'600m'!F$5:K$302,6,FALSE)))</f>
        <v>PB3</v>
      </c>
      <c r="L254" s="49">
        <f>IF(B254="","",IF(ISNA(VLOOKUP(A254,LongJump!F$5:G$302,2,FALSE)),"",VLOOKUP(A254,LongJump!F$5:G$302,2,FALSE)))</f>
        <v>3.16</v>
      </c>
      <c r="M254" s="49">
        <f>IF(B254="",0,IF(ISNA(_xlfn.XLOOKUP(A254,LongJump!F$5:F$302,LongJump!M$5:M$302)),0,_xlfn.XLOOKUP(A254,LongJump!F$5:F$302,LongJump!M$5:M$302)))</f>
        <v>75</v>
      </c>
      <c r="N254" s="49" t="str">
        <f>IF(B254="","",IF(ISNA(VLOOKUP(A254,LongJump!F$5:K$302,6,FALSE)),0,VLOOKUP(A254,LongJump!F$5:K$302,6,FALSE)))</f>
        <v>PB6</v>
      </c>
      <c r="O254" s="49">
        <f>IF(B254="","",IF(ISNA(VLOOKUP(A254,Vortex!F$5:J$302,2,FALSE)),"",VLOOKUP(A254,Vortex!F$5:J$302,2,FALSE)))</f>
        <v>21.37</v>
      </c>
      <c r="P254" s="49">
        <f>IF(B254="",0,IF(ISNA(_xlfn.XLOOKUP(A254,Vortex!F$5:F$302,Vortex!M$5:M$302)),0,_xlfn.XLOOKUP(A254,Vortex!F$5:F$302,Vortex!M$5:M$302)))</f>
        <v>66</v>
      </c>
      <c r="Q254" s="49">
        <f t="shared" si="22"/>
        <v>278</v>
      </c>
      <c r="R254" s="49" t="str">
        <f t="shared" si="23"/>
        <v/>
      </c>
      <c r="S254" s="49">
        <f t="shared" si="24"/>
        <v>4</v>
      </c>
      <c r="T254" s="49" t="str">
        <f t="shared" si="25"/>
        <v/>
      </c>
      <c r="U254" s="49">
        <f t="shared" si="26"/>
        <v>15</v>
      </c>
    </row>
    <row r="255" spans="1:27">
      <c r="A255" s="49">
        <f>IF(Declarations!B12=0,"",Declarations!B12)</f>
        <v>7</v>
      </c>
      <c r="B255" s="150" t="str">
        <f>IF(ISNA(VLOOKUP(A255,Declarations!B$6:C$185,2,FALSE)),"",IF(VLOOKUP(A255,Declarations!B$6:C$185,2,FALSE)="","",VLOOKUP(A255,Declarations!B$6:C$185,2,FALSE)))</f>
        <v>LEA MIZEN</v>
      </c>
      <c r="C255" s="150" t="str">
        <f>IF(ISNA(VLOOKUP(A255,Declarations!B$6:F$185,5,FALSE)),"",IF(VLOOKUP(A255,Declarations!B$6:F$185,5,FALSE)="","",VLOOKUP(A255,Declarations!B$6:F$185,5,FALSE)))</f>
        <v>Camberley &amp; District AC</v>
      </c>
      <c r="D255" s="150" t="str">
        <f>IF(ISNA(VLOOKUP(A255,Declarations!B$6:F$185,4,FALSE)),"",IF(VLOOKUP(A255,Declarations!B$6:F$185,4,FALSE)="","",VLOOKUP(A255,Declarations!B$6:F$185,4,FALSE)))</f>
        <v>GIRLS</v>
      </c>
      <c r="E255" s="150" t="str">
        <f>IF(ISNA(VLOOKUP(A255,Declarations!B$6:D$185,3,FALSE)),"",IF(VLOOKUP(A255,Declarations!B$6:D$185,3,FALSE)="","",VLOOKUP(A255,Declarations!B$6:D$185,3,FALSE)))</f>
        <v>U12</v>
      </c>
      <c r="F255" s="49">
        <f>IF(B255="","",IF(ISNA(VLOOKUP(A255,'75m'!F$5:G$302,2,FALSE)),"",VLOOKUP(A255,'75m'!F$5:G$302,2,FALSE)))</f>
        <v>11.1</v>
      </c>
      <c r="G255" s="49">
        <f>IF(B255="",0,IF(ISNA(_xlfn.XLOOKUP(A255,'75m'!F$5:F$302,'75m'!M$5:M$302)),0,_xlfn.XLOOKUP(A255,'75m'!F$5:F$302,'75m'!M$5:M$302)))</f>
        <v>112</v>
      </c>
      <c r="H255" s="49" t="str">
        <f>IF(B255="","",IF(ISNA(VLOOKUP(A255,'75m'!F$5:K$302,6,FALSE)),"",VLOOKUP(A255,'75m'!F$5:K$302,6,FALSE)))</f>
        <v>PB9</v>
      </c>
      <c r="I255" s="51">
        <f>IF(B255="",0,IF(ISNA(VLOOKUP(A255,'600m'!F$5:J$302,2,FALSE)),0,VLOOKUP(A255,'600m'!F$5:J$302,2,FALSE)))</f>
        <v>1.3993055555555555E-3</v>
      </c>
      <c r="J255" s="49">
        <f>IF(B255="",0,IF(ISNA(_xlfn.XLOOKUP(A255,'600m'!F$5:F$302,'600m'!M$5:M$302)),0,_xlfn.XLOOKUP(A255,'600m'!F$5:F$302,'600m'!M$5:M$302)))</f>
        <v>78</v>
      </c>
      <c r="K255" s="49" t="str">
        <f>IF(B255="","",IF(ISNA(VLOOKUP(A255,'600m'!F$5:K$302,6,FALSE)),"",VLOOKUP(A255,'600m'!F$5:K$302,6,FALSE)))</f>
        <v>PB5</v>
      </c>
      <c r="L255" s="49">
        <f>IF(B255="","",IF(ISNA(VLOOKUP(A255,LongJump!F$5:G$302,2,FALSE)),"",VLOOKUP(A255,LongJump!F$5:G$302,2,FALSE)))</f>
        <v>3.4</v>
      </c>
      <c r="M255" s="49">
        <f>IF(B255="",0,IF(ISNA(_xlfn.XLOOKUP(A255,LongJump!F$5:F$302,LongJump!M$5:M$302)),0,_xlfn.XLOOKUP(A255,LongJump!F$5:F$302,LongJump!M$5:M$302)))</f>
        <v>85</v>
      </c>
      <c r="N255" s="49" t="str">
        <f>IF(B255="","",IF(ISNA(VLOOKUP(A255,LongJump!F$5:K$302,6,FALSE)),0,VLOOKUP(A255,LongJump!F$5:K$302,6,FALSE)))</f>
        <v>PB7</v>
      </c>
      <c r="O255" s="49">
        <f>IF(B255="","",IF(ISNA(VLOOKUP(A255,Vortex!F$5:J$302,2,FALSE)),"",VLOOKUP(A255,Vortex!F$5:J$302,2,FALSE)))</f>
        <v>18.399999999999999</v>
      </c>
      <c r="P255" s="49">
        <f>IF(B255="",0,IF(ISNA(_xlfn.XLOOKUP(A255,Vortex!F$5:F$302,Vortex!M$5:M$302)),0,_xlfn.XLOOKUP(A255,Vortex!F$5:F$302,Vortex!M$5:M$302)))</f>
        <v>52</v>
      </c>
      <c r="Q255" s="49">
        <f t="shared" si="22"/>
        <v>327</v>
      </c>
      <c r="R255" s="49" t="str">
        <f t="shared" si="23"/>
        <v/>
      </c>
      <c r="S255" s="49">
        <f t="shared" si="24"/>
        <v>2</v>
      </c>
      <c r="T255" s="49" t="str">
        <f t="shared" si="25"/>
        <v/>
      </c>
      <c r="U255" s="49">
        <f t="shared" si="26"/>
        <v>6</v>
      </c>
    </row>
    <row r="256" spans="1:27">
      <c r="A256" s="49">
        <f>IF(Declarations!B13=0,"",Declarations!B13)</f>
        <v>8</v>
      </c>
      <c r="B256" s="150" t="str">
        <f>IF(ISNA(VLOOKUP(A256,Declarations!B$6:C$185,2,FALSE)),"",IF(VLOOKUP(A256,Declarations!B$6:C$185,2,FALSE)="","",VLOOKUP(A256,Declarations!B$6:C$185,2,FALSE)))</f>
        <v>CHLOE HARRISON</v>
      </c>
      <c r="C256" s="150" t="str">
        <f>IF(ISNA(VLOOKUP(A256,Declarations!B$6:F$185,5,FALSE)),"",IF(VLOOKUP(A256,Declarations!B$6:F$185,5,FALSE)="","",VLOOKUP(A256,Declarations!B$6:F$185,5,FALSE)))</f>
        <v>Camberley &amp; District AC</v>
      </c>
      <c r="D256" s="150" t="str">
        <f>IF(ISNA(VLOOKUP(A256,Declarations!B$6:F$185,4,FALSE)),"",IF(VLOOKUP(A256,Declarations!B$6:F$185,4,FALSE)="","",VLOOKUP(A256,Declarations!B$6:F$185,4,FALSE)))</f>
        <v>GIRLS</v>
      </c>
      <c r="E256" s="150" t="str">
        <f>IF(ISNA(VLOOKUP(A256,Declarations!B$6:D$185,3,FALSE)),"",IF(VLOOKUP(A256,Declarations!B$6:D$185,3,FALSE)="","",VLOOKUP(A256,Declarations!B$6:D$185,3,FALSE)))</f>
        <v>U12</v>
      </c>
      <c r="F256" s="49">
        <f>IF(B256="","",IF(ISNA(VLOOKUP(A256,'75m'!F$5:G$302,2,FALSE)),"",VLOOKUP(A256,'75m'!F$5:G$302,2,FALSE)))</f>
        <v>12.1</v>
      </c>
      <c r="G256" s="49">
        <f>IF(B256="",0,IF(ISNA(_xlfn.XLOOKUP(A256,'75m'!F$5:F$302,'75m'!M$5:M$302)),0,_xlfn.XLOOKUP(A256,'75m'!F$5:F$302,'75m'!M$5:M$302)))</f>
        <v>90</v>
      </c>
      <c r="H256" s="49" t="str">
        <f>IF(B256="","",IF(ISNA(VLOOKUP(A256,'75m'!F$5:K$302,6,FALSE)),"",VLOOKUP(A256,'75m'!F$5:K$302,6,FALSE)))</f>
        <v>PB8</v>
      </c>
      <c r="I256" s="51">
        <f>IF(B256="",0,IF(ISNA(VLOOKUP(A256,'600m'!F$5:J$302,2,FALSE)),0,VLOOKUP(A256,'600m'!F$5:J$302,2,FALSE)))</f>
        <v>1.6111111111111109E-3</v>
      </c>
      <c r="J256" s="49">
        <f>IF(B256="",0,IF(ISNA(_xlfn.XLOOKUP(A256,'600m'!F$5:F$302,'600m'!M$5:M$302)),0,_xlfn.XLOOKUP(A256,'600m'!F$5:F$302,'600m'!M$5:M$302)))</f>
        <v>41</v>
      </c>
      <c r="K256" s="49" t="str">
        <f>IF(B256="","",IF(ISNA(VLOOKUP(A256,'600m'!F$5:K$302,6,FALSE)),"",VLOOKUP(A256,'600m'!F$5:K$302,6,FALSE)))</f>
        <v>PB2</v>
      </c>
      <c r="L256" s="49" t="str">
        <f>IF(B256="","",IF(ISNA(VLOOKUP(A256,LongJump!F$5:G$302,2,FALSE)),"",VLOOKUP(A256,LongJump!F$5:G$302,2,FALSE)))</f>
        <v/>
      </c>
      <c r="M256" s="49">
        <f>IF(B256="",0,IF(ISNA(_xlfn.XLOOKUP(A256,LongJump!F$5:F$302,LongJump!M$5:M$302)),0,_xlfn.XLOOKUP(A256,LongJump!F$5:F$302,LongJump!M$5:M$302)))</f>
        <v>0</v>
      </c>
      <c r="N256" s="49">
        <f>IF(B256="","",IF(ISNA(VLOOKUP(A256,LongJump!F$5:K$302,6,FALSE)),0,VLOOKUP(A256,LongJump!F$5:K$302,6,FALSE)))</f>
        <v>0</v>
      </c>
      <c r="O256" s="49">
        <f>IF(B256="","",IF(ISNA(VLOOKUP(A256,Vortex!F$5:J$302,2,FALSE)),"",VLOOKUP(A256,Vortex!F$5:J$302,2,FALSE)))</f>
        <v>21.6</v>
      </c>
      <c r="P256" s="49">
        <f>IF(B256="",0,IF(ISNA(_xlfn.XLOOKUP(A256,Vortex!F$5:F$302,Vortex!M$5:M$302)),0,_xlfn.XLOOKUP(A256,Vortex!F$5:F$302,Vortex!M$5:M$302)))</f>
        <v>68</v>
      </c>
      <c r="Q256" s="49">
        <f t="shared" si="22"/>
        <v>199</v>
      </c>
      <c r="R256" s="49" t="str">
        <f t="shared" si="23"/>
        <v/>
      </c>
      <c r="S256" s="49">
        <f t="shared" si="24"/>
        <v>8</v>
      </c>
      <c r="T256" s="49" t="str">
        <f t="shared" si="25"/>
        <v/>
      </c>
      <c r="U256" s="49">
        <f t="shared" si="26"/>
        <v>39</v>
      </c>
    </row>
    <row r="257" spans="1:21">
      <c r="A257" s="49">
        <f>IF(Declarations!B14=0,"",Declarations!B14)</f>
        <v>9</v>
      </c>
      <c r="B257" s="150" t="str">
        <f>IF(ISNA(VLOOKUP(A257,Declarations!B$6:C$185,2,FALSE)),"",IF(VLOOKUP(A257,Declarations!B$6:C$185,2,FALSE)="","",VLOOKUP(A257,Declarations!B$6:C$185,2,FALSE)))</f>
        <v/>
      </c>
      <c r="C257" s="150" t="str">
        <f>IF(ISNA(VLOOKUP(A257,Declarations!B$6:F$185,5,FALSE)),"",IF(VLOOKUP(A257,Declarations!B$6:F$185,5,FALSE)="","",VLOOKUP(A257,Declarations!B$6:F$185,5,FALSE)))</f>
        <v>Camberley &amp; District AC</v>
      </c>
      <c r="D257" s="150" t="str">
        <f>IF(ISNA(VLOOKUP(A257,Declarations!B$6:F$185,4,FALSE)),"",IF(VLOOKUP(A257,Declarations!B$6:F$185,4,FALSE)="","",VLOOKUP(A257,Declarations!B$6:F$185,4,FALSE)))</f>
        <v>GIRLS</v>
      </c>
      <c r="E257" s="150" t="str">
        <f>IF(ISNA(VLOOKUP(A257,Declarations!B$6:D$185,3,FALSE)),"",IF(VLOOKUP(A257,Declarations!B$6:D$185,3,FALSE)="","",VLOOKUP(A257,Declarations!B$6:D$185,3,FALSE)))</f>
        <v>U12</v>
      </c>
      <c r="F257" s="49" t="str">
        <f>IF(B257="","",IF(ISNA(VLOOKUP(A257,'75m'!F$5:G$302,2,FALSE)),"",VLOOKUP(A257,'75m'!F$5:G$302,2,FALSE)))</f>
        <v/>
      </c>
      <c r="G257" s="49">
        <f>IF(B257="",0,IF(ISNA(_xlfn.XLOOKUP(A257,'75m'!F$5:F$302,'75m'!M$5:M$302)),0,_xlfn.XLOOKUP(A257,'75m'!F$5:F$302,'75m'!M$5:M$302)))</f>
        <v>0</v>
      </c>
      <c r="H257" s="49" t="str">
        <f>IF(B257="","",IF(ISNA(VLOOKUP(A257,'75m'!F$5:K$302,6,FALSE)),"",VLOOKUP(A257,'75m'!F$5:K$302,6,FALSE)))</f>
        <v/>
      </c>
      <c r="I257" s="51">
        <f>IF(B257="",0,IF(ISNA(VLOOKUP(A257,'600m'!F$5:J$302,2,FALSE)),0,VLOOKUP(A257,'600m'!F$5:J$302,2,FALSE)))</f>
        <v>0</v>
      </c>
      <c r="J257" s="49">
        <f>IF(B257="",0,IF(ISNA(_xlfn.XLOOKUP(A257,'600m'!F$5:F$302,'600m'!M$5:M$302)),0,_xlfn.XLOOKUP(A257,'600m'!F$5:F$302,'600m'!M$5:M$302)))</f>
        <v>0</v>
      </c>
      <c r="K257" s="49" t="str">
        <f>IF(B257="","",IF(ISNA(VLOOKUP(A257,'600m'!F$5:K$302,6,FALSE)),"",VLOOKUP(A257,'600m'!F$5:K$302,6,FALSE)))</f>
        <v/>
      </c>
      <c r="L257" s="49" t="str">
        <f>IF(B257="","",IF(ISNA(VLOOKUP(A257,LongJump!F$5:G$302,2,FALSE)),"",VLOOKUP(A257,LongJump!F$5:G$302,2,FALSE)))</f>
        <v/>
      </c>
      <c r="M257" s="49">
        <f>IF(B257="",0,IF(ISNA(_xlfn.XLOOKUP(A257,LongJump!F$5:F$302,LongJump!M$5:M$302)),0,_xlfn.XLOOKUP(A257,LongJump!F$5:F$302,LongJump!M$5:M$302)))</f>
        <v>0</v>
      </c>
      <c r="N257" s="49" t="str">
        <f>IF(B257="","",IF(ISNA(VLOOKUP(A257,LongJump!F$5:K$302,6,FALSE)),0,VLOOKUP(A257,LongJump!F$5:K$302,6,FALSE)))</f>
        <v/>
      </c>
      <c r="O257" s="49" t="str">
        <f>IF(B257="","",IF(ISNA(VLOOKUP(A257,Vortex!F$5:J$302,2,FALSE)),"",VLOOKUP(A257,Vortex!F$5:J$302,2,FALSE)))</f>
        <v/>
      </c>
      <c r="P257" s="49">
        <f>IF(B257="",0,IF(ISNA(_xlfn.XLOOKUP(A257,Vortex!F$5:F$302,Vortex!M$5:M$302)),0,_xlfn.XLOOKUP(A257,Vortex!F$5:F$302,Vortex!M$5:M$302)))</f>
        <v>0</v>
      </c>
      <c r="Q257" s="49">
        <f t="shared" si="22"/>
        <v>0</v>
      </c>
      <c r="R257" s="49" t="str">
        <f t="shared" si="23"/>
        <v/>
      </c>
      <c r="S257" s="49" t="str">
        <f t="shared" si="24"/>
        <v/>
      </c>
      <c r="T257" s="49" t="str">
        <f t="shared" si="25"/>
        <v/>
      </c>
      <c r="U257" s="49" t="str">
        <f t="shared" si="26"/>
        <v/>
      </c>
    </row>
    <row r="258" spans="1:21">
      <c r="A258" s="49">
        <f>IF(Declarations!B15=0,"",Declarations!B15)</f>
        <v>10</v>
      </c>
      <c r="B258" s="150" t="str">
        <f>IF(ISNA(VLOOKUP(A258,Declarations!B$6:C$185,2,FALSE)),"",IF(VLOOKUP(A258,Declarations!B$6:C$185,2,FALSE)="","",VLOOKUP(A258,Declarations!B$6:C$185,2,FALSE)))</f>
        <v/>
      </c>
      <c r="C258" s="150" t="str">
        <f>IF(ISNA(VLOOKUP(A258,Declarations!B$6:F$185,5,FALSE)),"",IF(VLOOKUP(A258,Declarations!B$6:F$185,5,FALSE)="","",VLOOKUP(A258,Declarations!B$6:F$185,5,FALSE)))</f>
        <v>Camberley &amp; District AC</v>
      </c>
      <c r="D258" s="150" t="str">
        <f>IF(ISNA(VLOOKUP(A258,Declarations!B$6:F$185,4,FALSE)),"",IF(VLOOKUP(A258,Declarations!B$6:F$185,4,FALSE)="","",VLOOKUP(A258,Declarations!B$6:F$185,4,FALSE)))</f>
        <v>GIRLS</v>
      </c>
      <c r="E258" s="150" t="str">
        <f>IF(ISNA(VLOOKUP(A258,Declarations!B$6:D$185,3,FALSE)),"",IF(VLOOKUP(A258,Declarations!B$6:D$185,3,FALSE)="","",VLOOKUP(A258,Declarations!B$6:D$185,3,FALSE)))</f>
        <v>U12</v>
      </c>
      <c r="F258" s="49" t="str">
        <f>IF(B258="","",IF(ISNA(VLOOKUP(A258,'75m'!F$5:G$302,2,FALSE)),"",VLOOKUP(A258,'75m'!F$5:G$302,2,FALSE)))</f>
        <v/>
      </c>
      <c r="G258" s="49">
        <f>IF(B258="",0,IF(ISNA(_xlfn.XLOOKUP(A258,'75m'!F$5:F$302,'75m'!M$5:M$302)),0,_xlfn.XLOOKUP(A258,'75m'!F$5:F$302,'75m'!M$5:M$302)))</f>
        <v>0</v>
      </c>
      <c r="H258" s="49" t="str">
        <f>IF(B258="","",IF(ISNA(VLOOKUP(A258,'75m'!F$5:K$302,6,FALSE)),"",VLOOKUP(A258,'75m'!F$5:K$302,6,FALSE)))</f>
        <v/>
      </c>
      <c r="I258" s="51">
        <f>IF(B258="",0,IF(ISNA(VLOOKUP(A258,'600m'!F$5:J$302,2,FALSE)),0,VLOOKUP(A258,'600m'!F$5:J$302,2,FALSE)))</f>
        <v>0</v>
      </c>
      <c r="J258" s="49">
        <f>IF(B258="",0,IF(ISNA(_xlfn.XLOOKUP(A258,'600m'!F$5:F$302,'600m'!M$5:M$302)),0,_xlfn.XLOOKUP(A258,'600m'!F$5:F$302,'600m'!M$5:M$302)))</f>
        <v>0</v>
      </c>
      <c r="K258" s="49" t="str">
        <f>IF(B258="","",IF(ISNA(VLOOKUP(A258,'600m'!F$5:K$302,6,FALSE)),"",VLOOKUP(A258,'600m'!F$5:K$302,6,FALSE)))</f>
        <v/>
      </c>
      <c r="L258" s="49" t="str">
        <f>IF(B258="","",IF(ISNA(VLOOKUP(A258,LongJump!F$5:G$302,2,FALSE)),"",VLOOKUP(A258,LongJump!F$5:G$302,2,FALSE)))</f>
        <v/>
      </c>
      <c r="M258" s="49">
        <f>IF(B258="",0,IF(ISNA(_xlfn.XLOOKUP(A258,LongJump!F$5:F$302,LongJump!M$5:M$302)),0,_xlfn.XLOOKUP(A258,LongJump!F$5:F$302,LongJump!M$5:M$302)))</f>
        <v>0</v>
      </c>
      <c r="N258" s="49" t="str">
        <f>IF(B258="","",IF(ISNA(VLOOKUP(A258,LongJump!F$5:K$302,6,FALSE)),0,VLOOKUP(A258,LongJump!F$5:K$302,6,FALSE)))</f>
        <v/>
      </c>
      <c r="O258" s="49" t="str">
        <f>IF(B258="","",IF(ISNA(VLOOKUP(A258,Vortex!F$5:J$302,2,FALSE)),"",VLOOKUP(A258,Vortex!F$5:J$302,2,FALSE)))</f>
        <v/>
      </c>
      <c r="P258" s="49">
        <f>IF(B258="",0,IF(ISNA(_xlfn.XLOOKUP(A258,Vortex!F$5:F$302,Vortex!M$5:M$302)),0,_xlfn.XLOOKUP(A258,Vortex!F$5:F$302,Vortex!M$5:M$302)))</f>
        <v>0</v>
      </c>
      <c r="Q258" s="49">
        <f t="shared" si="22"/>
        <v>0</v>
      </c>
      <c r="R258" s="49" t="str">
        <f t="shared" si="23"/>
        <v/>
      </c>
      <c r="S258" s="49" t="str">
        <f t="shared" si="24"/>
        <v/>
      </c>
      <c r="T258" s="49" t="str">
        <f t="shared" si="25"/>
        <v/>
      </c>
      <c r="U258" s="49" t="str">
        <f t="shared" si="26"/>
        <v/>
      </c>
    </row>
    <row r="259" spans="1:21">
      <c r="A259" s="49">
        <f>IF(Declarations!B16=0,"",Declarations!B16)</f>
        <v>11</v>
      </c>
      <c r="B259" s="150" t="str">
        <f>IF(ISNA(VLOOKUP(A259,Declarations!B$6:C$185,2,FALSE)),"",IF(VLOOKUP(A259,Declarations!B$6:C$185,2,FALSE)="","",VLOOKUP(A259,Declarations!B$6:C$185,2,FALSE)))</f>
        <v>MATTHEW SCALES</v>
      </c>
      <c r="C259" s="150" t="str">
        <f>IF(ISNA(VLOOKUP(A259,Declarations!B$6:F$185,5,FALSE)),"",IF(VLOOKUP(A259,Declarations!B$6:F$185,5,FALSE)="","",VLOOKUP(A259,Declarations!B$6:F$185,5,FALSE)))</f>
        <v>Camberley &amp; District AC</v>
      </c>
      <c r="D259" s="150" t="str">
        <f>IF(ISNA(VLOOKUP(A259,Declarations!B$6:F$185,4,FALSE)),"",IF(VLOOKUP(A259,Declarations!B$6:F$185,4,FALSE)="","",VLOOKUP(A259,Declarations!B$6:F$185,4,FALSE)))</f>
        <v>BOYS</v>
      </c>
      <c r="E259" s="150" t="str">
        <f>IF(ISNA(VLOOKUP(A259,Declarations!B$6:D$185,3,FALSE)),"",IF(VLOOKUP(A259,Declarations!B$6:D$185,3,FALSE)="","",VLOOKUP(A259,Declarations!B$6:D$185,3,FALSE)))</f>
        <v>U12</v>
      </c>
      <c r="F259" s="49">
        <f>IF(B259="","",IF(ISNA(VLOOKUP(A259,'75m'!F$5:G$302,2,FALSE)),"",VLOOKUP(A259,'75m'!F$5:G$302,2,FALSE)))</f>
        <v>11</v>
      </c>
      <c r="G259" s="49">
        <f>IF(B259="",0,IF(ISNA(_xlfn.XLOOKUP(A259,'75m'!F$5:F$302,'75m'!M$5:M$302)),0,_xlfn.XLOOKUP(A259,'75m'!F$5:F$302,'75m'!M$5:M$302)))</f>
        <v>105</v>
      </c>
      <c r="H259" s="49" t="str">
        <f>IF(B259="","",IF(ISNA(VLOOKUP(A259,'75m'!F$5:K$302,6,FALSE)),"",VLOOKUP(A259,'75m'!F$5:K$302,6,FALSE)))</f>
        <v>PB9</v>
      </c>
      <c r="I259" s="51">
        <f>IF(B259="",0,IF(ISNA(VLOOKUP(A259,'600m'!F$5:J$302,2,FALSE)),0,VLOOKUP(A259,'600m'!F$5:J$302,2,FALSE)))</f>
        <v>1.2789351851851853E-3</v>
      </c>
      <c r="J259" s="49">
        <f>IF(B259="",0,IF(ISNA(_xlfn.XLOOKUP(A259,'600m'!F$5:F$302,'600m'!M$5:M$302)),0,_xlfn.XLOOKUP(A259,'600m'!F$5:F$302,'600m'!M$5:M$302)))</f>
        <v>85</v>
      </c>
      <c r="K259" s="49" t="str">
        <f>IF(B259="","",IF(ISNA(VLOOKUP(A259,'600m'!F$5:K$302,6,FALSE)),"",VLOOKUP(A259,'600m'!F$5:K$302,6,FALSE)))</f>
        <v>PB7</v>
      </c>
      <c r="L259" s="49">
        <f>IF(B259="","",IF(ISNA(VLOOKUP(A259,LongJump!F$5:G$302,2,FALSE)),"",VLOOKUP(A259,LongJump!F$5:G$302,2,FALSE)))</f>
        <v>3.83</v>
      </c>
      <c r="M259" s="49">
        <f>IF(B259="",0,IF(ISNA(_xlfn.XLOOKUP(A259,LongJump!F$5:F$302,LongJump!M$5:M$302)),0,_xlfn.XLOOKUP(A259,LongJump!F$5:F$302,LongJump!M$5:M$302)))</f>
        <v>92</v>
      </c>
      <c r="N259" s="49" t="str">
        <f>IF(B259="","",IF(ISNA(VLOOKUP(A259,LongJump!F$5:K$302,6,FALSE)),0,VLOOKUP(A259,LongJump!F$5:K$302,6,FALSE)))</f>
        <v>PB8</v>
      </c>
      <c r="O259" s="49">
        <f>IF(B259="","",IF(ISNA(VLOOKUP(A259,Vortex!F$5:J$302,2,FALSE)),"",VLOOKUP(A259,Vortex!F$5:J$302,2,FALSE)))</f>
        <v>29.83</v>
      </c>
      <c r="P259" s="49">
        <f>IF(B259="",0,IF(ISNA(_xlfn.XLOOKUP(A259,Vortex!F$5:F$302,Vortex!M$5:M$302)),0,_xlfn.XLOOKUP(A259,Vortex!F$5:F$302,Vortex!M$5:M$302)))</f>
        <v>99</v>
      </c>
      <c r="Q259" s="49">
        <f t="shared" si="22"/>
        <v>381</v>
      </c>
      <c r="R259" s="49" t="str">
        <f t="shared" si="23"/>
        <v/>
      </c>
      <c r="S259" s="49">
        <f t="shared" si="24"/>
        <v>1</v>
      </c>
      <c r="T259" s="49" t="str">
        <f t="shared" si="25"/>
        <v/>
      </c>
      <c r="U259" s="49">
        <f t="shared" si="26"/>
        <v>2</v>
      </c>
    </row>
    <row r="260" spans="1:21">
      <c r="A260" s="49">
        <f>IF(Declarations!B17=0,"",Declarations!B17)</f>
        <v>12</v>
      </c>
      <c r="B260" s="150" t="str">
        <f>IF(ISNA(VLOOKUP(A260,Declarations!B$6:C$185,2,FALSE)),"",IF(VLOOKUP(A260,Declarations!B$6:C$185,2,FALSE)="","",VLOOKUP(A260,Declarations!B$6:C$185,2,FALSE)))</f>
        <v>OSCAR FROST</v>
      </c>
      <c r="C260" s="150" t="str">
        <f>IF(ISNA(VLOOKUP(A260,Declarations!B$6:F$185,5,FALSE)),"",IF(VLOOKUP(A260,Declarations!B$6:F$185,5,FALSE)="","",VLOOKUP(A260,Declarations!B$6:F$185,5,FALSE)))</f>
        <v>Camberley &amp; District AC</v>
      </c>
      <c r="D260" s="150" t="str">
        <f>IF(ISNA(VLOOKUP(A260,Declarations!B$6:F$185,4,FALSE)),"",IF(VLOOKUP(A260,Declarations!B$6:F$185,4,FALSE)="","",VLOOKUP(A260,Declarations!B$6:F$185,4,FALSE)))</f>
        <v>BOYS</v>
      </c>
      <c r="E260" s="150" t="str">
        <f>IF(ISNA(VLOOKUP(A260,Declarations!B$6:D$185,3,FALSE)),"",IF(VLOOKUP(A260,Declarations!B$6:D$185,3,FALSE)="","",VLOOKUP(A260,Declarations!B$6:D$185,3,FALSE)))</f>
        <v>U12</v>
      </c>
      <c r="F260" s="49">
        <f>IF(B260="","",IF(ISNA(VLOOKUP(A260,'75m'!F$5:G$302,2,FALSE)),"",VLOOKUP(A260,'75m'!F$5:G$302,2,FALSE)))</f>
        <v>11.9</v>
      </c>
      <c r="G260" s="49">
        <f>IF(B260="",0,IF(ISNA(_xlfn.XLOOKUP(A260,'75m'!F$5:F$302,'75m'!M$5:M$302)),0,_xlfn.XLOOKUP(A260,'75m'!F$5:F$302,'75m'!M$5:M$302)))</f>
        <v>82</v>
      </c>
      <c r="H260" s="49" t="str">
        <f>IF(B260="","",IF(ISNA(VLOOKUP(A260,'75m'!F$5:K$302,6,FALSE)),"",VLOOKUP(A260,'75m'!F$5:K$302,6,FALSE)))</f>
        <v>PB7</v>
      </c>
      <c r="I260" s="51">
        <f>IF(B260="",0,IF(ISNA(VLOOKUP(A260,'600m'!F$5:J$302,2,FALSE)),0,VLOOKUP(A260,'600m'!F$5:J$302,2,FALSE)))</f>
        <v>1.3888888888888889E-3</v>
      </c>
      <c r="J260" s="49">
        <f>IF(B260="",0,IF(ISNA(_xlfn.XLOOKUP(A260,'600m'!F$5:F$302,'600m'!M$5:M$302)),0,_xlfn.XLOOKUP(A260,'600m'!F$5:F$302,'600m'!M$5:M$302)))</f>
        <v>60</v>
      </c>
      <c r="K260" s="49" t="str">
        <f>IF(B260="","",IF(ISNA(VLOOKUP(A260,'600m'!F$5:K$302,6,FALSE)),"",VLOOKUP(A260,'600m'!F$5:K$302,6,FALSE)))</f>
        <v>PB5</v>
      </c>
      <c r="L260" s="49">
        <f>IF(B260="","",IF(ISNA(VLOOKUP(A260,LongJump!F$5:G$302,2,FALSE)),"",VLOOKUP(A260,LongJump!F$5:G$302,2,FALSE)))</f>
        <v>3.09</v>
      </c>
      <c r="M260" s="49">
        <f>IF(B260="",0,IF(ISNA(_xlfn.XLOOKUP(A260,LongJump!F$5:F$302,LongJump!M$5:M$302)),0,_xlfn.XLOOKUP(A260,LongJump!F$5:F$302,LongJump!M$5:M$302)))</f>
        <v>63</v>
      </c>
      <c r="N260" s="49" t="str">
        <f>IF(B260="","",IF(ISNA(VLOOKUP(A260,LongJump!F$5:K$302,6,FALSE)),0,VLOOKUP(A260,LongJump!F$5:K$302,6,FALSE)))</f>
        <v>PB5</v>
      </c>
      <c r="O260" s="49">
        <f>IF(B260="","",IF(ISNA(VLOOKUP(A260,Vortex!F$5:J$302,2,FALSE)),"",VLOOKUP(A260,Vortex!F$5:J$302,2,FALSE)))</f>
        <v>22.86</v>
      </c>
      <c r="P260" s="49">
        <f>IF(B260="",0,IF(ISNA(_xlfn.XLOOKUP(A260,Vortex!F$5:F$302,Vortex!M$5:M$302)),0,_xlfn.XLOOKUP(A260,Vortex!F$5:F$302,Vortex!M$5:M$302)))</f>
        <v>64</v>
      </c>
      <c r="Q260" s="49">
        <f t="shared" si="22"/>
        <v>269</v>
      </c>
      <c r="R260" s="49" t="str">
        <f t="shared" si="23"/>
        <v/>
      </c>
      <c r="S260" s="49">
        <f t="shared" si="24"/>
        <v>2</v>
      </c>
      <c r="T260" s="49" t="str">
        <f t="shared" si="25"/>
        <v/>
      </c>
      <c r="U260" s="49">
        <f t="shared" si="26"/>
        <v>22</v>
      </c>
    </row>
    <row r="261" spans="1:21">
      <c r="A261" s="49">
        <f>IF(Declarations!B18=0,"",Declarations!B18)</f>
        <v>13</v>
      </c>
      <c r="B261" s="150" t="str">
        <f>IF(ISNA(VLOOKUP(A261,Declarations!B$6:C$185,2,FALSE)),"",IF(VLOOKUP(A261,Declarations!B$6:C$185,2,FALSE)="","",VLOOKUP(A261,Declarations!B$6:C$185,2,FALSE)))</f>
        <v>HARRY COLLINS</v>
      </c>
      <c r="C261" s="150" t="str">
        <f>IF(ISNA(VLOOKUP(A261,Declarations!B$6:F$185,5,FALSE)),"",IF(VLOOKUP(A261,Declarations!B$6:F$185,5,FALSE)="","",VLOOKUP(A261,Declarations!B$6:F$185,5,FALSE)))</f>
        <v>Camberley &amp; District AC</v>
      </c>
      <c r="D261" s="150" t="str">
        <f>IF(ISNA(VLOOKUP(A261,Declarations!B$6:F$185,4,FALSE)),"",IF(VLOOKUP(A261,Declarations!B$6:F$185,4,FALSE)="","",VLOOKUP(A261,Declarations!B$6:F$185,4,FALSE)))</f>
        <v>BOYS</v>
      </c>
      <c r="E261" s="150" t="str">
        <f>IF(ISNA(VLOOKUP(A261,Declarations!B$6:D$185,3,FALSE)),"",IF(VLOOKUP(A261,Declarations!B$6:D$185,3,FALSE)="","",VLOOKUP(A261,Declarations!B$6:D$185,3,FALSE)))</f>
        <v>U12</v>
      </c>
      <c r="F261" s="49">
        <f>IF(B261="","",IF(ISNA(VLOOKUP(A261,'75m'!F$5:G$302,2,FALSE)),"",VLOOKUP(A261,'75m'!F$5:G$302,2,FALSE)))</f>
        <v>12.5</v>
      </c>
      <c r="G261" s="49">
        <f>IF(B261="",0,IF(ISNA(_xlfn.XLOOKUP(A261,'75m'!F$5:F$302,'75m'!M$5:M$302)),0,_xlfn.XLOOKUP(A261,'75m'!F$5:F$302,'75m'!M$5:M$302)))</f>
        <v>70</v>
      </c>
      <c r="H261" s="49" t="str">
        <f>IF(B261="","",IF(ISNA(VLOOKUP(A261,'75m'!F$5:K$302,6,FALSE)),"",VLOOKUP(A261,'75m'!F$5:K$302,6,FALSE)))</f>
        <v>PB6</v>
      </c>
      <c r="I261" s="51">
        <f>IF(B261="",0,IF(ISNA(VLOOKUP(A261,'600m'!F$5:J$302,2,FALSE)),0,VLOOKUP(A261,'600m'!F$5:J$302,2,FALSE)))</f>
        <v>1.4212962962962964E-3</v>
      </c>
      <c r="J261" s="49">
        <f>IF(B261="",0,IF(ISNA(_xlfn.XLOOKUP(A261,'600m'!F$5:F$302,'600m'!M$5:M$302)),0,_xlfn.XLOOKUP(A261,'600m'!F$5:F$302,'600m'!M$5:M$302)))</f>
        <v>54</v>
      </c>
      <c r="K261" s="49" t="str">
        <f>IF(B261="","",IF(ISNA(VLOOKUP(A261,'600m'!F$5:K$302,6,FALSE)),"",VLOOKUP(A261,'600m'!F$5:K$302,6,FALSE)))</f>
        <v>PB4</v>
      </c>
      <c r="L261" s="49">
        <f>IF(B261="","",IF(ISNA(VLOOKUP(A261,LongJump!F$5:G$302,2,FALSE)),"",VLOOKUP(A261,LongJump!F$5:G$302,2,FALSE)))</f>
        <v>2.99</v>
      </c>
      <c r="M261" s="49">
        <f>IF(B261="",0,IF(ISNA(_xlfn.XLOOKUP(A261,LongJump!F$5:F$302,LongJump!M$5:M$302)),0,_xlfn.XLOOKUP(A261,LongJump!F$5:F$302,LongJump!M$5:M$302)))</f>
        <v>59</v>
      </c>
      <c r="N261" s="49" t="str">
        <f>IF(B261="","",IF(ISNA(VLOOKUP(A261,LongJump!F$5:K$302,6,FALSE)),0,VLOOKUP(A261,LongJump!F$5:K$302,6,FALSE)))</f>
        <v>PB4</v>
      </c>
      <c r="O261" s="49">
        <f>IF(B261="","",IF(ISNA(VLOOKUP(A261,Vortex!F$5:J$302,2,FALSE)),"",VLOOKUP(A261,Vortex!F$5:J$302,2,FALSE)))</f>
        <v>21.13</v>
      </c>
      <c r="P261" s="49">
        <f>IF(B261="",0,IF(ISNA(_xlfn.XLOOKUP(A261,Vortex!F$5:F$302,Vortex!M$5:M$302)),0,_xlfn.XLOOKUP(A261,Vortex!F$5:F$302,Vortex!M$5:M$302)))</f>
        <v>55</v>
      </c>
      <c r="Q261" s="49">
        <f t="shared" si="22"/>
        <v>238</v>
      </c>
      <c r="R261" s="49" t="str">
        <f t="shared" si="23"/>
        <v/>
      </c>
      <c r="S261" s="49">
        <f t="shared" si="24"/>
        <v>4</v>
      </c>
      <c r="T261" s="49" t="str">
        <f t="shared" si="25"/>
        <v/>
      </c>
      <c r="U261" s="49">
        <f t="shared" si="26"/>
        <v>29</v>
      </c>
    </row>
    <row r="262" spans="1:21">
      <c r="A262" s="49">
        <f>IF(Declarations!B19=0,"",Declarations!B19)</f>
        <v>14</v>
      </c>
      <c r="B262" s="150" t="str">
        <f>IF(ISNA(VLOOKUP(A262,Declarations!B$6:C$185,2,FALSE)),"",IF(VLOOKUP(A262,Declarations!B$6:C$185,2,FALSE)="","",VLOOKUP(A262,Declarations!B$6:C$185,2,FALSE)))</f>
        <v>DANIEL BURDON</v>
      </c>
      <c r="C262" s="150" t="str">
        <f>IF(ISNA(VLOOKUP(A262,Declarations!B$6:F$185,5,FALSE)),"",IF(VLOOKUP(A262,Declarations!B$6:F$185,5,FALSE)="","",VLOOKUP(A262,Declarations!B$6:F$185,5,FALSE)))</f>
        <v>Camberley &amp; District AC</v>
      </c>
      <c r="D262" s="150" t="str">
        <f>IF(ISNA(VLOOKUP(A262,Declarations!B$6:F$185,4,FALSE)),"",IF(VLOOKUP(A262,Declarations!B$6:F$185,4,FALSE)="","",VLOOKUP(A262,Declarations!B$6:F$185,4,FALSE)))</f>
        <v>BOYS</v>
      </c>
      <c r="E262" s="150" t="str">
        <f>IF(ISNA(VLOOKUP(A262,Declarations!B$6:D$185,3,FALSE)),"",IF(VLOOKUP(A262,Declarations!B$6:D$185,3,FALSE)="","",VLOOKUP(A262,Declarations!B$6:D$185,3,FALSE)))</f>
        <v>U12</v>
      </c>
      <c r="F262" s="49">
        <f>IF(B262="","",IF(ISNA(VLOOKUP(A262,'75m'!F$5:G$302,2,FALSE)),"",VLOOKUP(A262,'75m'!F$5:G$302,2,FALSE)))</f>
        <v>11.8</v>
      </c>
      <c r="G262" s="49">
        <f>IF(B262="",0,IF(ISNA(_xlfn.XLOOKUP(A262,'75m'!F$5:F$302,'75m'!M$5:M$302)),0,_xlfn.XLOOKUP(A262,'75m'!F$5:F$302,'75m'!M$5:M$302)))</f>
        <v>85</v>
      </c>
      <c r="H262" s="49" t="str">
        <f>IF(B262="","",IF(ISNA(VLOOKUP(A262,'75m'!F$5:K$302,6,FALSE)),"",VLOOKUP(A262,'75m'!F$5:K$302,6,FALSE)))</f>
        <v>PB7</v>
      </c>
      <c r="I262" s="51">
        <f>IF(B262="",0,IF(ISNA(VLOOKUP(A262,'600m'!F$5:J$302,2,FALSE)),0,VLOOKUP(A262,'600m'!F$5:J$302,2,FALSE)))</f>
        <v>1.4849537037037038E-3</v>
      </c>
      <c r="J262" s="49">
        <f>IF(B262="",0,IF(ISNA(_xlfn.XLOOKUP(A262,'600m'!F$5:F$302,'600m'!M$5:M$302)),0,_xlfn.XLOOKUP(A262,'600m'!F$5:F$302,'600m'!M$5:M$302)))</f>
        <v>43</v>
      </c>
      <c r="K262" s="49" t="str">
        <f>IF(B262="","",IF(ISNA(VLOOKUP(A262,'600m'!F$5:K$302,6,FALSE)),"",VLOOKUP(A262,'600m'!F$5:K$302,6,FALSE)))</f>
        <v>PB3</v>
      </c>
      <c r="L262" s="49">
        <f>IF(B262="","",IF(ISNA(VLOOKUP(A262,LongJump!F$5:G$302,2,FALSE)),"",VLOOKUP(A262,LongJump!F$5:G$302,2,FALSE)))</f>
        <v>3.3</v>
      </c>
      <c r="M262" s="49">
        <f>IF(B262="",0,IF(ISNA(_xlfn.XLOOKUP(A262,LongJump!F$5:F$302,LongJump!M$5:M$302)),0,_xlfn.XLOOKUP(A262,LongJump!F$5:F$302,LongJump!M$5:M$302)))</f>
        <v>71</v>
      </c>
      <c r="N262" s="49" t="str">
        <f>IF(B262="","",IF(ISNA(VLOOKUP(A262,LongJump!F$5:K$302,6,FALSE)),0,VLOOKUP(A262,LongJump!F$5:K$302,6,FALSE)))</f>
        <v>PB6</v>
      </c>
      <c r="O262" s="49">
        <f>IF(B262="","",IF(ISNA(VLOOKUP(A262,Vortex!F$5:J$302,2,FALSE)),"",VLOOKUP(A262,Vortex!F$5:J$302,2,FALSE)))</f>
        <v>17.190000000000001</v>
      </c>
      <c r="P262" s="49">
        <f>IF(B262="",0,IF(ISNA(_xlfn.XLOOKUP(A262,Vortex!F$5:F$302,Vortex!M$5:M$302)),0,_xlfn.XLOOKUP(A262,Vortex!F$5:F$302,Vortex!M$5:M$302)))</f>
        <v>35</v>
      </c>
      <c r="Q262" s="49">
        <f t="shared" si="22"/>
        <v>234</v>
      </c>
      <c r="R262" s="49" t="str">
        <f t="shared" si="23"/>
        <v/>
      </c>
      <c r="S262" s="49">
        <f t="shared" si="24"/>
        <v>5</v>
      </c>
      <c r="T262" s="49" t="str">
        <f t="shared" si="25"/>
        <v/>
      </c>
      <c r="U262" s="49">
        <f t="shared" si="26"/>
        <v>30</v>
      </c>
    </row>
    <row r="263" spans="1:21">
      <c r="A263" s="49">
        <f>IF(Declarations!B20=0,"",Declarations!B20)</f>
        <v>15</v>
      </c>
      <c r="B263" s="150" t="str">
        <f>IF(ISNA(VLOOKUP(A263,Declarations!B$6:C$185,2,FALSE)),"",IF(VLOOKUP(A263,Declarations!B$6:C$185,2,FALSE)="","",VLOOKUP(A263,Declarations!B$6:C$185,2,FALSE)))</f>
        <v>TOBI AKINLUYI</v>
      </c>
      <c r="C263" s="150" t="str">
        <f>IF(ISNA(VLOOKUP(A263,Declarations!B$6:F$185,5,FALSE)),"",IF(VLOOKUP(A263,Declarations!B$6:F$185,5,FALSE)="","",VLOOKUP(A263,Declarations!B$6:F$185,5,FALSE)))</f>
        <v>Camberley &amp; District AC</v>
      </c>
      <c r="D263" s="150" t="str">
        <f>IF(ISNA(VLOOKUP(A263,Declarations!B$6:F$185,4,FALSE)),"",IF(VLOOKUP(A263,Declarations!B$6:F$185,4,FALSE)="","",VLOOKUP(A263,Declarations!B$6:F$185,4,FALSE)))</f>
        <v>BOYS</v>
      </c>
      <c r="E263" s="150" t="str">
        <f>IF(ISNA(VLOOKUP(A263,Declarations!B$6:D$185,3,FALSE)),"",IF(VLOOKUP(A263,Declarations!B$6:D$185,3,FALSE)="","",VLOOKUP(A263,Declarations!B$6:D$185,3,FALSE)))</f>
        <v>U12</v>
      </c>
      <c r="F263" s="49">
        <f>IF(B263="","",IF(ISNA(VLOOKUP(A263,'75m'!F$5:G$302,2,FALSE)),"",VLOOKUP(A263,'75m'!F$5:G$302,2,FALSE)))</f>
        <v>10.9</v>
      </c>
      <c r="G263" s="49">
        <f>IF(B263="",0,IF(ISNA(_xlfn.XLOOKUP(A263,'75m'!F$5:F$302,'75m'!M$5:M$302)),0,_xlfn.XLOOKUP(A263,'75m'!F$5:F$302,'75m'!M$5:M$302)))</f>
        <v>107</v>
      </c>
      <c r="H263" s="49" t="str">
        <f>IF(B263="","",IF(ISNA(VLOOKUP(A263,'75m'!F$5:K$302,6,FALSE)),"",VLOOKUP(A263,'75m'!F$5:K$302,6,FALSE)))</f>
        <v>PB9</v>
      </c>
      <c r="I263" s="51">
        <f>IF(B263="",0,IF(ISNA(VLOOKUP(A263,'600m'!F$5:J$302,2,FALSE)),0,VLOOKUP(A263,'600m'!F$5:J$302,2,FALSE)))</f>
        <v>1.7604166666666666E-3</v>
      </c>
      <c r="J263" s="49">
        <f>IF(B263="",0,IF(ISNA(_xlfn.XLOOKUP(A263,'600m'!F$5:F$302,'600m'!M$5:M$302)),0,_xlfn.XLOOKUP(A263,'600m'!F$5:F$302,'600m'!M$5:M$302)))</f>
        <v>19</v>
      </c>
      <c r="K263" s="49" t="str">
        <f>IF(B263="","",IF(ISNA(VLOOKUP(A263,'600m'!F$5:K$302,6,FALSE)),"",VLOOKUP(A263,'600m'!F$5:K$302,6,FALSE)))</f>
        <v/>
      </c>
      <c r="L263" s="49">
        <f>IF(B263="","",IF(ISNA(VLOOKUP(A263,LongJump!F$5:G$302,2,FALSE)),"",VLOOKUP(A263,LongJump!F$5:G$302,2,FALSE)))</f>
        <v>3.07</v>
      </c>
      <c r="M263" s="49">
        <f>IF(B263="",0,IF(ISNA(_xlfn.XLOOKUP(A263,LongJump!F$5:F$302,LongJump!M$5:M$302)),0,_xlfn.XLOOKUP(A263,LongJump!F$5:F$302,LongJump!M$5:M$302)))</f>
        <v>62</v>
      </c>
      <c r="N263" s="49" t="str">
        <f>IF(B263="","",IF(ISNA(VLOOKUP(A263,LongJump!F$5:K$302,6,FALSE)),0,VLOOKUP(A263,LongJump!F$5:K$302,6,FALSE)))</f>
        <v>PB5</v>
      </c>
      <c r="O263" s="49">
        <f>IF(B263="","",IF(ISNA(VLOOKUP(A263,Vortex!F$5:J$302,2,FALSE)),"",VLOOKUP(A263,Vortex!F$5:J$302,2,FALSE)))</f>
        <v>15.01</v>
      </c>
      <c r="P263" s="49">
        <f>IF(B263="",0,IF(ISNA(_xlfn.XLOOKUP(A263,Vortex!F$5:F$302,Vortex!M$5:M$302)),0,_xlfn.XLOOKUP(A263,Vortex!F$5:F$302,Vortex!M$5:M$302)))</f>
        <v>25</v>
      </c>
      <c r="Q263" s="49">
        <f t="shared" si="22"/>
        <v>213</v>
      </c>
      <c r="R263" s="49" t="str">
        <f t="shared" si="23"/>
        <v/>
      </c>
      <c r="S263" s="49">
        <f t="shared" si="24"/>
        <v>6</v>
      </c>
      <c r="T263" s="49" t="str">
        <f t="shared" si="25"/>
        <v/>
      </c>
      <c r="U263" s="49">
        <f t="shared" si="26"/>
        <v>35</v>
      </c>
    </row>
    <row r="264" spans="1:21">
      <c r="A264" s="49">
        <f>IF(Declarations!B21=0,"",Declarations!B21)</f>
        <v>16</v>
      </c>
      <c r="B264" s="150" t="str">
        <f>IF(ISNA(VLOOKUP(A264,Declarations!B$6:C$185,2,FALSE)),"",IF(VLOOKUP(A264,Declarations!B$6:C$185,2,FALSE)="","",VLOOKUP(A264,Declarations!B$6:C$185,2,FALSE)))</f>
        <v>RAFI PAYNE</v>
      </c>
      <c r="C264" s="150" t="str">
        <f>IF(ISNA(VLOOKUP(A264,Declarations!B$6:F$185,5,FALSE)),"",IF(VLOOKUP(A264,Declarations!B$6:F$185,5,FALSE)="","",VLOOKUP(A264,Declarations!B$6:F$185,5,FALSE)))</f>
        <v>Camberley &amp; District AC</v>
      </c>
      <c r="D264" s="150" t="str">
        <f>IF(ISNA(VLOOKUP(A264,Declarations!B$6:F$185,4,FALSE)),"",IF(VLOOKUP(A264,Declarations!B$6:F$185,4,FALSE)="","",VLOOKUP(A264,Declarations!B$6:F$185,4,FALSE)))</f>
        <v>BOYS</v>
      </c>
      <c r="E264" s="150" t="str">
        <f>IF(ISNA(VLOOKUP(A264,Declarations!B$6:D$185,3,FALSE)),"",IF(VLOOKUP(A264,Declarations!B$6:D$185,3,FALSE)="","",VLOOKUP(A264,Declarations!B$6:D$185,3,FALSE)))</f>
        <v>U12</v>
      </c>
      <c r="F264" s="49">
        <f>IF(B264="","",IF(ISNA(VLOOKUP(A264,'75m'!F$5:G$302,2,FALSE)),"",VLOOKUP(A264,'75m'!F$5:G$302,2,FALSE)))</f>
        <v>12.6</v>
      </c>
      <c r="G264" s="49">
        <f>IF(B264="",0,IF(ISNA(_xlfn.XLOOKUP(A264,'75m'!F$5:F$302,'75m'!M$5:M$302)),0,_xlfn.XLOOKUP(A264,'75m'!F$5:F$302,'75m'!M$5:M$302)))</f>
        <v>68</v>
      </c>
      <c r="H264" s="49" t="str">
        <f>IF(B264="","",IF(ISNA(VLOOKUP(A264,'75m'!F$5:K$302,6,FALSE)),"",VLOOKUP(A264,'75m'!F$5:K$302,6,FALSE)))</f>
        <v>PB5</v>
      </c>
      <c r="I264" s="51">
        <f>IF(B264="",0,IF(ISNA(VLOOKUP(A264,'600m'!F$5:J$302,2,FALSE)),0,VLOOKUP(A264,'600m'!F$5:J$302,2,FALSE)))</f>
        <v>1.4583333333333334E-3</v>
      </c>
      <c r="J264" s="49">
        <f>IF(B264="",0,IF(ISNA(_xlfn.XLOOKUP(A264,'600m'!F$5:F$302,'600m'!M$5:M$302)),0,_xlfn.XLOOKUP(A264,'600m'!F$5:F$302,'600m'!M$5:M$302)))</f>
        <v>48</v>
      </c>
      <c r="K264" s="49" t="str">
        <f>IF(B264="","",IF(ISNA(VLOOKUP(A264,'600m'!F$5:K$302,6,FALSE)),"",VLOOKUP(A264,'600m'!F$5:K$302,6,FALSE)))</f>
        <v>PB3</v>
      </c>
      <c r="L264" s="49">
        <f>IF(B264="","",IF(ISNA(VLOOKUP(A264,LongJump!F$5:G$302,2,FALSE)),"",VLOOKUP(A264,LongJump!F$5:G$302,2,FALSE)))</f>
        <v>3.21</v>
      </c>
      <c r="M264" s="49">
        <f>IF(B264="",0,IF(ISNA(_xlfn.XLOOKUP(A264,LongJump!F$5:F$302,LongJump!M$5:M$302)),0,_xlfn.XLOOKUP(A264,LongJump!F$5:F$302,LongJump!M$5:M$302)))</f>
        <v>68</v>
      </c>
      <c r="N264" s="49" t="str">
        <f>IF(B264="","",IF(ISNA(VLOOKUP(A264,LongJump!F$5:K$302,6,FALSE)),0,VLOOKUP(A264,LongJump!F$5:K$302,6,FALSE)))</f>
        <v>PB5</v>
      </c>
      <c r="O264" s="49">
        <f>IF(B264="","",IF(ISNA(VLOOKUP(A264,Vortex!F$5:J$302,2,FALSE)),"",VLOOKUP(A264,Vortex!F$5:J$302,2,FALSE)))</f>
        <v>21.25</v>
      </c>
      <c r="P264" s="49">
        <f>IF(B264="",0,IF(ISNA(_xlfn.XLOOKUP(A264,Vortex!F$5:F$302,Vortex!M$5:M$302)),0,_xlfn.XLOOKUP(A264,Vortex!F$5:F$302,Vortex!M$5:M$302)))</f>
        <v>56</v>
      </c>
      <c r="Q264" s="49">
        <f t="shared" si="22"/>
        <v>240</v>
      </c>
      <c r="R264" s="49" t="str">
        <f t="shared" si="23"/>
        <v/>
      </c>
      <c r="S264" s="49">
        <f t="shared" si="24"/>
        <v>3</v>
      </c>
      <c r="T264" s="49" t="str">
        <f t="shared" si="25"/>
        <v/>
      </c>
      <c r="U264" s="49">
        <f t="shared" si="26"/>
        <v>28</v>
      </c>
    </row>
    <row r="265" spans="1:21">
      <c r="A265" s="49">
        <f>IF(Declarations!B22=0,"",Declarations!B22)</f>
        <v>17</v>
      </c>
      <c r="B265" s="150" t="str">
        <f>IF(ISNA(VLOOKUP(A265,Declarations!B$6:C$185,2,FALSE)),"",IF(VLOOKUP(A265,Declarations!B$6:C$185,2,FALSE)="","",VLOOKUP(A265,Declarations!B$6:C$185,2,FALSE)))</f>
        <v>FELIX POWERS</v>
      </c>
      <c r="C265" s="150" t="str">
        <f>IF(ISNA(VLOOKUP(A265,Declarations!B$6:F$185,5,FALSE)),"",IF(VLOOKUP(A265,Declarations!B$6:F$185,5,FALSE)="","",VLOOKUP(A265,Declarations!B$6:F$185,5,FALSE)))</f>
        <v>Camberley &amp; District AC</v>
      </c>
      <c r="D265" s="150" t="str">
        <f>IF(ISNA(VLOOKUP(A265,Declarations!B$6:F$185,4,FALSE)),"",IF(VLOOKUP(A265,Declarations!B$6:F$185,4,FALSE)="","",VLOOKUP(A265,Declarations!B$6:F$185,4,FALSE)))</f>
        <v>BOYS</v>
      </c>
      <c r="E265" s="150" t="str">
        <f>IF(ISNA(VLOOKUP(A265,Declarations!B$6:D$185,3,FALSE)),"",IF(VLOOKUP(A265,Declarations!B$6:D$185,3,FALSE)="","",VLOOKUP(A265,Declarations!B$6:D$185,3,FALSE)))</f>
        <v>U12</v>
      </c>
      <c r="F265" s="49">
        <f>IF(B265="","",IF(ISNA(VLOOKUP(A265,'75m'!F$5:G$302,2,FALSE)),"",VLOOKUP(A265,'75m'!F$5:G$302,2,FALSE)))</f>
        <v>12.8</v>
      </c>
      <c r="G265" s="49">
        <f>IF(B265="",0,IF(ISNA(_xlfn.XLOOKUP(A265,'75m'!F$5:F$302,'75m'!M$5:M$302)),0,_xlfn.XLOOKUP(A265,'75m'!F$5:F$302,'75m'!M$5:M$302)))</f>
        <v>64</v>
      </c>
      <c r="H265" s="49" t="str">
        <f>IF(B265="","",IF(ISNA(VLOOKUP(A265,'75m'!F$5:K$302,6,FALSE)),"",VLOOKUP(A265,'75m'!F$5:K$302,6,FALSE)))</f>
        <v>PB5</v>
      </c>
      <c r="I265" s="51">
        <f>IF(B265="",0,IF(ISNA(VLOOKUP(A265,'600m'!F$5:J$302,2,FALSE)),0,VLOOKUP(A265,'600m'!F$5:J$302,2,FALSE)))</f>
        <v>1.6319444444444445E-3</v>
      </c>
      <c r="J265" s="49">
        <f>IF(B265="",0,IF(ISNA(_xlfn.XLOOKUP(A265,'600m'!F$5:F$302,'600m'!M$5:M$302)),0,_xlfn.XLOOKUP(A265,'600m'!F$5:F$302,'600m'!M$5:M$302)))</f>
        <v>29</v>
      </c>
      <c r="K265" s="49" t="str">
        <f>IF(B265="","",IF(ISNA(VLOOKUP(A265,'600m'!F$5:K$302,6,FALSE)),"",VLOOKUP(A265,'600m'!F$5:K$302,6,FALSE)))</f>
        <v>PB1</v>
      </c>
      <c r="L265" s="49">
        <f>IF(B265="","",IF(ISNA(VLOOKUP(A265,LongJump!F$5:G$302,2,FALSE)),"",VLOOKUP(A265,LongJump!F$5:G$302,2,FALSE)))</f>
        <v>2.72</v>
      </c>
      <c r="M265" s="49">
        <f>IF(B265="",0,IF(ISNA(_xlfn.XLOOKUP(A265,LongJump!F$5:F$302,LongJump!M$5:M$302)),0,_xlfn.XLOOKUP(A265,LongJump!F$5:F$302,LongJump!M$5:M$302)))</f>
        <v>48</v>
      </c>
      <c r="N265" s="49" t="str">
        <f>IF(B265="","",IF(ISNA(VLOOKUP(A265,LongJump!F$5:K$302,6,FALSE)),0,VLOOKUP(A265,LongJump!F$5:K$302,6,FALSE)))</f>
        <v>PB3</v>
      </c>
      <c r="O265" s="49">
        <f>IF(B265="","",IF(ISNA(VLOOKUP(A265,Vortex!F$5:J$302,2,FALSE)),"",VLOOKUP(A265,Vortex!F$5:J$302,2,FALSE)))</f>
        <v>22.11</v>
      </c>
      <c r="P265" s="49">
        <f>IF(B265="",0,IF(ISNA(_xlfn.XLOOKUP(A265,Vortex!F$5:F$302,Vortex!M$5:M$302)),0,_xlfn.XLOOKUP(A265,Vortex!F$5:F$302,Vortex!M$5:M$302)))</f>
        <v>60</v>
      </c>
      <c r="Q265" s="49">
        <f t="shared" si="22"/>
        <v>201</v>
      </c>
      <c r="R265" s="49" t="str">
        <f t="shared" si="23"/>
        <v/>
      </c>
      <c r="S265" s="49">
        <f t="shared" si="24"/>
        <v>7</v>
      </c>
      <c r="T265" s="49" t="str">
        <f t="shared" si="25"/>
        <v/>
      </c>
      <c r="U265" s="49">
        <f t="shared" si="26"/>
        <v>37</v>
      </c>
    </row>
    <row r="266" spans="1:21">
      <c r="A266" s="49">
        <f>IF(Declarations!B23=0,"",Declarations!B23)</f>
        <v>18</v>
      </c>
      <c r="B266" s="150" t="str">
        <f>IF(ISNA(VLOOKUP(A266,Declarations!B$6:C$185,2,FALSE)),"",IF(VLOOKUP(A266,Declarations!B$6:C$185,2,FALSE)="","",VLOOKUP(A266,Declarations!B$6:C$185,2,FALSE)))</f>
        <v>CADEN LUCAS</v>
      </c>
      <c r="C266" s="150" t="str">
        <f>IF(ISNA(VLOOKUP(A266,Declarations!B$6:F$185,5,FALSE)),"",IF(VLOOKUP(A266,Declarations!B$6:F$185,5,FALSE)="","",VLOOKUP(A266,Declarations!B$6:F$185,5,FALSE)))</f>
        <v>Camberley &amp; District AC</v>
      </c>
      <c r="D266" s="150" t="str">
        <f>IF(ISNA(VLOOKUP(A266,Declarations!B$6:F$185,4,FALSE)),"",IF(VLOOKUP(A266,Declarations!B$6:F$185,4,FALSE)="","",VLOOKUP(A266,Declarations!B$6:F$185,4,FALSE)))</f>
        <v>BOYS</v>
      </c>
      <c r="E266" s="150" t="str">
        <f>IF(ISNA(VLOOKUP(A266,Declarations!B$6:D$185,3,FALSE)),"",IF(VLOOKUP(A266,Declarations!B$6:D$185,3,FALSE)="","",VLOOKUP(A266,Declarations!B$6:D$185,3,FALSE)))</f>
        <v>U12</v>
      </c>
      <c r="F266" s="49">
        <f>IF(B266="","",IF(ISNA(VLOOKUP(A266,'75m'!F$5:G$302,2,FALSE)),"",VLOOKUP(A266,'75m'!F$5:G$302,2,FALSE)))</f>
        <v>13.7</v>
      </c>
      <c r="G266" s="49">
        <f>IF(B266="",0,IF(ISNA(_xlfn.XLOOKUP(A266,'75m'!F$5:F$302,'75m'!M$5:M$302)),0,_xlfn.XLOOKUP(A266,'75m'!F$5:F$302,'75m'!M$5:M$302)))</f>
        <v>46</v>
      </c>
      <c r="H266" s="49" t="str">
        <f>IF(B266="","",IF(ISNA(VLOOKUP(A266,'75m'!F$5:K$302,6,FALSE)),"",VLOOKUP(A266,'75m'!F$5:K$302,6,FALSE)))</f>
        <v>PB3</v>
      </c>
      <c r="I266" s="51">
        <f>IF(B266="",0,IF(ISNA(VLOOKUP(A266,'600m'!F$5:J$302,2,FALSE)),0,VLOOKUP(A266,'600m'!F$5:J$302,2,FALSE)))</f>
        <v>1.8692129629629629E-3</v>
      </c>
      <c r="J266" s="49">
        <f>IF(B266="",0,IF(ISNA(_xlfn.XLOOKUP(A266,'600m'!F$5:F$302,'600m'!M$5:M$302)),0,_xlfn.XLOOKUP(A266,'600m'!F$5:F$302,'600m'!M$5:M$302)))</f>
        <v>16</v>
      </c>
      <c r="K266" s="49" t="str">
        <f>IF(B266="","",IF(ISNA(VLOOKUP(A266,'600m'!F$5:K$302,6,FALSE)),"",VLOOKUP(A266,'600m'!F$5:K$302,6,FALSE)))</f>
        <v/>
      </c>
      <c r="L266" s="49">
        <f>IF(B266="","",IF(ISNA(VLOOKUP(A266,LongJump!F$5:G$302,2,FALSE)),"",VLOOKUP(A266,LongJump!F$5:G$302,2,FALSE)))</f>
        <v>2.72</v>
      </c>
      <c r="M266" s="49">
        <f>IF(B266="",0,IF(ISNA(_xlfn.XLOOKUP(A266,LongJump!F$5:F$302,LongJump!M$5:M$302)),0,_xlfn.XLOOKUP(A266,LongJump!F$5:F$302,LongJump!M$5:M$302)))</f>
        <v>48</v>
      </c>
      <c r="N266" s="49" t="str">
        <f>IF(B266="","",IF(ISNA(VLOOKUP(A266,LongJump!F$5:K$302,6,FALSE)),0,VLOOKUP(A266,LongJump!F$5:K$302,6,FALSE)))</f>
        <v>PB3</v>
      </c>
      <c r="O266" s="49">
        <f>IF(B266="","",IF(ISNA(VLOOKUP(A266,Vortex!F$5:J$302,2,FALSE)),"",VLOOKUP(A266,Vortex!F$5:J$302,2,FALSE)))</f>
        <v>18.940000000000001</v>
      </c>
      <c r="P266" s="49">
        <f>IF(B266="",0,IF(ISNA(_xlfn.XLOOKUP(A266,Vortex!F$5:F$302,Vortex!M$5:M$302)),0,_xlfn.XLOOKUP(A266,Vortex!F$5:F$302,Vortex!M$5:M$302)))</f>
        <v>44</v>
      </c>
      <c r="Q266" s="49">
        <f t="shared" si="22"/>
        <v>154</v>
      </c>
      <c r="R266" s="49" t="str">
        <f t="shared" si="23"/>
        <v/>
      </c>
      <c r="S266" s="49">
        <f t="shared" si="24"/>
        <v>8</v>
      </c>
      <c r="T266" s="49" t="str">
        <f t="shared" si="25"/>
        <v/>
      </c>
      <c r="U266" s="49">
        <f t="shared" si="26"/>
        <v>45</v>
      </c>
    </row>
    <row r="267" spans="1:21">
      <c r="A267" s="49">
        <f>IF(Declarations!B24=0,"",Declarations!B24)</f>
        <v>19</v>
      </c>
      <c r="B267" s="150" t="str">
        <f>IF(ISNA(VLOOKUP(A267,Declarations!B$6:C$185,2,FALSE)),"",IF(VLOOKUP(A267,Declarations!B$6:C$185,2,FALSE)="","",VLOOKUP(A267,Declarations!B$6:C$185,2,FALSE)))</f>
        <v/>
      </c>
      <c r="C267" s="150" t="str">
        <f>IF(ISNA(VLOOKUP(A267,Declarations!B$6:F$185,5,FALSE)),"",IF(VLOOKUP(A267,Declarations!B$6:F$185,5,FALSE)="","",VLOOKUP(A267,Declarations!B$6:F$185,5,FALSE)))</f>
        <v>Camberley &amp; District AC</v>
      </c>
      <c r="D267" s="150" t="str">
        <f>IF(ISNA(VLOOKUP(A267,Declarations!B$6:F$185,4,FALSE)),"",IF(VLOOKUP(A267,Declarations!B$6:F$185,4,FALSE)="","",VLOOKUP(A267,Declarations!B$6:F$185,4,FALSE)))</f>
        <v>BOYS</v>
      </c>
      <c r="E267" s="150" t="str">
        <f>IF(ISNA(VLOOKUP(A267,Declarations!B$6:D$185,3,FALSE)),"",IF(VLOOKUP(A267,Declarations!B$6:D$185,3,FALSE)="","",VLOOKUP(A267,Declarations!B$6:D$185,3,FALSE)))</f>
        <v>U12</v>
      </c>
      <c r="F267" s="49" t="str">
        <f>IF(B267="","",IF(ISNA(VLOOKUP(A267,'75m'!F$5:G$302,2,FALSE)),"",VLOOKUP(A267,'75m'!F$5:G$302,2,FALSE)))</f>
        <v/>
      </c>
      <c r="G267" s="49">
        <f>IF(B267="",0,IF(ISNA(_xlfn.XLOOKUP(A267,'75m'!F$5:F$302,'75m'!M$5:M$302)),0,_xlfn.XLOOKUP(A267,'75m'!F$5:F$302,'75m'!M$5:M$302)))</f>
        <v>0</v>
      </c>
      <c r="H267" s="49" t="str">
        <f>IF(B267="","",IF(ISNA(VLOOKUP(A267,'75m'!F$5:K$302,6,FALSE)),"",VLOOKUP(A267,'75m'!F$5:K$302,6,FALSE)))</f>
        <v/>
      </c>
      <c r="I267" s="51">
        <f>IF(B267="",0,IF(ISNA(VLOOKUP(A267,'600m'!F$5:J$302,2,FALSE)),0,VLOOKUP(A267,'600m'!F$5:J$302,2,FALSE)))</f>
        <v>0</v>
      </c>
      <c r="J267" s="49">
        <f>IF(B267="",0,IF(ISNA(_xlfn.XLOOKUP(A267,'600m'!F$5:F$302,'600m'!M$5:M$302)),0,_xlfn.XLOOKUP(A267,'600m'!F$5:F$302,'600m'!M$5:M$302)))</f>
        <v>0</v>
      </c>
      <c r="K267" s="49" t="str">
        <f>IF(B267="","",IF(ISNA(VLOOKUP(A267,'600m'!F$5:K$302,6,FALSE)),"",VLOOKUP(A267,'600m'!F$5:K$302,6,FALSE)))</f>
        <v/>
      </c>
      <c r="L267" s="49" t="str">
        <f>IF(B267="","",IF(ISNA(VLOOKUP(A267,LongJump!F$5:G$302,2,FALSE)),"",VLOOKUP(A267,LongJump!F$5:G$302,2,FALSE)))</f>
        <v/>
      </c>
      <c r="M267" s="49">
        <f>IF(B267="",0,IF(ISNA(_xlfn.XLOOKUP(A267,LongJump!F$5:F$302,LongJump!M$5:M$302)),0,_xlfn.XLOOKUP(A267,LongJump!F$5:F$302,LongJump!M$5:M$302)))</f>
        <v>0</v>
      </c>
      <c r="N267" s="49" t="str">
        <f>IF(B267="","",IF(ISNA(VLOOKUP(A267,LongJump!F$5:K$302,6,FALSE)),0,VLOOKUP(A267,LongJump!F$5:K$302,6,FALSE)))</f>
        <v/>
      </c>
      <c r="O267" s="49" t="str">
        <f>IF(B267="","",IF(ISNA(VLOOKUP(A267,Vortex!F$5:J$302,2,FALSE)),"",VLOOKUP(A267,Vortex!F$5:J$302,2,FALSE)))</f>
        <v/>
      </c>
      <c r="P267" s="49">
        <f>IF(B267="",0,IF(ISNA(_xlfn.XLOOKUP(A267,Vortex!F$5:F$302,Vortex!M$5:M$302)),0,_xlfn.XLOOKUP(A267,Vortex!F$5:F$302,Vortex!M$5:M$302)))</f>
        <v>0</v>
      </c>
      <c r="Q267" s="49">
        <f t="shared" si="22"/>
        <v>0</v>
      </c>
      <c r="R267" s="49" t="str">
        <f t="shared" si="23"/>
        <v/>
      </c>
      <c r="S267" s="49" t="str">
        <f t="shared" si="24"/>
        <v/>
      </c>
      <c r="T267" s="49" t="str">
        <f t="shared" si="25"/>
        <v/>
      </c>
      <c r="U267" s="49" t="str">
        <f t="shared" si="26"/>
        <v/>
      </c>
    </row>
    <row r="268" spans="1:21">
      <c r="A268" s="49">
        <f>IF(Declarations!B25=0,"",Declarations!B25)</f>
        <v>20</v>
      </c>
      <c r="B268" s="150" t="str">
        <f>IF(ISNA(VLOOKUP(A268,Declarations!B$6:C$185,2,FALSE)),"",IF(VLOOKUP(A268,Declarations!B$6:C$185,2,FALSE)="","",VLOOKUP(A268,Declarations!B$6:C$185,2,FALSE)))</f>
        <v/>
      </c>
      <c r="C268" s="150" t="str">
        <f>IF(ISNA(VLOOKUP(A268,Declarations!B$6:F$185,5,FALSE)),"",IF(VLOOKUP(A268,Declarations!B$6:F$185,5,FALSE)="","",VLOOKUP(A268,Declarations!B$6:F$185,5,FALSE)))</f>
        <v>Camberley &amp; District AC</v>
      </c>
      <c r="D268" s="150" t="str">
        <f>IF(ISNA(VLOOKUP(A268,Declarations!B$6:F$185,4,FALSE)),"",IF(VLOOKUP(A268,Declarations!B$6:F$185,4,FALSE)="","",VLOOKUP(A268,Declarations!B$6:F$185,4,FALSE)))</f>
        <v>BOYS</v>
      </c>
      <c r="E268" s="150" t="str">
        <f>IF(ISNA(VLOOKUP(A268,Declarations!B$6:D$185,3,FALSE)),"",IF(VLOOKUP(A268,Declarations!B$6:D$185,3,FALSE)="","",VLOOKUP(A268,Declarations!B$6:D$185,3,FALSE)))</f>
        <v>U12</v>
      </c>
      <c r="F268" s="49" t="str">
        <f>IF(B268="","",IF(ISNA(VLOOKUP(A268,'75m'!F$5:G$302,2,FALSE)),"",VLOOKUP(A268,'75m'!F$5:G$302,2,FALSE)))</f>
        <v/>
      </c>
      <c r="G268" s="49">
        <f>IF(B268="",0,IF(ISNA(_xlfn.XLOOKUP(A268,'75m'!F$5:F$302,'75m'!M$5:M$302)),0,_xlfn.XLOOKUP(A268,'75m'!F$5:F$302,'75m'!M$5:M$302)))</f>
        <v>0</v>
      </c>
      <c r="H268" s="49" t="str">
        <f>IF(B268="","",IF(ISNA(VLOOKUP(A268,'75m'!F$5:K$302,6,FALSE)),"",VLOOKUP(A268,'75m'!F$5:K$302,6,FALSE)))</f>
        <v/>
      </c>
      <c r="I268" s="51">
        <f>IF(B268="",0,IF(ISNA(VLOOKUP(A268,'600m'!F$5:J$302,2,FALSE)),0,VLOOKUP(A268,'600m'!F$5:J$302,2,FALSE)))</f>
        <v>0</v>
      </c>
      <c r="J268" s="49">
        <f>IF(B268="",0,IF(ISNA(_xlfn.XLOOKUP(A268,'600m'!F$5:F$302,'600m'!M$5:M$302)),0,_xlfn.XLOOKUP(A268,'600m'!F$5:F$302,'600m'!M$5:M$302)))</f>
        <v>0</v>
      </c>
      <c r="K268" s="49" t="str">
        <f>IF(B268="","",IF(ISNA(VLOOKUP(A268,'600m'!F$5:K$302,6,FALSE)),"",VLOOKUP(A268,'600m'!F$5:K$302,6,FALSE)))</f>
        <v/>
      </c>
      <c r="L268" s="49" t="str">
        <f>IF(B268="","",IF(ISNA(VLOOKUP(A268,LongJump!F$5:G$302,2,FALSE)),"",VLOOKUP(A268,LongJump!F$5:G$302,2,FALSE)))</f>
        <v/>
      </c>
      <c r="M268" s="49">
        <f>IF(B268="",0,IF(ISNA(_xlfn.XLOOKUP(A268,LongJump!F$5:F$302,LongJump!M$5:M$302)),0,_xlfn.XLOOKUP(A268,LongJump!F$5:F$302,LongJump!M$5:M$302)))</f>
        <v>0</v>
      </c>
      <c r="N268" s="49" t="str">
        <f>IF(B268="","",IF(ISNA(VLOOKUP(A268,LongJump!F$5:K$302,6,FALSE)),0,VLOOKUP(A268,LongJump!F$5:K$302,6,FALSE)))</f>
        <v/>
      </c>
      <c r="O268" s="49" t="str">
        <f>IF(B268="","",IF(ISNA(VLOOKUP(A268,Vortex!F$5:J$302,2,FALSE)),"",VLOOKUP(A268,Vortex!F$5:J$302,2,FALSE)))</f>
        <v/>
      </c>
      <c r="P268" s="49">
        <f>IF(B268="",0,IF(ISNA(_xlfn.XLOOKUP(A268,Vortex!F$5:F$302,Vortex!M$5:M$302)),0,_xlfn.XLOOKUP(A268,Vortex!F$5:F$302,Vortex!M$5:M$302)))</f>
        <v>0</v>
      </c>
      <c r="Q268" s="49">
        <f t="shared" si="22"/>
        <v>0</v>
      </c>
      <c r="R268" s="49" t="str">
        <f t="shared" si="23"/>
        <v/>
      </c>
      <c r="S268" s="49" t="str">
        <f t="shared" si="24"/>
        <v/>
      </c>
      <c r="T268" s="49" t="str">
        <f t="shared" si="25"/>
        <v/>
      </c>
      <c r="U268" s="49" t="str">
        <f t="shared" si="26"/>
        <v/>
      </c>
    </row>
    <row r="269" spans="1:21">
      <c r="A269" s="49">
        <f>IF(Declarations!B26=0,"",Declarations!B26)</f>
        <v>21</v>
      </c>
      <c r="B269" s="150" t="str">
        <f>IF(ISNA(VLOOKUP(A269,Declarations!B$6:C$185,2,FALSE)),"",IF(VLOOKUP(A269,Declarations!B$6:C$185,2,FALSE)="","",VLOOKUP(A269,Declarations!B$6:C$185,2,FALSE)))</f>
        <v>ELISE ABDELLI</v>
      </c>
      <c r="C269" s="150" t="str">
        <f>IF(ISNA(VLOOKUP(A269,Declarations!B$6:F$185,5,FALSE)),"",IF(VLOOKUP(A269,Declarations!B$6:F$185,5,FALSE)="","",VLOOKUP(A269,Declarations!B$6:F$185,5,FALSE)))</f>
        <v>Woking AC</v>
      </c>
      <c r="D269" s="150" t="str">
        <f>IF(ISNA(VLOOKUP(A269,Declarations!B$6:F$185,4,FALSE)),"",IF(VLOOKUP(A269,Declarations!B$6:F$185,4,FALSE)="","",VLOOKUP(A269,Declarations!B$6:F$185,4,FALSE)))</f>
        <v>GIRLS</v>
      </c>
      <c r="E269" s="150" t="str">
        <f>IF(ISNA(VLOOKUP(A269,Declarations!B$6:D$185,3,FALSE)),"",IF(VLOOKUP(A269,Declarations!B$6:D$185,3,FALSE)="","",VLOOKUP(A269,Declarations!B$6:D$185,3,FALSE)))</f>
        <v>U12</v>
      </c>
      <c r="F269" s="49">
        <f>IF(B269="","",IF(ISNA(VLOOKUP(A269,'75m'!F$5:G$302,2,FALSE)),"",VLOOKUP(A269,'75m'!F$5:G$302,2,FALSE)))</f>
        <v>11.8</v>
      </c>
      <c r="G269" s="49">
        <f>IF(B269="",0,IF(ISNA(_xlfn.XLOOKUP(A269,'75m'!F$5:F$302,'75m'!M$5:M$302)),0,_xlfn.XLOOKUP(A269,'75m'!F$5:F$302,'75m'!M$5:M$302)))</f>
        <v>97</v>
      </c>
      <c r="H269" s="49" t="str">
        <f>IF(B269="","",IF(ISNA(VLOOKUP(A269,'75m'!F$5:K$302,6,FALSE)),"",VLOOKUP(A269,'75m'!F$5:K$302,6,FALSE)))</f>
        <v>PB8</v>
      </c>
      <c r="I269" s="51">
        <f>IF(B269="",0,IF(ISNA(VLOOKUP(A269,'600m'!F$5:J$302,2,FALSE)),0,VLOOKUP(A269,'600m'!F$5:J$302,2,FALSE)))</f>
        <v>1.4826388888888888E-3</v>
      </c>
      <c r="J269" s="49">
        <f>IF(B269="",0,IF(ISNA(_xlfn.XLOOKUP(A269,'600m'!F$5:F$302,'600m'!M$5:M$302)),0,_xlfn.XLOOKUP(A269,'600m'!F$5:F$302,'600m'!M$5:M$302)))</f>
        <v>63</v>
      </c>
      <c r="K269" s="49" t="str">
        <f>IF(B269="","",IF(ISNA(VLOOKUP(A269,'600m'!F$5:K$302,6,FALSE)),"",VLOOKUP(A269,'600m'!F$5:K$302,6,FALSE)))</f>
        <v>PB4</v>
      </c>
      <c r="L269" s="49">
        <f>IF(B269="","",IF(ISNA(VLOOKUP(A269,LongJump!F$5:G$302,2,FALSE)),"",VLOOKUP(A269,LongJump!F$5:G$302,2,FALSE)))</f>
        <v>3.79</v>
      </c>
      <c r="M269" s="49">
        <f>IF(B269="",0,IF(ISNA(_xlfn.XLOOKUP(A269,LongJump!F$5:F$302,LongJump!M$5:M$302)),0,_xlfn.XLOOKUP(A269,LongJump!F$5:F$302,LongJump!M$5:M$302)))</f>
        <v>101</v>
      </c>
      <c r="N269" s="49" t="str">
        <f>IF(B269="","",IF(ISNA(VLOOKUP(A269,LongJump!F$5:K$302,6,FALSE)),0,VLOOKUP(A269,LongJump!F$5:K$302,6,FALSE)))</f>
        <v>PB9</v>
      </c>
      <c r="O269" s="49">
        <f>IF(B269="","",IF(ISNA(VLOOKUP(A269,Vortex!F$5:J$302,2,FALSE)),"",VLOOKUP(A269,Vortex!F$5:J$302,2,FALSE)))</f>
        <v>22.76</v>
      </c>
      <c r="P269" s="49">
        <f>IF(B269="",0,IF(ISNA(_xlfn.XLOOKUP(A269,Vortex!F$5:F$302,Vortex!M$5:M$302)),0,_xlfn.XLOOKUP(A269,Vortex!F$5:F$302,Vortex!M$5:M$302)))</f>
        <v>73</v>
      </c>
      <c r="Q269" s="49">
        <f t="shared" si="22"/>
        <v>334</v>
      </c>
      <c r="R269" s="49" t="str">
        <f t="shared" si="23"/>
        <v/>
      </c>
      <c r="S269" s="49">
        <f t="shared" si="24"/>
        <v>2</v>
      </c>
      <c r="T269" s="49" t="str">
        <f t="shared" si="25"/>
        <v/>
      </c>
      <c r="U269" s="49">
        <f t="shared" si="26"/>
        <v>5</v>
      </c>
    </row>
    <row r="270" spans="1:21">
      <c r="A270" s="49">
        <f>IF(Declarations!B27=0,"",Declarations!B27)</f>
        <v>22</v>
      </c>
      <c r="B270" s="150" t="str">
        <f>IF(ISNA(VLOOKUP(A270,Declarations!B$6:C$185,2,FALSE)),"",IF(VLOOKUP(A270,Declarations!B$6:C$185,2,FALSE)="","",VLOOKUP(A270,Declarations!B$6:C$185,2,FALSE)))</f>
        <v>FRANKIE ICETON</v>
      </c>
      <c r="C270" s="150" t="str">
        <f>IF(ISNA(VLOOKUP(A270,Declarations!B$6:F$185,5,FALSE)),"",IF(VLOOKUP(A270,Declarations!B$6:F$185,5,FALSE)="","",VLOOKUP(A270,Declarations!B$6:F$185,5,FALSE)))</f>
        <v>Woking AC</v>
      </c>
      <c r="D270" s="150" t="str">
        <f>IF(ISNA(VLOOKUP(A270,Declarations!B$6:F$185,4,FALSE)),"",IF(VLOOKUP(A270,Declarations!B$6:F$185,4,FALSE)="","",VLOOKUP(A270,Declarations!B$6:F$185,4,FALSE)))</f>
        <v>GIRLS</v>
      </c>
      <c r="E270" s="150" t="str">
        <f>IF(ISNA(VLOOKUP(A270,Declarations!B$6:D$185,3,FALSE)),"",IF(VLOOKUP(A270,Declarations!B$6:D$185,3,FALSE)="","",VLOOKUP(A270,Declarations!B$6:D$185,3,FALSE)))</f>
        <v>U12</v>
      </c>
      <c r="F270" s="49">
        <f>IF(B270="","",IF(ISNA(VLOOKUP(A270,'75m'!F$5:G$302,2,FALSE)),"",VLOOKUP(A270,'75m'!F$5:G$302,2,FALSE)))</f>
        <v>12.6</v>
      </c>
      <c r="G270" s="49">
        <f>IF(B270="",0,IF(ISNA(_xlfn.XLOOKUP(A270,'75m'!F$5:F$302,'75m'!M$5:M$302)),0,_xlfn.XLOOKUP(A270,'75m'!F$5:F$302,'75m'!M$5:M$302)))</f>
        <v>78</v>
      </c>
      <c r="H270" s="49" t="str">
        <f>IF(B270="","",IF(ISNA(VLOOKUP(A270,'75m'!F$5:K$302,6,FALSE)),"",VLOOKUP(A270,'75m'!F$5:K$302,6,FALSE)))</f>
        <v>PB6</v>
      </c>
      <c r="I270" s="51">
        <f>IF(B270="",0,IF(ISNA(VLOOKUP(A270,'600m'!F$5:J$302,2,FALSE)),0,VLOOKUP(A270,'600m'!F$5:J$302,2,FALSE)))</f>
        <v>1.8333333333333333E-3</v>
      </c>
      <c r="J270" s="49">
        <f>IF(B270="",0,IF(ISNA(_xlfn.XLOOKUP(A270,'600m'!F$5:F$302,'600m'!M$5:M$302)),0,_xlfn.XLOOKUP(A270,'600m'!F$5:F$302,'600m'!M$5:M$302)))</f>
        <v>18</v>
      </c>
      <c r="K270" s="49" t="str">
        <f>IF(B270="","",IF(ISNA(VLOOKUP(A270,'600m'!F$5:K$302,6,FALSE)),"",VLOOKUP(A270,'600m'!F$5:K$302,6,FALSE)))</f>
        <v/>
      </c>
      <c r="L270" s="49">
        <f>IF(B270="","",IF(ISNA(VLOOKUP(A270,LongJump!F$5:G$302,2,FALSE)),"",VLOOKUP(A270,LongJump!F$5:G$302,2,FALSE)))</f>
        <v>3.29</v>
      </c>
      <c r="M270" s="49">
        <f>IF(B270="",0,IF(ISNA(_xlfn.XLOOKUP(A270,LongJump!F$5:F$302,LongJump!M$5:M$302)),0,_xlfn.XLOOKUP(A270,LongJump!F$5:F$302,LongJump!M$5:M$302)))</f>
        <v>81</v>
      </c>
      <c r="N270" s="49" t="str">
        <f>IF(B270="","",IF(ISNA(VLOOKUP(A270,LongJump!F$5:K$302,6,FALSE)),0,VLOOKUP(A270,LongJump!F$5:K$302,6,FALSE)))</f>
        <v>PB7</v>
      </c>
      <c r="O270" s="49">
        <f>IF(B270="","",IF(ISNA(VLOOKUP(A270,Vortex!F$5:J$302,2,FALSE)),"",VLOOKUP(A270,Vortex!F$5:J$302,2,FALSE)))</f>
        <v>21.31</v>
      </c>
      <c r="P270" s="49">
        <f>IF(B270="",0,IF(ISNA(_xlfn.XLOOKUP(A270,Vortex!F$5:F$302,Vortex!M$5:M$302)),0,_xlfn.XLOOKUP(A270,Vortex!F$5:F$302,Vortex!M$5:M$302)))</f>
        <v>66</v>
      </c>
      <c r="Q270" s="49">
        <f t="shared" si="22"/>
        <v>243</v>
      </c>
      <c r="R270" s="49" t="str">
        <f t="shared" si="23"/>
        <v/>
      </c>
      <c r="S270" s="49">
        <f t="shared" si="24"/>
        <v>4</v>
      </c>
      <c r="T270" s="49" t="str">
        <f t="shared" si="25"/>
        <v/>
      </c>
      <c r="U270" s="49">
        <f t="shared" si="26"/>
        <v>26</v>
      </c>
    </row>
    <row r="271" spans="1:21">
      <c r="A271" s="49">
        <f>IF(Declarations!B28=0,"",Declarations!B28)</f>
        <v>23</v>
      </c>
      <c r="B271" s="150" t="str">
        <f>IF(ISNA(VLOOKUP(A271,Declarations!B$6:C$185,2,FALSE)),"",IF(VLOOKUP(A271,Declarations!B$6:C$185,2,FALSE)="","",VLOOKUP(A271,Declarations!B$6:C$185,2,FALSE)))</f>
        <v>ALIYAH KENNAUGH</v>
      </c>
      <c r="C271" s="150" t="str">
        <f>IF(ISNA(VLOOKUP(A271,Declarations!B$6:F$185,5,FALSE)),"",IF(VLOOKUP(A271,Declarations!B$6:F$185,5,FALSE)="","",VLOOKUP(A271,Declarations!B$6:F$185,5,FALSE)))</f>
        <v>Woking AC</v>
      </c>
      <c r="D271" s="150" t="str">
        <f>IF(ISNA(VLOOKUP(A271,Declarations!B$6:F$185,4,FALSE)),"",IF(VLOOKUP(A271,Declarations!B$6:F$185,4,FALSE)="","",VLOOKUP(A271,Declarations!B$6:F$185,4,FALSE)))</f>
        <v>GIRLS</v>
      </c>
      <c r="E271" s="150" t="str">
        <f>IF(ISNA(VLOOKUP(A271,Declarations!B$6:D$185,3,FALSE)),"",IF(VLOOKUP(A271,Declarations!B$6:D$185,3,FALSE)="","",VLOOKUP(A271,Declarations!B$6:D$185,3,FALSE)))</f>
        <v>U12</v>
      </c>
      <c r="F271" s="49">
        <f>IF(B271="","",IF(ISNA(VLOOKUP(A271,'75m'!F$5:G$302,2,FALSE)),"",VLOOKUP(A271,'75m'!F$5:G$302,2,FALSE)))</f>
        <v>12.2</v>
      </c>
      <c r="G271" s="49">
        <f>IF(B271="",0,IF(ISNA(_xlfn.XLOOKUP(A271,'75m'!F$5:F$302,'75m'!M$5:M$302)),0,_xlfn.XLOOKUP(A271,'75m'!F$5:F$302,'75m'!M$5:M$302)))</f>
        <v>87</v>
      </c>
      <c r="H271" s="49" t="str">
        <f>IF(B271="","",IF(ISNA(VLOOKUP(A271,'75m'!F$5:K$302,6,FALSE)),"",VLOOKUP(A271,'75m'!F$5:K$302,6,FALSE)))</f>
        <v>PB7</v>
      </c>
      <c r="I271" s="51">
        <f>IF(B271="",0,IF(ISNA(VLOOKUP(A271,'600m'!F$5:J$302,2,FALSE)),0,VLOOKUP(A271,'600m'!F$5:J$302,2,FALSE)))</f>
        <v>1.5393518518518519E-3</v>
      </c>
      <c r="J271" s="49">
        <f>IF(B271="",0,IF(ISNA(_xlfn.XLOOKUP(A271,'600m'!F$5:F$302,'600m'!M$5:M$302)),0,_xlfn.XLOOKUP(A271,'600m'!F$5:F$302,'600m'!M$5:M$302)))</f>
        <v>54</v>
      </c>
      <c r="K271" s="49" t="str">
        <f>IF(B271="","",IF(ISNA(VLOOKUP(A271,'600m'!F$5:K$302,6,FALSE)),"",VLOOKUP(A271,'600m'!F$5:K$302,6,FALSE)))</f>
        <v>PB3</v>
      </c>
      <c r="L271" s="49">
        <f>IF(B271="","",IF(ISNA(VLOOKUP(A271,LongJump!F$5:G$302,2,FALSE)),"",VLOOKUP(A271,LongJump!F$5:G$302,2,FALSE)))</f>
        <v>3.11</v>
      </c>
      <c r="M271" s="49">
        <f>IF(B271="",0,IF(ISNA(_xlfn.XLOOKUP(A271,LongJump!F$5:F$302,LongJump!M$5:M$302)),0,_xlfn.XLOOKUP(A271,LongJump!F$5:F$302,LongJump!M$5:M$302)))</f>
        <v>73</v>
      </c>
      <c r="N271" s="49" t="str">
        <f>IF(B271="","",IF(ISNA(VLOOKUP(A271,LongJump!F$5:K$302,6,FALSE)),0,VLOOKUP(A271,LongJump!F$5:K$302,6,FALSE)))</f>
        <v>PB6</v>
      </c>
      <c r="O271" s="49">
        <f>IF(B271="","",IF(ISNA(VLOOKUP(A271,Vortex!F$5:J$302,2,FALSE)),"",VLOOKUP(A271,Vortex!F$5:J$302,2,FALSE)))</f>
        <v>15.48</v>
      </c>
      <c r="P271" s="49">
        <f>IF(B271="",0,IF(ISNA(_xlfn.XLOOKUP(A271,Vortex!F$5:F$302,Vortex!M$5:M$302)),0,_xlfn.XLOOKUP(A271,Vortex!F$5:F$302,Vortex!M$5:M$302)))</f>
        <v>37</v>
      </c>
      <c r="Q271" s="49">
        <f t="shared" si="22"/>
        <v>251</v>
      </c>
      <c r="R271" s="49" t="str">
        <f t="shared" si="23"/>
        <v/>
      </c>
      <c r="S271" s="49">
        <f t="shared" si="24"/>
        <v>3</v>
      </c>
      <c r="T271" s="49" t="str">
        <f t="shared" si="25"/>
        <v/>
      </c>
      <c r="U271" s="49">
        <f t="shared" si="26"/>
        <v>24</v>
      </c>
    </row>
    <row r="272" spans="1:21">
      <c r="A272" s="49">
        <f>IF(Declarations!B29=0,"",Declarations!B29)</f>
        <v>24</v>
      </c>
      <c r="B272" s="150" t="str">
        <f>IF(ISNA(VLOOKUP(A272,Declarations!B$6:C$185,2,FALSE)),"",IF(VLOOKUP(A272,Declarations!B$6:C$185,2,FALSE)="","",VLOOKUP(A272,Declarations!B$6:C$185,2,FALSE)))</f>
        <v>ELIN PERERA</v>
      </c>
      <c r="C272" s="150" t="str">
        <f>IF(ISNA(VLOOKUP(A272,Declarations!B$6:F$185,5,FALSE)),"",IF(VLOOKUP(A272,Declarations!B$6:F$185,5,FALSE)="","",VLOOKUP(A272,Declarations!B$6:F$185,5,FALSE)))</f>
        <v>Woking AC</v>
      </c>
      <c r="D272" s="150" t="str">
        <f>IF(ISNA(VLOOKUP(A272,Declarations!B$6:F$185,4,FALSE)),"",IF(VLOOKUP(A272,Declarations!B$6:F$185,4,FALSE)="","",VLOOKUP(A272,Declarations!B$6:F$185,4,FALSE)))</f>
        <v>GIRLS</v>
      </c>
      <c r="E272" s="150" t="str">
        <f>IF(ISNA(VLOOKUP(A272,Declarations!B$6:D$185,3,FALSE)),"",IF(VLOOKUP(A272,Declarations!B$6:D$185,3,FALSE)="","",VLOOKUP(A272,Declarations!B$6:D$185,3,FALSE)))</f>
        <v>U12</v>
      </c>
      <c r="F272" s="49">
        <f>IF(B272="","",IF(ISNA(VLOOKUP(A272,'75m'!F$5:G$302,2,FALSE)),"",VLOOKUP(A272,'75m'!F$5:G$302,2,FALSE)))</f>
        <v>12.4</v>
      </c>
      <c r="G272" s="49">
        <f>IF(B272="",0,IF(ISNA(_xlfn.XLOOKUP(A272,'75m'!F$5:F$302,'75m'!M$5:M$302)),0,_xlfn.XLOOKUP(A272,'75m'!F$5:F$302,'75m'!M$5:M$302)))</f>
        <v>82</v>
      </c>
      <c r="H272" s="49" t="str">
        <f>IF(B272="","",IF(ISNA(VLOOKUP(A272,'75m'!F$5:K$302,6,FALSE)),"",VLOOKUP(A272,'75m'!F$5:K$302,6,FALSE)))</f>
        <v>PB7</v>
      </c>
      <c r="I272" s="51">
        <f>IF(B272="",0,IF(ISNA(VLOOKUP(A272,'600m'!F$5:J$302,2,FALSE)),0,VLOOKUP(A272,'600m'!F$5:J$302,2,FALSE)))</f>
        <v>1.5208333333333335E-3</v>
      </c>
      <c r="J272" s="49">
        <f>IF(B272="",0,IF(ISNA(_xlfn.XLOOKUP(A272,'600m'!F$5:F$302,'600m'!M$5:M$302)),0,_xlfn.XLOOKUP(A272,'600m'!F$5:F$302,'600m'!M$5:M$302)))</f>
        <v>57</v>
      </c>
      <c r="K272" s="49" t="str">
        <f>IF(B272="","",IF(ISNA(VLOOKUP(A272,'600m'!F$5:K$302,6,FALSE)),"",VLOOKUP(A272,'600m'!F$5:K$302,6,FALSE)))</f>
        <v>PB3</v>
      </c>
      <c r="L272" s="49" t="str">
        <f>IF(B272="","",IF(ISNA(VLOOKUP(A272,LongJump!F$5:G$302,2,FALSE)),"",VLOOKUP(A272,LongJump!F$5:G$302,2,FALSE)))</f>
        <v/>
      </c>
      <c r="M272" s="49">
        <f>IF(B272="",0,IF(ISNA(_xlfn.XLOOKUP(A272,LongJump!F$5:F$302,LongJump!M$5:M$302)),0,_xlfn.XLOOKUP(A272,LongJump!F$5:F$302,LongJump!M$5:M$302)))</f>
        <v>0</v>
      </c>
      <c r="N272" s="49">
        <f>IF(B272="","",IF(ISNA(VLOOKUP(A272,LongJump!F$5:K$302,6,FALSE)),0,VLOOKUP(A272,LongJump!F$5:K$302,6,FALSE)))</f>
        <v>0</v>
      </c>
      <c r="O272" s="49">
        <f>IF(B272="","",IF(ISNA(VLOOKUP(A272,Vortex!F$5:J$302,2,FALSE)),"",VLOOKUP(A272,Vortex!F$5:J$302,2,FALSE)))</f>
        <v>16.940000000000001</v>
      </c>
      <c r="P272" s="49">
        <f>IF(B272="",0,IF(ISNA(_xlfn.XLOOKUP(A272,Vortex!F$5:F$302,Vortex!M$5:M$302)),0,_xlfn.XLOOKUP(A272,Vortex!F$5:F$302,Vortex!M$5:M$302)))</f>
        <v>44</v>
      </c>
      <c r="Q272" s="49">
        <f t="shared" si="22"/>
        <v>183</v>
      </c>
      <c r="R272" s="49" t="str">
        <f t="shared" si="23"/>
        <v/>
      </c>
      <c r="S272" s="49">
        <f t="shared" si="24"/>
        <v>6</v>
      </c>
      <c r="T272" s="49" t="str">
        <f t="shared" si="25"/>
        <v/>
      </c>
      <c r="U272" s="49">
        <f t="shared" si="26"/>
        <v>41</v>
      </c>
    </row>
    <row r="273" spans="1:25">
      <c r="A273" s="49">
        <f>IF(Declarations!B30=0,"",Declarations!B30)</f>
        <v>25</v>
      </c>
      <c r="B273" s="150" t="str">
        <f>IF(ISNA(VLOOKUP(A273,Declarations!B$6:C$185,2,FALSE)),"",IF(VLOOKUP(A273,Declarations!B$6:C$185,2,FALSE)="","",VLOOKUP(A273,Declarations!B$6:C$185,2,FALSE)))</f>
        <v>LILY COPP</v>
      </c>
      <c r="C273" s="150" t="str">
        <f>IF(ISNA(VLOOKUP(A273,Declarations!B$6:F$185,5,FALSE)),"",IF(VLOOKUP(A273,Declarations!B$6:F$185,5,FALSE)="","",VLOOKUP(A273,Declarations!B$6:F$185,5,FALSE)))</f>
        <v>Woking AC</v>
      </c>
      <c r="D273" s="150" t="str">
        <f>IF(ISNA(VLOOKUP(A273,Declarations!B$6:F$185,4,FALSE)),"",IF(VLOOKUP(A273,Declarations!B$6:F$185,4,FALSE)="","",VLOOKUP(A273,Declarations!B$6:F$185,4,FALSE)))</f>
        <v>GIRLS</v>
      </c>
      <c r="E273" s="150" t="str">
        <f>IF(ISNA(VLOOKUP(A273,Declarations!B$6:D$185,3,FALSE)),"",IF(VLOOKUP(A273,Declarations!B$6:D$185,3,FALSE)="","",VLOOKUP(A273,Declarations!B$6:D$185,3,FALSE)))</f>
        <v>U12</v>
      </c>
      <c r="F273" s="49">
        <f>IF(B273="","",IF(ISNA(VLOOKUP(A273,'75m'!F$5:G$302,2,FALSE)),"",VLOOKUP(A273,'75m'!F$5:G$302,2,FALSE)))</f>
        <v>13.5</v>
      </c>
      <c r="G273" s="49">
        <f>IF(B273="",0,IF(ISNA(_xlfn.XLOOKUP(A273,'75m'!F$5:F$302,'75m'!M$5:M$302)),0,_xlfn.XLOOKUP(A273,'75m'!F$5:F$302,'75m'!M$5:M$302)))</f>
        <v>60</v>
      </c>
      <c r="H273" s="49" t="str">
        <f>IF(B273="","",IF(ISNA(VLOOKUP(A273,'75m'!F$5:K$302,6,FALSE)),"",VLOOKUP(A273,'75m'!F$5:K$302,6,FALSE)))</f>
        <v>PB5</v>
      </c>
      <c r="I273" s="51">
        <f>IF(B273="",0,IF(ISNA(VLOOKUP(A273,'600m'!F$5:J$302,2,FALSE)),0,VLOOKUP(A273,'600m'!F$5:J$302,2,FALSE)))</f>
        <v>1.6064814814814815E-3</v>
      </c>
      <c r="J273" s="49">
        <f>IF(B273="",0,IF(ISNA(_xlfn.XLOOKUP(A273,'600m'!F$5:F$302,'600m'!M$5:M$302)),0,_xlfn.XLOOKUP(A273,'600m'!F$5:F$302,'600m'!M$5:M$302)))</f>
        <v>42</v>
      </c>
      <c r="K273" s="49" t="str">
        <f>IF(B273="","",IF(ISNA(VLOOKUP(A273,'600m'!F$5:K$302,6,FALSE)),"",VLOOKUP(A273,'600m'!F$5:K$302,6,FALSE)))</f>
        <v>PB2</v>
      </c>
      <c r="L273" s="49">
        <f>IF(B273="","",IF(ISNA(VLOOKUP(A273,LongJump!F$5:G$302,2,FALSE)),"",VLOOKUP(A273,LongJump!F$5:G$302,2,FALSE)))</f>
        <v>2.38</v>
      </c>
      <c r="M273" s="49">
        <f>IF(B273="",0,IF(ISNA(_xlfn.XLOOKUP(A273,LongJump!F$5:F$302,LongJump!M$5:M$302)),0,_xlfn.XLOOKUP(A273,LongJump!F$5:F$302,LongJump!M$5:M$302)))</f>
        <v>44</v>
      </c>
      <c r="N273" s="49" t="str">
        <f>IF(B273="","",IF(ISNA(VLOOKUP(A273,LongJump!F$5:K$302,6,FALSE)),0,VLOOKUP(A273,LongJump!F$5:K$302,6,FALSE)))</f>
        <v>PB3</v>
      </c>
      <c r="O273" s="49">
        <f>IF(B273="","",IF(ISNA(VLOOKUP(A273,Vortex!F$5:J$302,2,FALSE)),"",VLOOKUP(A273,Vortex!F$5:J$302,2,FALSE)))</f>
        <v>12.8</v>
      </c>
      <c r="P273" s="49">
        <f>IF(B273="",0,IF(ISNA(_xlfn.XLOOKUP(A273,Vortex!F$5:F$302,Vortex!M$5:M$302)),0,_xlfn.XLOOKUP(A273,Vortex!F$5:F$302,Vortex!M$5:M$302)))</f>
        <v>24</v>
      </c>
      <c r="Q273" s="49">
        <f t="shared" si="22"/>
        <v>170</v>
      </c>
      <c r="R273" s="49" t="str">
        <f t="shared" si="23"/>
        <v/>
      </c>
      <c r="S273" s="49">
        <f t="shared" si="24"/>
        <v>7</v>
      </c>
      <c r="T273" s="49" t="str">
        <f t="shared" si="25"/>
        <v/>
      </c>
      <c r="U273" s="49">
        <f t="shared" si="26"/>
        <v>42</v>
      </c>
    </row>
    <row r="274" spans="1:25">
      <c r="A274" s="49">
        <f>IF(Declarations!B31=0,"",Declarations!B31)</f>
        <v>26</v>
      </c>
      <c r="B274" s="150" t="str">
        <f>IF(ISNA(VLOOKUP(A274,Declarations!B$6:C$185,2,FALSE)),"",IF(VLOOKUP(A274,Declarations!B$6:C$185,2,FALSE)="","",VLOOKUP(A274,Declarations!B$6:C$185,2,FALSE)))</f>
        <v>EDEN WECKI</v>
      </c>
      <c r="C274" s="150" t="str">
        <f>IF(ISNA(VLOOKUP(A274,Declarations!B$6:F$185,5,FALSE)),"",IF(VLOOKUP(A274,Declarations!B$6:F$185,5,FALSE)="","",VLOOKUP(A274,Declarations!B$6:F$185,5,FALSE)))</f>
        <v>Woking AC</v>
      </c>
      <c r="D274" s="150" t="str">
        <f>IF(ISNA(VLOOKUP(A274,Declarations!B$6:F$185,4,FALSE)),"",IF(VLOOKUP(A274,Declarations!B$6:F$185,4,FALSE)="","",VLOOKUP(A274,Declarations!B$6:F$185,4,FALSE)))</f>
        <v>GIRLS</v>
      </c>
      <c r="E274" s="150" t="str">
        <f>IF(ISNA(VLOOKUP(A274,Declarations!B$6:D$185,3,FALSE)),"",IF(VLOOKUP(A274,Declarations!B$6:D$185,3,FALSE)="","",VLOOKUP(A274,Declarations!B$6:D$185,3,FALSE)))</f>
        <v>U12</v>
      </c>
      <c r="F274" s="49">
        <f>IF(B274="","",IF(ISNA(VLOOKUP(A274,'75m'!F$5:G$302,2,FALSE)),"",VLOOKUP(A274,'75m'!F$5:G$302,2,FALSE)))</f>
        <v>13.3</v>
      </c>
      <c r="G274" s="49">
        <f>IF(B274="",0,IF(ISNA(_xlfn.XLOOKUP(A274,'75m'!F$5:F$302,'75m'!M$5:M$302)),0,_xlfn.XLOOKUP(A274,'75m'!F$5:F$302,'75m'!M$5:M$302)))</f>
        <v>64</v>
      </c>
      <c r="H274" s="49" t="str">
        <f>IF(B274="","",IF(ISNA(VLOOKUP(A274,'75m'!F$5:K$302,6,FALSE)),"",VLOOKUP(A274,'75m'!F$5:K$302,6,FALSE)))</f>
        <v>PB5</v>
      </c>
      <c r="I274" s="51">
        <f>IF(B274="",0,IF(ISNA(VLOOKUP(A274,'600m'!F$5:J$302,2,FALSE)),0,VLOOKUP(A274,'600m'!F$5:J$302,2,FALSE)))</f>
        <v>1.5416666666666664E-3</v>
      </c>
      <c r="J274" s="49">
        <f>IF(B274="",0,IF(ISNA(_xlfn.XLOOKUP(A274,'600m'!F$5:F$302,'600m'!M$5:M$302)),0,_xlfn.XLOOKUP(A274,'600m'!F$5:F$302,'600m'!M$5:M$302)))</f>
        <v>53</v>
      </c>
      <c r="K274" s="49" t="str">
        <f>IF(B274="","",IF(ISNA(VLOOKUP(A274,'600m'!F$5:K$302,6,FALSE)),"",VLOOKUP(A274,'600m'!F$5:K$302,6,FALSE)))</f>
        <v>PB3</v>
      </c>
      <c r="L274" s="49">
        <f>IF(B274="","",IF(ISNA(VLOOKUP(A274,LongJump!F$5:G$302,2,FALSE)),"",VLOOKUP(A274,LongJump!F$5:G$302,2,FALSE)))</f>
        <v>2.66</v>
      </c>
      <c r="M274" s="49">
        <f>IF(B274="",0,IF(ISNA(_xlfn.XLOOKUP(A274,LongJump!F$5:F$302,LongJump!M$5:M$302)),0,_xlfn.XLOOKUP(A274,LongJump!F$5:F$302,LongJump!M$5:M$302)))</f>
        <v>55</v>
      </c>
      <c r="N274" s="49" t="str">
        <f>IF(B274="","",IF(ISNA(VLOOKUP(A274,LongJump!F$5:K$302,6,FALSE)),0,VLOOKUP(A274,LongJump!F$5:K$302,6,FALSE)))</f>
        <v>PB4</v>
      </c>
      <c r="O274" s="49">
        <f>IF(B274="","",IF(ISNA(VLOOKUP(A274,Vortex!F$5:J$302,2,FALSE)),"",VLOOKUP(A274,Vortex!F$5:J$302,2,FALSE)))</f>
        <v>13.6</v>
      </c>
      <c r="P274" s="49">
        <f>IF(B274="",0,IF(ISNA(_xlfn.XLOOKUP(A274,Vortex!F$5:F$302,Vortex!M$5:M$302)),0,_xlfn.XLOOKUP(A274,Vortex!F$5:F$302,Vortex!M$5:M$302)))</f>
        <v>28</v>
      </c>
      <c r="Q274" s="49">
        <f t="shared" si="22"/>
        <v>200</v>
      </c>
      <c r="R274" s="49" t="str">
        <f t="shared" si="23"/>
        <v/>
      </c>
      <c r="S274" s="49">
        <f t="shared" si="24"/>
        <v>5</v>
      </c>
      <c r="T274" s="49" t="str">
        <f t="shared" si="25"/>
        <v/>
      </c>
      <c r="U274" s="49">
        <f t="shared" si="26"/>
        <v>38</v>
      </c>
    </row>
    <row r="275" spans="1:25">
      <c r="A275" s="49">
        <f>IF(Declarations!B32=0,"",Declarations!B32)</f>
        <v>27</v>
      </c>
      <c r="B275" s="150" t="str">
        <f>IF(ISNA(VLOOKUP(A275,Declarations!B$6:C$185,2,FALSE)),"",IF(VLOOKUP(A275,Declarations!B$6:C$185,2,FALSE)="","",VLOOKUP(A275,Declarations!B$6:C$185,2,FALSE)))</f>
        <v>SOPHIE GBAJOBI</v>
      </c>
      <c r="C275" s="150" t="str">
        <f>IF(ISNA(VLOOKUP(A275,Declarations!B$6:F$185,5,FALSE)),"",IF(VLOOKUP(A275,Declarations!B$6:F$185,5,FALSE)="","",VLOOKUP(A275,Declarations!B$6:F$185,5,FALSE)))</f>
        <v>Woking AC</v>
      </c>
      <c r="D275" s="150" t="str">
        <f>IF(ISNA(VLOOKUP(A275,Declarations!B$6:F$185,4,FALSE)),"",IF(VLOOKUP(A275,Declarations!B$6:F$185,4,FALSE)="","",VLOOKUP(A275,Declarations!B$6:F$185,4,FALSE)))</f>
        <v>GIRLS</v>
      </c>
      <c r="E275" s="150" t="str">
        <f>IF(ISNA(VLOOKUP(A275,Declarations!B$6:D$185,3,FALSE)),"",IF(VLOOKUP(A275,Declarations!B$6:D$185,3,FALSE)="","",VLOOKUP(A275,Declarations!B$6:D$185,3,FALSE)))</f>
        <v>U12</v>
      </c>
      <c r="F275" s="49">
        <f>IF(B275="","",IF(ISNA(VLOOKUP(A275,'75m'!F$5:G$302,2,FALSE)),"",VLOOKUP(A275,'75m'!F$5:G$302,2,FALSE)))</f>
        <v>10.7</v>
      </c>
      <c r="G275" s="49">
        <f>IF(B275="",0,IF(ISNA(_xlfn.XLOOKUP(A275,'75m'!F$5:F$302,'75m'!M$5:M$302)),0,_xlfn.XLOOKUP(A275,'75m'!F$5:F$302,'75m'!M$5:M$302)))</f>
        <v>120</v>
      </c>
      <c r="H275" s="49" t="str">
        <f>IF(B275="","",IF(ISNA(VLOOKUP(A275,'75m'!F$5:K$302,6,FALSE)),"",VLOOKUP(A275,'75m'!F$5:K$302,6,FALSE)))</f>
        <v>PB9</v>
      </c>
      <c r="I275" s="51">
        <f>IF(B275="",0,IF(ISNA(VLOOKUP(A275,'600m'!F$5:J$302,2,FALSE)),0,VLOOKUP(A275,'600m'!F$5:J$302,2,FALSE)))</f>
        <v>1.4861111111111112E-3</v>
      </c>
      <c r="J275" s="49">
        <f>IF(B275="",0,IF(ISNA(_xlfn.XLOOKUP(A275,'600m'!F$5:F$302,'600m'!M$5:M$302)),0,_xlfn.XLOOKUP(A275,'600m'!F$5:F$302,'600m'!M$5:M$302)))</f>
        <v>63</v>
      </c>
      <c r="K275" s="49" t="str">
        <f>IF(B275="","",IF(ISNA(VLOOKUP(A275,'600m'!F$5:K$302,6,FALSE)),"",VLOOKUP(A275,'600m'!F$5:K$302,6,FALSE)))</f>
        <v>PB4</v>
      </c>
      <c r="L275" s="49">
        <f>IF(B275="","",IF(ISNA(VLOOKUP(A275,LongJump!F$5:G$302,2,FALSE)),"",VLOOKUP(A275,LongJump!F$5:G$302,2,FALSE)))</f>
        <v>3.45</v>
      </c>
      <c r="M275" s="49">
        <f>IF(B275="",0,IF(ISNA(_xlfn.XLOOKUP(A275,LongJump!F$5:F$302,LongJump!M$5:M$302)),0,_xlfn.XLOOKUP(A275,LongJump!F$5:F$302,LongJump!M$5:M$302)))</f>
        <v>87</v>
      </c>
      <c r="N275" s="49" t="str">
        <f>IF(B275="","",IF(ISNA(VLOOKUP(A275,LongJump!F$5:K$302,6,FALSE)),0,VLOOKUP(A275,LongJump!F$5:K$302,6,FALSE)))</f>
        <v>PB7</v>
      </c>
      <c r="O275" s="49">
        <f>IF(B275="","",IF(ISNA(VLOOKUP(A275,Vortex!F$5:J$302,2,FALSE)),"",VLOOKUP(A275,Vortex!F$5:J$302,2,FALSE)))</f>
        <v>24.65</v>
      </c>
      <c r="P275" s="49">
        <f>IF(B275="",0,IF(ISNA(_xlfn.XLOOKUP(A275,Vortex!F$5:F$302,Vortex!M$5:M$302)),0,_xlfn.XLOOKUP(A275,Vortex!F$5:F$302,Vortex!M$5:M$302)))</f>
        <v>83</v>
      </c>
      <c r="Q275" s="49">
        <f t="shared" si="22"/>
        <v>353</v>
      </c>
      <c r="R275" s="49" t="str">
        <f t="shared" si="23"/>
        <v/>
      </c>
      <c r="S275" s="49">
        <f t="shared" si="24"/>
        <v>1</v>
      </c>
      <c r="T275" s="49" t="str">
        <f t="shared" si="25"/>
        <v/>
      </c>
      <c r="U275" s="49">
        <f t="shared" si="26"/>
        <v>2</v>
      </c>
    </row>
    <row r="276" spans="1:25">
      <c r="A276" s="49">
        <f>IF(Declarations!B33=0,"",Declarations!B33)</f>
        <v>28</v>
      </c>
      <c r="B276" s="150" t="str">
        <f>IF(ISNA(VLOOKUP(A276,Declarations!B$6:C$185,2,FALSE)),"",IF(VLOOKUP(A276,Declarations!B$6:C$185,2,FALSE)="","",VLOOKUP(A276,Declarations!B$6:C$185,2,FALSE)))</f>
        <v>ALANA FOOTE</v>
      </c>
      <c r="C276" s="150" t="str">
        <f>IF(ISNA(VLOOKUP(A276,Declarations!B$6:F$185,5,FALSE)),"",IF(VLOOKUP(A276,Declarations!B$6:F$185,5,FALSE)="","",VLOOKUP(A276,Declarations!B$6:F$185,5,FALSE)))</f>
        <v>Woking AC</v>
      </c>
      <c r="D276" s="150" t="str">
        <f>IF(ISNA(VLOOKUP(A276,Declarations!B$6:F$185,4,FALSE)),"",IF(VLOOKUP(A276,Declarations!B$6:F$185,4,FALSE)="","",VLOOKUP(A276,Declarations!B$6:F$185,4,FALSE)))</f>
        <v>GIRLS</v>
      </c>
      <c r="E276" s="150" t="str">
        <f>IF(ISNA(VLOOKUP(A276,Declarations!B$6:D$185,3,FALSE)),"",IF(VLOOKUP(A276,Declarations!B$6:D$185,3,FALSE)="","",VLOOKUP(A276,Declarations!B$6:D$185,3,FALSE)))</f>
        <v>U12</v>
      </c>
      <c r="F276" s="49" t="str">
        <f>IF(B276="","",IF(ISNA(VLOOKUP(A276,'75m'!F$5:G$302,2,FALSE)),"",VLOOKUP(A276,'75m'!F$5:G$302,2,FALSE)))</f>
        <v/>
      </c>
      <c r="G276" s="49">
        <f>IF(B276="",0,IF(ISNA(_xlfn.XLOOKUP(A276,'75m'!F$5:F$302,'75m'!M$5:M$302)),0,_xlfn.XLOOKUP(A276,'75m'!F$5:F$302,'75m'!M$5:M$302)))</f>
        <v>0</v>
      </c>
      <c r="H276" s="49" t="str">
        <f>IF(B276="","",IF(ISNA(VLOOKUP(A276,'75m'!F$5:K$302,6,FALSE)),"",VLOOKUP(A276,'75m'!F$5:K$302,6,FALSE)))</f>
        <v/>
      </c>
      <c r="I276" s="51">
        <f>IF(B276="",0,IF(ISNA(VLOOKUP(A276,'600m'!F$5:J$302,2,FALSE)),0,VLOOKUP(A276,'600m'!F$5:J$302,2,FALSE)))</f>
        <v>0</v>
      </c>
      <c r="J276" s="49">
        <f>IF(B276="",0,IF(ISNA(_xlfn.XLOOKUP(A276,'600m'!F$5:F$302,'600m'!M$5:M$302)),0,_xlfn.XLOOKUP(A276,'600m'!F$5:F$302,'600m'!M$5:M$302)))</f>
        <v>0</v>
      </c>
      <c r="K276" s="49" t="str">
        <f>IF(B276="","",IF(ISNA(VLOOKUP(A276,'600m'!F$5:K$302,6,FALSE)),"",VLOOKUP(A276,'600m'!F$5:K$302,6,FALSE)))</f>
        <v/>
      </c>
      <c r="L276" s="49" t="str">
        <f>IF(B276="","",IF(ISNA(VLOOKUP(A276,LongJump!F$5:G$302,2,FALSE)),"",VLOOKUP(A276,LongJump!F$5:G$302,2,FALSE)))</f>
        <v/>
      </c>
      <c r="M276" s="49">
        <f>IF(B276="",0,IF(ISNA(_xlfn.XLOOKUP(A276,LongJump!F$5:F$302,LongJump!M$5:M$302)),0,_xlfn.XLOOKUP(A276,LongJump!F$5:F$302,LongJump!M$5:M$302)))</f>
        <v>0</v>
      </c>
      <c r="N276" s="49">
        <f>IF(B276="","",IF(ISNA(VLOOKUP(A276,LongJump!F$5:K$302,6,FALSE)),0,VLOOKUP(A276,LongJump!F$5:K$302,6,FALSE)))</f>
        <v>0</v>
      </c>
      <c r="O276" s="49" t="str">
        <f>IF(B276="","",IF(ISNA(VLOOKUP(A276,Vortex!F$5:J$302,2,FALSE)),"",VLOOKUP(A276,Vortex!F$5:J$302,2,FALSE)))</f>
        <v/>
      </c>
      <c r="P276" s="49">
        <f>IF(B276="",0,IF(ISNA(_xlfn.XLOOKUP(A276,Vortex!F$5:F$302,Vortex!M$5:M$302)),0,_xlfn.XLOOKUP(A276,Vortex!F$5:F$302,Vortex!M$5:M$302)))</f>
        <v>0</v>
      </c>
      <c r="Q276" s="49">
        <f t="shared" si="22"/>
        <v>0</v>
      </c>
      <c r="R276" s="49" t="str">
        <f t="shared" si="23"/>
        <v/>
      </c>
      <c r="S276" s="49" t="str">
        <f t="shared" si="24"/>
        <v/>
      </c>
      <c r="T276" s="49" t="str">
        <f t="shared" si="25"/>
        <v/>
      </c>
      <c r="U276" s="49" t="str">
        <f t="shared" si="26"/>
        <v/>
      </c>
    </row>
    <row r="277" spans="1:25">
      <c r="A277" s="49">
        <f>IF(Declarations!B34=0,"",Declarations!B34)</f>
        <v>29</v>
      </c>
      <c r="B277" s="150" t="str">
        <f>IF(ISNA(VLOOKUP(A277,Declarations!B$6:C$185,2,FALSE)),"",IF(VLOOKUP(A277,Declarations!B$6:C$185,2,FALSE)="","",VLOOKUP(A277,Declarations!B$6:C$185,2,FALSE)))</f>
        <v>KATIE TAYLOR</v>
      </c>
      <c r="C277" s="150" t="str">
        <f>IF(ISNA(VLOOKUP(A277,Declarations!B$6:F$185,5,FALSE)),"",IF(VLOOKUP(A277,Declarations!B$6:F$185,5,FALSE)="","",VLOOKUP(A277,Declarations!B$6:F$185,5,FALSE)))</f>
        <v>Woking AC</v>
      </c>
      <c r="D277" s="150" t="str">
        <f>IF(ISNA(VLOOKUP(A277,Declarations!B$6:F$185,4,FALSE)),"",IF(VLOOKUP(A277,Declarations!B$6:F$185,4,FALSE)="","",VLOOKUP(A277,Declarations!B$6:F$185,4,FALSE)))</f>
        <v>GIRLS</v>
      </c>
      <c r="E277" s="150" t="str">
        <f>IF(ISNA(VLOOKUP(A277,Declarations!B$6:D$185,3,FALSE)),"",IF(VLOOKUP(A277,Declarations!B$6:D$185,3,FALSE)="","",VLOOKUP(A277,Declarations!B$6:D$185,3,FALSE)))</f>
        <v>U12</v>
      </c>
      <c r="F277" s="49">
        <f>IF(B277="","",IF(ISNA(VLOOKUP(A277,'75m'!F$5:G$302,2,FALSE)),"",VLOOKUP(A277,'75m'!F$5:G$302,2,FALSE)))</f>
        <v>14</v>
      </c>
      <c r="G277" s="49">
        <f>IF(B277="",0,IF(ISNA(_xlfn.XLOOKUP(A277,'75m'!F$5:F$302,'75m'!M$5:M$302)),0,_xlfn.XLOOKUP(A277,'75m'!F$5:F$302,'75m'!M$5:M$302)))</f>
        <v>50</v>
      </c>
      <c r="H277" s="49" t="str">
        <f>IF(B277="","",IF(ISNA(VLOOKUP(A277,'75m'!F$5:K$302,6,FALSE)),"",VLOOKUP(A277,'75m'!F$5:K$302,6,FALSE)))</f>
        <v>PB4</v>
      </c>
      <c r="I277" s="51">
        <f>IF(B277="",0,IF(ISNA(VLOOKUP(A277,'600m'!F$5:J$302,2,FALSE)),0,VLOOKUP(A277,'600m'!F$5:J$302,2,FALSE)))</f>
        <v>0</v>
      </c>
      <c r="J277" s="49">
        <f>IF(B277="",0,IF(ISNA(_xlfn.XLOOKUP(A277,'600m'!F$5:F$302,'600m'!M$5:M$302)),0,_xlfn.XLOOKUP(A277,'600m'!F$5:F$302,'600m'!M$5:M$302)))</f>
        <v>0</v>
      </c>
      <c r="K277" s="49" t="str">
        <f>IF(B277="","",IF(ISNA(VLOOKUP(A277,'600m'!F$5:K$302,6,FALSE)),"",VLOOKUP(A277,'600m'!F$5:K$302,6,FALSE)))</f>
        <v/>
      </c>
      <c r="L277" s="49">
        <f>IF(B277="","",IF(ISNA(VLOOKUP(A277,LongJump!F$5:G$302,2,FALSE)),"",VLOOKUP(A277,LongJump!F$5:G$302,2,FALSE)))</f>
        <v>2.31</v>
      </c>
      <c r="M277" s="49">
        <f>IF(B277="",0,IF(ISNA(_xlfn.XLOOKUP(A277,LongJump!F$5:F$302,LongJump!M$5:M$302)),0,_xlfn.XLOOKUP(A277,LongJump!F$5:F$302,LongJump!M$5:M$302)))</f>
        <v>42</v>
      </c>
      <c r="N277" s="49" t="str">
        <f>IF(B277="","",IF(ISNA(VLOOKUP(A277,LongJump!F$5:K$302,6,FALSE)),0,VLOOKUP(A277,LongJump!F$5:K$302,6,FALSE)))</f>
        <v>PB3</v>
      </c>
      <c r="O277" s="49" t="str">
        <f>IF(B277="","",IF(ISNA(VLOOKUP(A277,Vortex!F$5:J$302,2,FALSE)),"",VLOOKUP(A277,Vortex!F$5:J$302,2,FALSE)))</f>
        <v/>
      </c>
      <c r="P277" s="49">
        <f>IF(B277="",0,IF(ISNA(_xlfn.XLOOKUP(A277,Vortex!F$5:F$302,Vortex!M$5:M$302)),0,_xlfn.XLOOKUP(A277,Vortex!F$5:F$302,Vortex!M$5:M$302)))</f>
        <v>0</v>
      </c>
      <c r="Q277" s="49">
        <f t="shared" si="22"/>
        <v>92</v>
      </c>
      <c r="R277" s="49" t="str">
        <f t="shared" si="23"/>
        <v/>
      </c>
      <c r="S277" s="49">
        <f t="shared" si="24"/>
        <v>8</v>
      </c>
      <c r="T277" s="49" t="str">
        <f t="shared" si="25"/>
        <v/>
      </c>
      <c r="U277" s="49">
        <f t="shared" si="26"/>
        <v>46</v>
      </c>
    </row>
    <row r="278" spans="1:25" ht="24.6">
      <c r="A278" s="49">
        <f>IF(Declarations!B35=0,"",Declarations!B35)</f>
        <v>30</v>
      </c>
      <c r="B278" s="150" t="str">
        <f>IF(ISNA(VLOOKUP(A278,Declarations!B$6:C$185,2,FALSE)),"",IF(VLOOKUP(A278,Declarations!B$6:C$185,2,FALSE)="","",VLOOKUP(A278,Declarations!B$6:C$185,2,FALSE)))</f>
        <v/>
      </c>
      <c r="C278" s="150" t="str">
        <f>IF(ISNA(VLOOKUP(A278,Declarations!B$6:F$185,5,FALSE)),"",IF(VLOOKUP(A278,Declarations!B$6:F$185,5,FALSE)="","",VLOOKUP(A278,Declarations!B$6:F$185,5,FALSE)))</f>
        <v>Woking AC</v>
      </c>
      <c r="D278" s="150" t="str">
        <f>IF(ISNA(VLOOKUP(A278,Declarations!B$6:F$185,4,FALSE)),"",IF(VLOOKUP(A278,Declarations!B$6:F$185,4,FALSE)="","",VLOOKUP(A278,Declarations!B$6:F$185,4,FALSE)))</f>
        <v>GIRLS</v>
      </c>
      <c r="E278" s="150" t="str">
        <f>IF(ISNA(VLOOKUP(A278,Declarations!B$6:D$185,3,FALSE)),"",IF(VLOOKUP(A278,Declarations!B$6:D$185,3,FALSE)="","",VLOOKUP(A278,Declarations!B$6:D$185,3,FALSE)))</f>
        <v>U12</v>
      </c>
      <c r="F278" s="49" t="str">
        <f>IF(B278="","",IF(ISNA(VLOOKUP(A278,'75m'!F$5:G$302,2,FALSE)),"",VLOOKUP(A278,'75m'!F$5:G$302,2,FALSE)))</f>
        <v/>
      </c>
      <c r="G278" s="49">
        <f>IF(B278="",0,IF(ISNA(_xlfn.XLOOKUP(A278,'75m'!F$5:F$302,'75m'!M$5:M$302)),0,_xlfn.XLOOKUP(A278,'75m'!F$5:F$302,'75m'!M$5:M$302)))</f>
        <v>0</v>
      </c>
      <c r="H278" s="49" t="str">
        <f>IF(B278="","",IF(ISNA(VLOOKUP(A278,'75m'!F$5:K$302,6,FALSE)),"",VLOOKUP(A278,'75m'!F$5:K$302,6,FALSE)))</f>
        <v/>
      </c>
      <c r="I278" s="51">
        <f>IF(B278="",0,IF(ISNA(VLOOKUP(A278,'600m'!F$5:J$302,2,FALSE)),0,VLOOKUP(A278,'600m'!F$5:J$302,2,FALSE)))</f>
        <v>0</v>
      </c>
      <c r="J278" s="49">
        <f>IF(B278="",0,IF(ISNA(_xlfn.XLOOKUP(A278,'600m'!F$5:F$302,'600m'!M$5:M$302)),0,_xlfn.XLOOKUP(A278,'600m'!F$5:F$302,'600m'!M$5:M$302)))</f>
        <v>0</v>
      </c>
      <c r="K278" s="49" t="str">
        <f>IF(B278="","",IF(ISNA(VLOOKUP(A278,'600m'!F$5:K$302,6,FALSE)),"",VLOOKUP(A278,'600m'!F$5:K$302,6,FALSE)))</f>
        <v/>
      </c>
      <c r="L278" s="49" t="str">
        <f>IF(B278="","",IF(ISNA(VLOOKUP(A278,LongJump!F$5:G$302,2,FALSE)),"",VLOOKUP(A278,LongJump!F$5:G$302,2,FALSE)))</f>
        <v/>
      </c>
      <c r="M278" s="49">
        <f>IF(B278="",0,IF(ISNA(_xlfn.XLOOKUP(A278,LongJump!F$5:F$302,LongJump!M$5:M$302)),0,_xlfn.XLOOKUP(A278,LongJump!F$5:F$302,LongJump!M$5:M$302)))</f>
        <v>0</v>
      </c>
      <c r="N278" s="49" t="str">
        <f>IF(B278="","",IF(ISNA(VLOOKUP(A278,LongJump!F$5:K$302,6,FALSE)),0,VLOOKUP(A278,LongJump!F$5:K$302,6,FALSE)))</f>
        <v/>
      </c>
      <c r="O278" s="49" t="str">
        <f>IF(B278="","",IF(ISNA(VLOOKUP(A278,Vortex!F$5:J$302,2,FALSE)),"",VLOOKUP(A278,Vortex!F$5:J$302,2,FALSE)))</f>
        <v/>
      </c>
      <c r="P278" s="49">
        <f>IF(B278="",0,IF(ISNA(_xlfn.XLOOKUP(A278,Vortex!F$5:F$302,Vortex!M$5:M$302)),0,_xlfn.XLOOKUP(A278,Vortex!F$5:F$302,Vortex!M$5:M$302)))</f>
        <v>0</v>
      </c>
      <c r="Q278" s="49">
        <f t="shared" si="22"/>
        <v>0</v>
      </c>
      <c r="R278" s="49" t="str">
        <f t="shared" si="23"/>
        <v/>
      </c>
      <c r="S278" s="49" t="str">
        <f t="shared" si="24"/>
        <v/>
      </c>
      <c r="T278" s="49" t="str">
        <f t="shared" si="25"/>
        <v/>
      </c>
      <c r="U278" s="49" t="str">
        <f t="shared" si="26"/>
        <v/>
      </c>
      <c r="V278" s="16"/>
      <c r="W278" s="16"/>
      <c r="X278" s="16"/>
    </row>
    <row r="279" spans="1:25">
      <c r="A279" s="49">
        <f>IF(Declarations!B36=0,"",Declarations!B36)</f>
        <v>31</v>
      </c>
      <c r="B279" s="150" t="str">
        <f>IF(ISNA(VLOOKUP(A279,Declarations!B$6:C$185,2,FALSE)),"",IF(VLOOKUP(A279,Declarations!B$6:C$185,2,FALSE)="","",VLOOKUP(A279,Declarations!B$6:C$185,2,FALSE)))</f>
        <v>OLI THOMPSON</v>
      </c>
      <c r="C279" s="150" t="str">
        <f>IF(ISNA(VLOOKUP(A279,Declarations!B$6:F$185,5,FALSE)),"",IF(VLOOKUP(A279,Declarations!B$6:F$185,5,FALSE)="","",VLOOKUP(A279,Declarations!B$6:F$185,5,FALSE)))</f>
        <v>Woking AC</v>
      </c>
      <c r="D279" s="150" t="str">
        <f>IF(ISNA(VLOOKUP(A279,Declarations!B$6:F$185,4,FALSE)),"",IF(VLOOKUP(A279,Declarations!B$6:F$185,4,FALSE)="","",VLOOKUP(A279,Declarations!B$6:F$185,4,FALSE)))</f>
        <v>BOYS</v>
      </c>
      <c r="E279" s="150" t="str">
        <f>IF(ISNA(VLOOKUP(A279,Declarations!B$6:D$185,3,FALSE)),"",IF(VLOOKUP(A279,Declarations!B$6:D$185,3,FALSE)="","",VLOOKUP(A279,Declarations!B$6:D$185,3,FALSE)))</f>
        <v>U12</v>
      </c>
      <c r="F279" s="49">
        <f>IF(B279="","",IF(ISNA(VLOOKUP(A279,'75m'!F$5:G$302,2,FALSE)),"",VLOOKUP(A279,'75m'!F$5:G$302,2,FALSE)))</f>
        <v>12.8</v>
      </c>
      <c r="G279" s="49">
        <f>IF(B279="",0,IF(ISNA(_xlfn.XLOOKUP(A279,'75m'!F$5:F$302,'75m'!M$5:M$302)),0,_xlfn.XLOOKUP(A279,'75m'!F$5:F$302,'75m'!M$5:M$302)))</f>
        <v>64</v>
      </c>
      <c r="H279" s="49" t="str">
        <f>IF(B279="","",IF(ISNA(VLOOKUP(A279,'75m'!F$5:K$302,6,FALSE)),"",VLOOKUP(A279,'75m'!F$5:K$302,6,FALSE)))</f>
        <v>PB5</v>
      </c>
      <c r="I279" s="51">
        <f>IF(B279="",0,IF(ISNA(VLOOKUP(A279,'600m'!F$5:J$302,2,FALSE)),0,VLOOKUP(A279,'600m'!F$5:J$302,2,FALSE)))</f>
        <v>1.4074074074074073E-3</v>
      </c>
      <c r="J279" s="49">
        <f>IF(B279="",0,IF(ISNA(_xlfn.XLOOKUP(A279,'600m'!F$5:F$302,'600m'!M$5:M$302)),0,_xlfn.XLOOKUP(A279,'600m'!F$5:F$302,'600m'!M$5:M$302)))</f>
        <v>56</v>
      </c>
      <c r="K279" s="49" t="str">
        <f>IF(B279="","",IF(ISNA(VLOOKUP(A279,'600m'!F$5:K$302,6,FALSE)),"",VLOOKUP(A279,'600m'!F$5:K$302,6,FALSE)))</f>
        <v>PB4</v>
      </c>
      <c r="L279" s="49">
        <f>IF(B279="","",IF(ISNA(VLOOKUP(A279,LongJump!F$5:G$302,2,FALSE)),"",VLOOKUP(A279,LongJump!F$5:G$302,2,FALSE)))</f>
        <v>3.06</v>
      </c>
      <c r="M279" s="49">
        <f>IF(B279="",0,IF(ISNA(_xlfn.XLOOKUP(A279,LongJump!F$5:F$302,LongJump!M$5:M$302)),0,_xlfn.XLOOKUP(A279,LongJump!F$5:F$302,LongJump!M$5:M$302)))</f>
        <v>62</v>
      </c>
      <c r="N279" s="49" t="str">
        <f>IF(B279="","",IF(ISNA(VLOOKUP(A279,LongJump!F$5:K$302,6,FALSE)),0,VLOOKUP(A279,LongJump!F$5:K$302,6,FALSE)))</f>
        <v>PB5</v>
      </c>
      <c r="O279" s="49">
        <f>IF(B279="","",IF(ISNA(VLOOKUP(A279,Vortex!F$5:J$302,2,FALSE)),"",VLOOKUP(A279,Vortex!F$5:J$302,2,FALSE)))</f>
        <v>30.85</v>
      </c>
      <c r="P279" s="49">
        <f>IF(B279="",0,IF(ISNA(_xlfn.XLOOKUP(A279,Vortex!F$5:F$302,Vortex!M$5:M$302)),0,_xlfn.XLOOKUP(A279,Vortex!F$5:F$302,Vortex!M$5:M$302)))</f>
        <v>104</v>
      </c>
      <c r="Q279" s="49">
        <f t="shared" si="22"/>
        <v>286</v>
      </c>
      <c r="R279" s="49" t="str">
        <f t="shared" si="23"/>
        <v/>
      </c>
      <c r="S279" s="49">
        <f t="shared" si="24"/>
        <v>7</v>
      </c>
      <c r="T279" s="49" t="str">
        <f t="shared" si="25"/>
        <v/>
      </c>
      <c r="U279" s="49">
        <f t="shared" si="26"/>
        <v>17</v>
      </c>
    </row>
    <row r="280" spans="1:25">
      <c r="A280" s="49">
        <f>IF(Declarations!B37=0,"",Declarations!B37)</f>
        <v>32</v>
      </c>
      <c r="B280" s="150" t="str">
        <f>IF(ISNA(VLOOKUP(A280,Declarations!B$6:C$185,2,FALSE)),"",IF(VLOOKUP(A280,Declarations!B$6:C$185,2,FALSE)="","",VLOOKUP(A280,Declarations!B$6:C$185,2,FALSE)))</f>
        <v>ISAAC HUTCHISON</v>
      </c>
      <c r="C280" s="150" t="str">
        <f>IF(ISNA(VLOOKUP(A280,Declarations!B$6:F$185,5,FALSE)),"",IF(VLOOKUP(A280,Declarations!B$6:F$185,5,FALSE)="","",VLOOKUP(A280,Declarations!B$6:F$185,5,FALSE)))</f>
        <v>Woking AC</v>
      </c>
      <c r="D280" s="150" t="str">
        <f>IF(ISNA(VLOOKUP(A280,Declarations!B$6:F$185,4,FALSE)),"",IF(VLOOKUP(A280,Declarations!B$6:F$185,4,FALSE)="","",VLOOKUP(A280,Declarations!B$6:F$185,4,FALSE)))</f>
        <v>BOYS</v>
      </c>
      <c r="E280" s="150" t="str">
        <f>IF(ISNA(VLOOKUP(A280,Declarations!B$6:D$185,3,FALSE)),"",IF(VLOOKUP(A280,Declarations!B$6:D$185,3,FALSE)="","",VLOOKUP(A280,Declarations!B$6:D$185,3,FALSE)))</f>
        <v>U12</v>
      </c>
      <c r="F280" s="49">
        <f>IF(B280="","",IF(ISNA(VLOOKUP(A280,'75m'!F$5:G$302,2,FALSE)),"",VLOOKUP(A280,'75m'!F$5:G$302,2,FALSE)))</f>
        <v>11.8</v>
      </c>
      <c r="G280" s="49">
        <f>IF(B280="",0,IF(ISNA(_xlfn.XLOOKUP(A280,'75m'!F$5:F$302,'75m'!M$5:M$302)),0,_xlfn.XLOOKUP(A280,'75m'!F$5:F$302,'75m'!M$5:M$302)))</f>
        <v>85</v>
      </c>
      <c r="H280" s="49" t="str">
        <f>IF(B280="","",IF(ISNA(VLOOKUP(A280,'75m'!F$5:K$302,6,FALSE)),"",VLOOKUP(A280,'75m'!F$5:K$302,6,FALSE)))</f>
        <v>PB7</v>
      </c>
      <c r="I280" s="51">
        <f>IF(B280="",0,IF(ISNA(VLOOKUP(A280,'600m'!F$5:J$302,2,FALSE)),0,VLOOKUP(A280,'600m'!F$5:J$302,2,FALSE)))</f>
        <v>1.5312500000000001E-3</v>
      </c>
      <c r="J280" s="49">
        <f>IF(B280="",0,IF(ISNA(_xlfn.XLOOKUP(A280,'600m'!F$5:F$302,'600m'!M$5:M$302)),0,_xlfn.XLOOKUP(A280,'600m'!F$5:F$302,'600m'!M$5:M$302)))</f>
        <v>37</v>
      </c>
      <c r="K280" s="49" t="str">
        <f>IF(B280="","",IF(ISNA(VLOOKUP(A280,'600m'!F$5:K$302,6,FALSE)),"",VLOOKUP(A280,'600m'!F$5:K$302,6,FALSE)))</f>
        <v>PB2</v>
      </c>
      <c r="L280" s="49">
        <f>IF(B280="","",IF(ISNA(VLOOKUP(A280,LongJump!F$5:G$302,2,FALSE)),"",VLOOKUP(A280,LongJump!F$5:G$302,2,FALSE)))</f>
        <v>3.01</v>
      </c>
      <c r="M280" s="49">
        <f>IF(B280="",0,IF(ISNA(_xlfn.XLOOKUP(A280,LongJump!F$5:F$302,LongJump!M$5:M$302)),0,_xlfn.XLOOKUP(A280,LongJump!F$5:F$302,LongJump!M$5:M$302)))</f>
        <v>60</v>
      </c>
      <c r="N280" s="49" t="str">
        <f>IF(B280="","",IF(ISNA(VLOOKUP(A280,LongJump!F$5:K$302,6,FALSE)),0,VLOOKUP(A280,LongJump!F$5:K$302,6,FALSE)))</f>
        <v>PB5</v>
      </c>
      <c r="O280" s="49">
        <f>IF(B280="","",IF(ISNA(VLOOKUP(A280,Vortex!F$5:J$302,2,FALSE)),"",VLOOKUP(A280,Vortex!F$5:J$302,2,FALSE)))</f>
        <v>22.53</v>
      </c>
      <c r="P280" s="49">
        <f>IF(B280="",0,IF(ISNA(_xlfn.XLOOKUP(A280,Vortex!F$5:F$302,Vortex!M$5:M$302)),0,_xlfn.XLOOKUP(A280,Vortex!F$5:F$302,Vortex!M$5:M$302)))</f>
        <v>62</v>
      </c>
      <c r="Q280" s="49">
        <f t="shared" si="22"/>
        <v>244</v>
      </c>
      <c r="R280" s="49" t="str">
        <f t="shared" si="23"/>
        <v/>
      </c>
      <c r="S280" s="49">
        <f t="shared" si="24"/>
        <v>9</v>
      </c>
      <c r="T280" s="49" t="str">
        <f t="shared" si="25"/>
        <v/>
      </c>
      <c r="U280" s="49">
        <f t="shared" si="26"/>
        <v>26</v>
      </c>
    </row>
    <row r="281" spans="1:25">
      <c r="A281" s="49">
        <f>IF(Declarations!B38=0,"",Declarations!B38)</f>
        <v>33</v>
      </c>
      <c r="B281" s="150" t="str">
        <f>IF(ISNA(VLOOKUP(A281,Declarations!B$6:C$185,2,FALSE)),"",IF(VLOOKUP(A281,Declarations!B$6:C$185,2,FALSE)="","",VLOOKUP(A281,Declarations!B$6:C$185,2,FALSE)))</f>
        <v>WILLIAM PEARCE</v>
      </c>
      <c r="C281" s="150" t="str">
        <f>IF(ISNA(VLOOKUP(A281,Declarations!B$6:F$185,5,FALSE)),"",IF(VLOOKUP(A281,Declarations!B$6:F$185,5,FALSE)="","",VLOOKUP(A281,Declarations!B$6:F$185,5,FALSE)))</f>
        <v>Woking AC</v>
      </c>
      <c r="D281" s="150" t="str">
        <f>IF(ISNA(VLOOKUP(A281,Declarations!B$6:F$185,4,FALSE)),"",IF(VLOOKUP(A281,Declarations!B$6:F$185,4,FALSE)="","",VLOOKUP(A281,Declarations!B$6:F$185,4,FALSE)))</f>
        <v>BOYS</v>
      </c>
      <c r="E281" s="150" t="str">
        <f>IF(ISNA(VLOOKUP(A281,Declarations!B$6:D$185,3,FALSE)),"",IF(VLOOKUP(A281,Declarations!B$6:D$185,3,FALSE)="","",VLOOKUP(A281,Declarations!B$6:D$185,3,FALSE)))</f>
        <v>U12</v>
      </c>
      <c r="F281" s="49">
        <f>IF(B281="","",IF(ISNA(VLOOKUP(A281,'75m'!F$5:G$302,2,FALSE)),"",VLOOKUP(A281,'75m'!F$5:G$302,2,FALSE)))</f>
        <v>11.2</v>
      </c>
      <c r="G281" s="49">
        <f>IF(B281="",0,IF(ISNA(_xlfn.XLOOKUP(A281,'75m'!F$5:F$302,'75m'!M$5:M$302)),0,_xlfn.XLOOKUP(A281,'75m'!F$5:F$302,'75m'!M$5:M$302)))</f>
        <v>100</v>
      </c>
      <c r="H281" s="49" t="str">
        <f>IF(B281="","",IF(ISNA(VLOOKUP(A281,'75m'!F$5:K$302,6,FALSE)),"",VLOOKUP(A281,'75m'!F$5:K$302,6,FALSE)))</f>
        <v>PB9</v>
      </c>
      <c r="I281" s="51">
        <f>IF(B281="",0,IF(ISNA(VLOOKUP(A281,'600m'!F$5:J$302,2,FALSE)),0,VLOOKUP(A281,'600m'!F$5:J$302,2,FALSE)))</f>
        <v>1.2893518518518519E-3</v>
      </c>
      <c r="J281" s="49">
        <f>IF(B281="",0,IF(ISNA(_xlfn.XLOOKUP(A281,'600m'!F$5:F$302,'600m'!M$5:M$302)),0,_xlfn.XLOOKUP(A281,'600m'!F$5:F$302,'600m'!M$5:M$302)))</f>
        <v>82</v>
      </c>
      <c r="K281" s="49" t="str">
        <f>IF(B281="","",IF(ISNA(VLOOKUP(A281,'600m'!F$5:K$302,6,FALSE)),"",VLOOKUP(A281,'600m'!F$5:K$302,6,FALSE)))</f>
        <v>PB7</v>
      </c>
      <c r="L281" s="49">
        <f>IF(B281="","",IF(ISNA(VLOOKUP(A281,LongJump!F$5:G$302,2,FALSE)),"",VLOOKUP(A281,LongJump!F$5:G$302,2,FALSE)))</f>
        <v>3.79</v>
      </c>
      <c r="M281" s="49">
        <f>IF(B281="",0,IF(ISNA(_xlfn.XLOOKUP(A281,LongJump!F$5:F$302,LongJump!M$5:M$302)),0,_xlfn.XLOOKUP(A281,LongJump!F$5:F$302,LongJump!M$5:M$302)))</f>
        <v>91</v>
      </c>
      <c r="N281" s="49" t="str">
        <f>IF(B281="","",IF(ISNA(VLOOKUP(A281,LongJump!F$5:K$302,6,FALSE)),0,VLOOKUP(A281,LongJump!F$5:K$302,6,FALSE)))</f>
        <v>PB8</v>
      </c>
      <c r="O281" s="49">
        <f>IF(B281="","",IF(ISNA(VLOOKUP(A281,Vortex!F$5:J$302,2,FALSE)),"",VLOOKUP(A281,Vortex!F$5:J$302,2,FALSE)))</f>
        <v>45.44</v>
      </c>
      <c r="P281" s="49">
        <f>IF(B281="",0,IF(ISNA(_xlfn.XLOOKUP(A281,Vortex!F$5:F$302,Vortex!M$5:M$302)),0,_xlfn.XLOOKUP(A281,Vortex!F$5:F$302,Vortex!M$5:M$302)))</f>
        <v>142</v>
      </c>
      <c r="Q281" s="49">
        <f t="shared" si="22"/>
        <v>415</v>
      </c>
      <c r="R281" s="49" t="str">
        <f t="shared" si="23"/>
        <v/>
      </c>
      <c r="S281" s="49">
        <f t="shared" si="24"/>
        <v>1</v>
      </c>
      <c r="T281" s="49" t="str">
        <f t="shared" si="25"/>
        <v/>
      </c>
      <c r="U281" s="49">
        <f t="shared" si="26"/>
        <v>1</v>
      </c>
    </row>
    <row r="282" spans="1:25" ht="24.6">
      <c r="A282" s="49">
        <f>IF(Declarations!B39=0,"",Declarations!B39)</f>
        <v>34</v>
      </c>
      <c r="B282" s="150" t="str">
        <f>IF(ISNA(VLOOKUP(A282,Declarations!B$6:C$185,2,FALSE)),"",IF(VLOOKUP(A282,Declarations!B$6:C$185,2,FALSE)="","",VLOOKUP(A282,Declarations!B$6:C$185,2,FALSE)))</f>
        <v>LOUIS MASON</v>
      </c>
      <c r="C282" s="150" t="str">
        <f>IF(ISNA(VLOOKUP(A282,Declarations!B$6:F$185,5,FALSE)),"",IF(VLOOKUP(A282,Declarations!B$6:F$185,5,FALSE)="","",VLOOKUP(A282,Declarations!B$6:F$185,5,FALSE)))</f>
        <v>Woking AC</v>
      </c>
      <c r="D282" s="150" t="str">
        <f>IF(ISNA(VLOOKUP(A282,Declarations!B$6:F$185,4,FALSE)),"",IF(VLOOKUP(A282,Declarations!B$6:F$185,4,FALSE)="","",VLOOKUP(A282,Declarations!B$6:F$185,4,FALSE)))</f>
        <v>BOYS</v>
      </c>
      <c r="E282" s="150" t="str">
        <f>IF(ISNA(VLOOKUP(A282,Declarations!B$6:D$185,3,FALSE)),"",IF(VLOOKUP(A282,Declarations!B$6:D$185,3,FALSE)="","",VLOOKUP(A282,Declarations!B$6:D$185,3,FALSE)))</f>
        <v>U12</v>
      </c>
      <c r="F282" s="49">
        <f>IF(B282="","",IF(ISNA(VLOOKUP(A282,'75m'!F$5:G$302,2,FALSE)),"",VLOOKUP(A282,'75m'!F$5:G$302,2,FALSE)))</f>
        <v>11.6</v>
      </c>
      <c r="G282" s="49">
        <f>IF(B282="",0,IF(ISNA(_xlfn.XLOOKUP(A282,'75m'!F$5:F$302,'75m'!M$5:M$302)),0,_xlfn.XLOOKUP(A282,'75m'!F$5:F$302,'75m'!M$5:M$302)))</f>
        <v>90</v>
      </c>
      <c r="H282" s="49" t="str">
        <f>IF(B282="","",IF(ISNA(VLOOKUP(A282,'75m'!F$5:K$302,6,FALSE)),"",VLOOKUP(A282,'75m'!F$5:K$302,6,FALSE)))</f>
        <v>PB8</v>
      </c>
      <c r="I282" s="51">
        <f>IF(B282="",0,IF(ISNA(VLOOKUP(A282,'600m'!F$5:J$302,2,FALSE)),0,VLOOKUP(A282,'600m'!F$5:J$302,2,FALSE)))</f>
        <v>1.3888888888888889E-3</v>
      </c>
      <c r="J282" s="49">
        <f>IF(B282="",0,IF(ISNA(_xlfn.XLOOKUP(A282,'600m'!F$5:F$302,'600m'!M$5:M$302)),0,_xlfn.XLOOKUP(A282,'600m'!F$5:F$302,'600m'!M$5:M$302)))</f>
        <v>60</v>
      </c>
      <c r="K282" s="49" t="str">
        <f>IF(B282="","",IF(ISNA(VLOOKUP(A282,'600m'!F$5:K$302,6,FALSE)),"",VLOOKUP(A282,'600m'!F$5:K$302,6,FALSE)))</f>
        <v>PB5</v>
      </c>
      <c r="L282" s="49">
        <f>IF(B282="","",IF(ISNA(VLOOKUP(A282,LongJump!F$5:G$302,2,FALSE)),"",VLOOKUP(A282,LongJump!F$5:G$302,2,FALSE)))</f>
        <v>3.3</v>
      </c>
      <c r="M282" s="49">
        <f>IF(B282="",0,IF(ISNA(_xlfn.XLOOKUP(A282,LongJump!F$5:F$302,LongJump!M$5:M$302)),0,_xlfn.XLOOKUP(A282,LongJump!F$5:F$302,LongJump!M$5:M$302)))</f>
        <v>71</v>
      </c>
      <c r="N282" s="49" t="str">
        <f>IF(B282="","",IF(ISNA(VLOOKUP(A282,LongJump!F$5:K$302,6,FALSE)),0,VLOOKUP(A282,LongJump!F$5:K$302,6,FALSE)))</f>
        <v>PB6</v>
      </c>
      <c r="O282" s="49">
        <f>IF(B282="","",IF(ISNA(VLOOKUP(A282,Vortex!F$5:J$302,2,FALSE)),"",VLOOKUP(A282,Vortex!F$5:J$302,2,FALSE)))</f>
        <v>32.17</v>
      </c>
      <c r="P282" s="49">
        <f>IF(B282="",0,IF(ISNA(_xlfn.XLOOKUP(A282,Vortex!F$5:F$302,Vortex!M$5:M$302)),0,_xlfn.XLOOKUP(A282,Vortex!F$5:F$302,Vortex!M$5:M$302)))</f>
        <v>110</v>
      </c>
      <c r="Q282" s="49">
        <f t="shared" si="22"/>
        <v>331</v>
      </c>
      <c r="R282" s="49" t="str">
        <f t="shared" si="23"/>
        <v/>
      </c>
      <c r="S282" s="49">
        <f t="shared" si="24"/>
        <v>4</v>
      </c>
      <c r="T282" s="49" t="str">
        <f t="shared" si="25"/>
        <v/>
      </c>
      <c r="U282" s="49">
        <f t="shared" si="26"/>
        <v>8</v>
      </c>
      <c r="Y282" s="16"/>
    </row>
    <row r="283" spans="1:25">
      <c r="A283" s="49">
        <f>IF(Declarations!B40=0,"",Declarations!B40)</f>
        <v>35</v>
      </c>
      <c r="B283" s="150" t="str">
        <f>IF(ISNA(VLOOKUP(A283,Declarations!B$6:C$185,2,FALSE)),"",IF(VLOOKUP(A283,Declarations!B$6:C$185,2,FALSE)="","",VLOOKUP(A283,Declarations!B$6:C$185,2,FALSE)))</f>
        <v>MATTHIAS DE PAULA DENS</v>
      </c>
      <c r="C283" s="150" t="str">
        <f>IF(ISNA(VLOOKUP(A283,Declarations!B$6:F$185,5,FALSE)),"",IF(VLOOKUP(A283,Declarations!B$6:F$185,5,FALSE)="","",VLOOKUP(A283,Declarations!B$6:F$185,5,FALSE)))</f>
        <v>Woking AC</v>
      </c>
      <c r="D283" s="150" t="str">
        <f>IF(ISNA(VLOOKUP(A283,Declarations!B$6:F$185,4,FALSE)),"",IF(VLOOKUP(A283,Declarations!B$6:F$185,4,FALSE)="","",VLOOKUP(A283,Declarations!B$6:F$185,4,FALSE)))</f>
        <v>BOYS</v>
      </c>
      <c r="E283" s="150" t="str">
        <f>IF(ISNA(VLOOKUP(A283,Declarations!B$6:D$185,3,FALSE)),"",IF(VLOOKUP(A283,Declarations!B$6:D$185,3,FALSE)="","",VLOOKUP(A283,Declarations!B$6:D$185,3,FALSE)))</f>
        <v>U12</v>
      </c>
      <c r="F283" s="49">
        <f>IF(B283="","",IF(ISNA(VLOOKUP(A283,'75m'!F$5:G$302,2,FALSE)),"",VLOOKUP(A283,'75m'!F$5:G$302,2,FALSE)))</f>
        <v>11</v>
      </c>
      <c r="G283" s="49">
        <f>IF(B283="",0,IF(ISNA(_xlfn.XLOOKUP(A283,'75m'!F$5:F$302,'75m'!M$5:M$302)),0,_xlfn.XLOOKUP(A283,'75m'!F$5:F$302,'75m'!M$5:M$302)))</f>
        <v>105</v>
      </c>
      <c r="H283" s="49" t="str">
        <f>IF(B283="","",IF(ISNA(VLOOKUP(A283,'75m'!F$5:K$302,6,FALSE)),"",VLOOKUP(A283,'75m'!F$5:K$302,6,FALSE)))</f>
        <v>PB9</v>
      </c>
      <c r="I283" s="51">
        <f>IF(B283="",0,IF(ISNA(VLOOKUP(A283,'600m'!F$5:J$302,2,FALSE)),0,VLOOKUP(A283,'600m'!F$5:J$302,2,FALSE)))</f>
        <v>1.4409722222222222E-3</v>
      </c>
      <c r="J283" s="49">
        <f>IF(B283="",0,IF(ISNA(_xlfn.XLOOKUP(A283,'600m'!F$5:F$302,'600m'!M$5:M$302)),0,_xlfn.XLOOKUP(A283,'600m'!F$5:F$302,'600m'!M$5:M$302)))</f>
        <v>51</v>
      </c>
      <c r="K283" s="49" t="str">
        <f>IF(B283="","",IF(ISNA(VLOOKUP(A283,'600m'!F$5:K$302,6,FALSE)),"",VLOOKUP(A283,'600m'!F$5:K$302,6,FALSE)))</f>
        <v>PB4</v>
      </c>
      <c r="L283" s="49">
        <f>IF(B283="","",IF(ISNA(VLOOKUP(A283,LongJump!F$5:G$302,2,FALSE)),"",VLOOKUP(A283,LongJump!F$5:G$302,2,FALSE)))</f>
        <v>3.08</v>
      </c>
      <c r="M283" s="49">
        <f>IF(B283="",0,IF(ISNA(_xlfn.XLOOKUP(A283,LongJump!F$5:F$302,LongJump!M$5:M$302)),0,_xlfn.XLOOKUP(A283,LongJump!F$5:F$302,LongJump!M$5:M$302)))</f>
        <v>62</v>
      </c>
      <c r="N283" s="49" t="str">
        <f>IF(B283="","",IF(ISNA(VLOOKUP(A283,LongJump!F$5:K$302,6,FALSE)),0,VLOOKUP(A283,LongJump!F$5:K$302,6,FALSE)))</f>
        <v>PB5</v>
      </c>
      <c r="O283" s="49">
        <f>IF(B283="","",IF(ISNA(VLOOKUP(A283,Vortex!F$5:J$302,2,FALSE)),"",VLOOKUP(A283,Vortex!F$5:J$302,2,FALSE)))</f>
        <v>24.79</v>
      </c>
      <c r="P283" s="49">
        <f>IF(B283="",0,IF(ISNA(_xlfn.XLOOKUP(A283,Vortex!F$5:F$302,Vortex!M$5:M$302)),0,_xlfn.XLOOKUP(A283,Vortex!F$5:F$302,Vortex!M$5:M$302)))</f>
        <v>73</v>
      </c>
      <c r="Q283" s="49">
        <f t="shared" si="22"/>
        <v>291</v>
      </c>
      <c r="R283" s="49" t="str">
        <f t="shared" si="23"/>
        <v/>
      </c>
      <c r="S283" s="49">
        <f t="shared" si="24"/>
        <v>6</v>
      </c>
      <c r="T283" s="49" t="str">
        <f t="shared" si="25"/>
        <v/>
      </c>
      <c r="U283" s="49">
        <f t="shared" si="26"/>
        <v>16</v>
      </c>
    </row>
    <row r="284" spans="1:25">
      <c r="A284" s="49">
        <f>IF(Declarations!B41=0,"",Declarations!B41)</f>
        <v>36</v>
      </c>
      <c r="B284" s="150" t="str">
        <f>IF(ISNA(VLOOKUP(A284,Declarations!B$6:C$185,2,FALSE)),"",IF(VLOOKUP(A284,Declarations!B$6:C$185,2,FALSE)="","",VLOOKUP(A284,Declarations!B$6:C$185,2,FALSE)))</f>
        <v>KAI TEGG</v>
      </c>
      <c r="C284" s="150" t="str">
        <f>IF(ISNA(VLOOKUP(A284,Declarations!B$6:F$185,5,FALSE)),"",IF(VLOOKUP(A284,Declarations!B$6:F$185,5,FALSE)="","",VLOOKUP(A284,Declarations!B$6:F$185,5,FALSE)))</f>
        <v>Woking AC</v>
      </c>
      <c r="D284" s="150" t="str">
        <f>IF(ISNA(VLOOKUP(A284,Declarations!B$6:F$185,4,FALSE)),"",IF(VLOOKUP(A284,Declarations!B$6:F$185,4,FALSE)="","",VLOOKUP(A284,Declarations!B$6:F$185,4,FALSE)))</f>
        <v>BOYS</v>
      </c>
      <c r="E284" s="150" t="str">
        <f>IF(ISNA(VLOOKUP(A284,Declarations!B$6:D$185,3,FALSE)),"",IF(VLOOKUP(A284,Declarations!B$6:D$185,3,FALSE)="","",VLOOKUP(A284,Declarations!B$6:D$185,3,FALSE)))</f>
        <v>U12</v>
      </c>
      <c r="F284" s="49">
        <f>IF(B284="","",IF(ISNA(VLOOKUP(A284,'75m'!F$5:G$302,2,FALSE)),"",VLOOKUP(A284,'75m'!F$5:G$302,2,FALSE)))</f>
        <v>11.6</v>
      </c>
      <c r="G284" s="49">
        <f>IF(B284="",0,IF(ISNA(_xlfn.XLOOKUP(A284,'75m'!F$5:F$302,'75m'!M$5:M$302)),0,_xlfn.XLOOKUP(A284,'75m'!F$5:F$302,'75m'!M$5:M$302)))</f>
        <v>90</v>
      </c>
      <c r="H284" s="49" t="str">
        <f>IF(B284="","",IF(ISNA(VLOOKUP(A284,'75m'!F$5:K$302,6,FALSE)),"",VLOOKUP(A284,'75m'!F$5:K$302,6,FALSE)))</f>
        <v>PB8</v>
      </c>
      <c r="I284" s="51">
        <f>IF(B284="",0,IF(ISNA(VLOOKUP(A284,'600m'!F$5:J$302,2,FALSE)),0,VLOOKUP(A284,'600m'!F$5:J$302,2,FALSE)))</f>
        <v>1.2824074074074075E-3</v>
      </c>
      <c r="J284" s="49">
        <f>IF(B284="",0,IF(ISNA(_xlfn.XLOOKUP(A284,'600m'!F$5:F$302,'600m'!M$5:M$302)),0,_xlfn.XLOOKUP(A284,'600m'!F$5:F$302,'600m'!M$5:M$302)))</f>
        <v>84</v>
      </c>
      <c r="K284" s="49" t="str">
        <f>IF(B284="","",IF(ISNA(VLOOKUP(A284,'600m'!F$5:K$302,6,FALSE)),"",VLOOKUP(A284,'600m'!F$5:K$302,6,FALSE)))</f>
        <v>PB7</v>
      </c>
      <c r="L284" s="49">
        <f>IF(B284="","",IF(ISNA(VLOOKUP(A284,LongJump!F$5:G$302,2,FALSE)),"",VLOOKUP(A284,LongJump!F$5:G$302,2,FALSE)))</f>
        <v>3.75</v>
      </c>
      <c r="M284" s="49">
        <f>IF(B284="",0,IF(ISNA(_xlfn.XLOOKUP(A284,LongJump!F$5:F$302,LongJump!M$5:M$302)),0,_xlfn.XLOOKUP(A284,LongJump!F$5:F$302,LongJump!M$5:M$302)))</f>
        <v>90</v>
      </c>
      <c r="N284" s="49" t="str">
        <f>IF(B284="","",IF(ISNA(VLOOKUP(A284,LongJump!F$5:K$302,6,FALSE)),0,VLOOKUP(A284,LongJump!F$5:K$302,6,FALSE)))</f>
        <v>PB8</v>
      </c>
      <c r="O284" s="49">
        <f>IF(B284="","",IF(ISNA(VLOOKUP(A284,Vortex!F$5:J$302,2,FALSE)),"",VLOOKUP(A284,Vortex!F$5:J$302,2,FALSE)))</f>
        <v>31.26</v>
      </c>
      <c r="P284" s="49">
        <f>IF(B284="",0,IF(ISNA(_xlfn.XLOOKUP(A284,Vortex!F$5:F$302,Vortex!M$5:M$302)),0,_xlfn.XLOOKUP(A284,Vortex!F$5:F$302,Vortex!M$5:M$302)))</f>
        <v>106</v>
      </c>
      <c r="Q284" s="49">
        <f t="shared" si="22"/>
        <v>370</v>
      </c>
      <c r="R284" s="49" t="str">
        <f t="shared" si="23"/>
        <v/>
      </c>
      <c r="S284" s="49">
        <f t="shared" si="24"/>
        <v>2</v>
      </c>
      <c r="T284" s="49" t="str">
        <f t="shared" si="25"/>
        <v/>
      </c>
      <c r="U284" s="49">
        <f t="shared" si="26"/>
        <v>4</v>
      </c>
    </row>
    <row r="285" spans="1:25">
      <c r="A285" s="49">
        <f>IF(Declarations!B42=0,"",Declarations!B42)</f>
        <v>37</v>
      </c>
      <c r="B285" s="150" t="str">
        <f>IF(ISNA(VLOOKUP(A285,Declarations!B$6:C$185,2,FALSE)),"",IF(VLOOKUP(A285,Declarations!B$6:C$185,2,FALSE)="","",VLOOKUP(A285,Declarations!B$6:C$185,2,FALSE)))</f>
        <v>ADAM PRICE</v>
      </c>
      <c r="C285" s="150" t="str">
        <f>IF(ISNA(VLOOKUP(A285,Declarations!B$6:F$185,5,FALSE)),"",IF(VLOOKUP(A285,Declarations!B$6:F$185,5,FALSE)="","",VLOOKUP(A285,Declarations!B$6:F$185,5,FALSE)))</f>
        <v>Woking AC</v>
      </c>
      <c r="D285" s="150" t="str">
        <f>IF(ISNA(VLOOKUP(A285,Declarations!B$6:F$185,4,FALSE)),"",IF(VLOOKUP(A285,Declarations!B$6:F$185,4,FALSE)="","",VLOOKUP(A285,Declarations!B$6:F$185,4,FALSE)))</f>
        <v>BOYS</v>
      </c>
      <c r="E285" s="150" t="str">
        <f>IF(ISNA(VLOOKUP(A285,Declarations!B$6:D$185,3,FALSE)),"",IF(VLOOKUP(A285,Declarations!B$6:D$185,3,FALSE)="","",VLOOKUP(A285,Declarations!B$6:D$185,3,FALSE)))</f>
        <v>U12</v>
      </c>
      <c r="F285" s="49">
        <f>IF(B285="","",IF(ISNA(VLOOKUP(A285,'75m'!F$5:G$302,2,FALSE)),"",VLOOKUP(A285,'75m'!F$5:G$302,2,FALSE)))</f>
        <v>12.2</v>
      </c>
      <c r="G285" s="49">
        <f>IF(B285="",0,IF(ISNA(_xlfn.XLOOKUP(A285,'75m'!F$5:F$302,'75m'!M$5:M$302)),0,_xlfn.XLOOKUP(A285,'75m'!F$5:F$302,'75m'!M$5:M$302)))</f>
        <v>76</v>
      </c>
      <c r="H285" s="49" t="str">
        <f>IF(B285="","",IF(ISNA(VLOOKUP(A285,'75m'!F$5:K$302,6,FALSE)),"",VLOOKUP(A285,'75m'!F$5:K$302,6,FALSE)))</f>
        <v>PB6</v>
      </c>
      <c r="I285" s="51">
        <f>IF(B285="",0,IF(ISNA(VLOOKUP(A285,'600m'!F$5:J$302,2,FALSE)),0,VLOOKUP(A285,'600m'!F$5:J$302,2,FALSE)))</f>
        <v>1.5578703703703703E-3</v>
      </c>
      <c r="J285" s="49">
        <f>IF(B285="",0,IF(ISNA(_xlfn.XLOOKUP(A285,'600m'!F$5:F$302,'600m'!M$5:M$302)),0,_xlfn.XLOOKUP(A285,'600m'!F$5:F$302,'600m'!M$5:M$302)))</f>
        <v>35</v>
      </c>
      <c r="K285" s="49" t="str">
        <f>IF(B285="","",IF(ISNA(VLOOKUP(A285,'600m'!F$5:K$302,6,FALSE)),"",VLOOKUP(A285,'600m'!F$5:K$302,6,FALSE)))</f>
        <v>PB2</v>
      </c>
      <c r="L285" s="49">
        <f>IF(B285="","",IF(ISNA(VLOOKUP(A285,LongJump!F$5:G$302,2,FALSE)),"",VLOOKUP(A285,LongJump!F$5:G$302,2,FALSE)))</f>
        <v>1.52</v>
      </c>
      <c r="M285" s="49">
        <f>IF(B285="",0,IF(ISNA(_xlfn.XLOOKUP(A285,LongJump!F$5:F$302,LongJump!M$5:M$302)),0,_xlfn.XLOOKUP(A285,LongJump!F$5:F$302,LongJump!M$5:M$302)))</f>
        <v>6</v>
      </c>
      <c r="N285" s="49" t="str">
        <f>IF(B285="","",IF(ISNA(VLOOKUP(A285,LongJump!F$5:K$302,6,FALSE)),0,VLOOKUP(A285,LongJump!F$5:K$302,6,FALSE)))</f>
        <v/>
      </c>
      <c r="O285" s="49">
        <f>IF(B285="","",IF(ISNA(VLOOKUP(A285,Vortex!F$5:J$302,2,FALSE)),"",VLOOKUP(A285,Vortex!F$5:J$302,2,FALSE)))</f>
        <v>23.06</v>
      </c>
      <c r="P285" s="49">
        <f>IF(B285="",0,IF(ISNA(_xlfn.XLOOKUP(A285,Vortex!F$5:F$302,Vortex!M$5:M$302)),0,_xlfn.XLOOKUP(A285,Vortex!F$5:F$302,Vortex!M$5:M$302)))</f>
        <v>65</v>
      </c>
      <c r="Q285" s="49">
        <f t="shared" si="22"/>
        <v>182</v>
      </c>
      <c r="R285" s="49" t="str">
        <f t="shared" si="23"/>
        <v/>
      </c>
      <c r="S285" s="49">
        <f t="shared" si="24"/>
        <v>10</v>
      </c>
      <c r="T285" s="49" t="str">
        <f t="shared" si="25"/>
        <v/>
      </c>
      <c r="U285" s="49">
        <f t="shared" si="26"/>
        <v>38</v>
      </c>
    </row>
    <row r="286" spans="1:25">
      <c r="A286" s="49">
        <f>IF(Declarations!B43=0,"",Declarations!B43)</f>
        <v>38</v>
      </c>
      <c r="B286" s="150" t="str">
        <f>IF(ISNA(VLOOKUP(A286,Declarations!B$6:C$185,2,FALSE)),"",IF(VLOOKUP(A286,Declarations!B$6:C$185,2,FALSE)="","",VLOOKUP(A286,Declarations!B$6:C$185,2,FALSE)))</f>
        <v>MATTHEW LEWIS</v>
      </c>
      <c r="C286" s="150" t="str">
        <f>IF(ISNA(VLOOKUP(A286,Declarations!B$6:F$185,5,FALSE)),"",IF(VLOOKUP(A286,Declarations!B$6:F$185,5,FALSE)="","",VLOOKUP(A286,Declarations!B$6:F$185,5,FALSE)))</f>
        <v>Woking AC</v>
      </c>
      <c r="D286" s="150" t="str">
        <f>IF(ISNA(VLOOKUP(A286,Declarations!B$6:F$185,4,FALSE)),"",IF(VLOOKUP(A286,Declarations!B$6:F$185,4,FALSE)="","",VLOOKUP(A286,Declarations!B$6:F$185,4,FALSE)))</f>
        <v>BOYS</v>
      </c>
      <c r="E286" s="150" t="str">
        <f>IF(ISNA(VLOOKUP(A286,Declarations!B$6:D$185,3,FALSE)),"",IF(VLOOKUP(A286,Declarations!B$6:D$185,3,FALSE)="","",VLOOKUP(A286,Declarations!B$6:D$185,3,FALSE)))</f>
        <v>U12</v>
      </c>
      <c r="F286" s="49">
        <f>IF(B286="","",IF(ISNA(VLOOKUP(A286,'75m'!F$5:G$302,2,FALSE)),"",VLOOKUP(A286,'75m'!F$5:G$302,2,FALSE)))</f>
        <v>12.9</v>
      </c>
      <c r="G286" s="49">
        <f>IF(B286="",0,IF(ISNA(_xlfn.XLOOKUP(A286,'75m'!F$5:F$302,'75m'!M$5:M$302)),0,_xlfn.XLOOKUP(A286,'75m'!F$5:F$302,'75m'!M$5:M$302)))</f>
        <v>62</v>
      </c>
      <c r="H286" s="49" t="str">
        <f>IF(B286="","",IF(ISNA(VLOOKUP(A286,'75m'!F$5:K$302,6,FALSE)),"",VLOOKUP(A286,'75m'!F$5:K$302,6,FALSE)))</f>
        <v>PB5</v>
      </c>
      <c r="I286" s="51">
        <f>IF(B286="",0,IF(ISNA(VLOOKUP(A286,'600m'!F$5:J$302,2,FALSE)),0,VLOOKUP(A286,'600m'!F$5:J$302,2,FALSE)))</f>
        <v>1.4826388888888888E-3</v>
      </c>
      <c r="J286" s="49">
        <f>IF(B286="",0,IF(ISNA(_xlfn.XLOOKUP(A286,'600m'!F$5:F$302,'600m'!M$5:M$302)),0,_xlfn.XLOOKUP(A286,'600m'!F$5:F$302,'600m'!M$5:M$302)))</f>
        <v>43</v>
      </c>
      <c r="K286" s="49" t="str">
        <f>IF(B286="","",IF(ISNA(VLOOKUP(A286,'600m'!F$5:K$302,6,FALSE)),"",VLOOKUP(A286,'600m'!F$5:K$302,6,FALSE)))</f>
        <v>PB3</v>
      </c>
      <c r="L286" s="49">
        <f>IF(B286="","",IF(ISNA(VLOOKUP(A286,LongJump!F$5:G$302,2,FALSE)),"",VLOOKUP(A286,LongJump!F$5:G$302,2,FALSE)))</f>
        <v>3.07</v>
      </c>
      <c r="M286" s="49">
        <f>IF(B286="",0,IF(ISNA(_xlfn.XLOOKUP(A286,LongJump!F$5:F$302,LongJump!M$5:M$302)),0,_xlfn.XLOOKUP(A286,LongJump!F$5:F$302,LongJump!M$5:M$302)))</f>
        <v>62</v>
      </c>
      <c r="N286" s="49" t="str">
        <f>IF(B286="","",IF(ISNA(VLOOKUP(A286,LongJump!F$5:K$302,6,FALSE)),0,VLOOKUP(A286,LongJump!F$5:K$302,6,FALSE)))</f>
        <v>PB5</v>
      </c>
      <c r="O286" s="49">
        <f>IF(B286="","",IF(ISNA(VLOOKUP(A286,Vortex!F$5:J$302,2,FALSE)),"",VLOOKUP(A286,Vortex!F$5:J$302,2,FALSE)))</f>
        <v>31.88</v>
      </c>
      <c r="P286" s="49">
        <f>IF(B286="",0,IF(ISNA(_xlfn.XLOOKUP(A286,Vortex!F$5:F$302,Vortex!M$5:M$302)),0,_xlfn.XLOOKUP(A286,Vortex!F$5:F$302,Vortex!M$5:M$302)))</f>
        <v>109</v>
      </c>
      <c r="Q286" s="49">
        <f t="shared" si="22"/>
        <v>276</v>
      </c>
      <c r="R286" s="49" t="str">
        <f t="shared" si="23"/>
        <v/>
      </c>
      <c r="S286" s="49">
        <f t="shared" si="24"/>
        <v>8</v>
      </c>
      <c r="T286" s="49" t="str">
        <f t="shared" si="25"/>
        <v/>
      </c>
      <c r="U286" s="49">
        <f t="shared" si="26"/>
        <v>20</v>
      </c>
    </row>
    <row r="287" spans="1:25">
      <c r="A287" s="49">
        <f>IF(Declarations!B44=0,"",Declarations!B44)</f>
        <v>39</v>
      </c>
      <c r="B287" s="150" t="str">
        <f>IF(ISNA(VLOOKUP(A287,Declarations!B$6:C$185,2,FALSE)),"",IF(VLOOKUP(A287,Declarations!B$6:C$185,2,FALSE)="","",VLOOKUP(A287,Declarations!B$6:C$185,2,FALSE)))</f>
        <v>FREDDIE SMITH</v>
      </c>
      <c r="C287" s="150" t="str">
        <f>IF(ISNA(VLOOKUP(A287,Declarations!B$6:F$185,5,FALSE)),"",IF(VLOOKUP(A287,Declarations!B$6:F$185,5,FALSE)="","",VLOOKUP(A287,Declarations!B$6:F$185,5,FALSE)))</f>
        <v>Woking AC</v>
      </c>
      <c r="D287" s="150" t="str">
        <f>IF(ISNA(VLOOKUP(A287,Declarations!B$6:F$185,4,FALSE)),"",IF(VLOOKUP(A287,Declarations!B$6:F$185,4,FALSE)="","",VLOOKUP(A287,Declarations!B$6:F$185,4,FALSE)))</f>
        <v>BOYS</v>
      </c>
      <c r="E287" s="150" t="str">
        <f>IF(ISNA(VLOOKUP(A287,Declarations!B$6:D$185,3,FALSE)),"",IF(VLOOKUP(A287,Declarations!B$6:D$185,3,FALSE)="","",VLOOKUP(A287,Declarations!B$6:D$185,3,FALSE)))</f>
        <v>U12</v>
      </c>
      <c r="F287" s="49">
        <f>IF(B287="","",IF(ISNA(VLOOKUP(A287,'75m'!F$5:G$302,2,FALSE)),"",VLOOKUP(A287,'75m'!F$5:G$302,2,FALSE)))</f>
        <v>11.8</v>
      </c>
      <c r="G287" s="49">
        <f>IF(B287="",0,IF(ISNA(_xlfn.XLOOKUP(A287,'75m'!F$5:F$302,'75m'!M$5:M$302)),0,_xlfn.XLOOKUP(A287,'75m'!F$5:F$302,'75m'!M$5:M$302)))</f>
        <v>85</v>
      </c>
      <c r="H287" s="49" t="str">
        <f>IF(B287="","",IF(ISNA(VLOOKUP(A287,'75m'!F$5:K$302,6,FALSE)),"",VLOOKUP(A287,'75m'!F$5:K$302,6,FALSE)))</f>
        <v>PB7</v>
      </c>
      <c r="I287" s="51">
        <f>IF(B287="",0,IF(ISNA(VLOOKUP(A287,'600m'!F$5:J$302,2,FALSE)),0,VLOOKUP(A287,'600m'!F$5:J$302,2,FALSE)))</f>
        <v>1.7083333333333332E-3</v>
      </c>
      <c r="J287" s="49">
        <f>IF(B287="",0,IF(ISNA(_xlfn.XLOOKUP(A287,'600m'!F$5:F$302,'600m'!M$5:M$302)),0,_xlfn.XLOOKUP(A287,'600m'!F$5:F$302,'600m'!M$5:M$302)))</f>
        <v>22</v>
      </c>
      <c r="K287" s="49" t="str">
        <f>IF(B287="","",IF(ISNA(VLOOKUP(A287,'600m'!F$5:K$302,6,FALSE)),"",VLOOKUP(A287,'600m'!F$5:K$302,6,FALSE)))</f>
        <v>PB1</v>
      </c>
      <c r="L287" s="49">
        <f>IF(B287="","",IF(ISNA(VLOOKUP(A287,LongJump!F$5:G$302,2,FALSE)),"",VLOOKUP(A287,LongJump!F$5:G$302,2,FALSE)))</f>
        <v>3.67</v>
      </c>
      <c r="M287" s="49">
        <f>IF(B287="",0,IF(ISNA(_xlfn.XLOOKUP(A287,LongJump!F$5:F$302,LongJump!M$5:M$302)),0,_xlfn.XLOOKUP(A287,LongJump!F$5:F$302,LongJump!M$5:M$302)))</f>
        <v>86</v>
      </c>
      <c r="N287" s="49" t="str">
        <f>IF(B287="","",IF(ISNA(VLOOKUP(A287,LongJump!F$5:K$302,6,FALSE)),0,VLOOKUP(A287,LongJump!F$5:K$302,6,FALSE)))</f>
        <v>PB7</v>
      </c>
      <c r="O287" s="49">
        <f>IF(B287="","",IF(ISNA(VLOOKUP(A287,Vortex!F$5:J$302,2,FALSE)),"",VLOOKUP(A287,Vortex!F$5:J$302,2,FALSE)))</f>
        <v>32.340000000000003</v>
      </c>
      <c r="P287" s="49">
        <f>IF(B287="",0,IF(ISNA(_xlfn.XLOOKUP(A287,Vortex!F$5:F$302,Vortex!M$5:M$302)),0,_xlfn.XLOOKUP(A287,Vortex!F$5:F$302,Vortex!M$5:M$302)))</f>
        <v>111</v>
      </c>
      <c r="Q287" s="49">
        <f t="shared" si="22"/>
        <v>304</v>
      </c>
      <c r="R287" s="49" t="str">
        <f t="shared" si="23"/>
        <v/>
      </c>
      <c r="S287" s="49">
        <f t="shared" si="24"/>
        <v>5</v>
      </c>
      <c r="T287" s="49" t="str">
        <f t="shared" si="25"/>
        <v/>
      </c>
      <c r="U287" s="49">
        <f t="shared" si="26"/>
        <v>14</v>
      </c>
    </row>
    <row r="288" spans="1:25">
      <c r="A288" s="49">
        <f>IF(Declarations!B45=0,"",Declarations!B45)</f>
        <v>40</v>
      </c>
      <c r="B288" s="150" t="str">
        <f>IF(ISNA(VLOOKUP(A288,Declarations!B$6:C$185,2,FALSE)),"",IF(VLOOKUP(A288,Declarations!B$6:C$185,2,FALSE)="","",VLOOKUP(A288,Declarations!B$6:C$185,2,FALSE)))</f>
        <v>OWEN BRAYBOOKE</v>
      </c>
      <c r="C288" s="150" t="str">
        <f>IF(ISNA(VLOOKUP(A288,Declarations!B$6:F$185,5,FALSE)),"",IF(VLOOKUP(A288,Declarations!B$6:F$185,5,FALSE)="","",VLOOKUP(A288,Declarations!B$6:F$185,5,FALSE)))</f>
        <v>Woking AC</v>
      </c>
      <c r="D288" s="150" t="str">
        <f>IF(ISNA(VLOOKUP(A288,Declarations!B$6:F$185,4,FALSE)),"",IF(VLOOKUP(A288,Declarations!B$6:F$185,4,FALSE)="","",VLOOKUP(A288,Declarations!B$6:F$185,4,FALSE)))</f>
        <v>BOYS</v>
      </c>
      <c r="E288" s="150" t="str">
        <f>IF(ISNA(VLOOKUP(A288,Declarations!B$6:D$185,3,FALSE)),"",IF(VLOOKUP(A288,Declarations!B$6:D$185,3,FALSE)="","",VLOOKUP(A288,Declarations!B$6:D$185,3,FALSE)))</f>
        <v>U12</v>
      </c>
      <c r="F288" s="49">
        <f>IF(B288="","",IF(ISNA(VLOOKUP(A288,'75m'!F$5:G$302,2,FALSE)),"",VLOOKUP(A288,'75m'!F$5:G$302,2,FALSE)))</f>
        <v>11.1</v>
      </c>
      <c r="G288" s="49">
        <f>IF(B288="",0,IF(ISNA(_xlfn.XLOOKUP(A288,'75m'!F$5:F$302,'75m'!M$5:M$302)),0,_xlfn.XLOOKUP(A288,'75m'!F$5:F$302,'75m'!M$5:M$302)))</f>
        <v>102</v>
      </c>
      <c r="H288" s="49" t="str">
        <f>IF(B288="","",IF(ISNA(VLOOKUP(A288,'75m'!F$5:K$302,6,FALSE)),"",VLOOKUP(A288,'75m'!F$5:K$302,6,FALSE)))</f>
        <v>PB9</v>
      </c>
      <c r="I288" s="51">
        <f>IF(B288="",0,IF(ISNA(VLOOKUP(A288,'600m'!F$5:J$302,2,FALSE)),0,VLOOKUP(A288,'600m'!F$5:J$302,2,FALSE)))</f>
        <v>1.6226851851851851E-3</v>
      </c>
      <c r="J288" s="49">
        <f>IF(B288="",0,IF(ISNA(_xlfn.XLOOKUP(A288,'600m'!F$5:F$302,'600m'!M$5:M$302)),0,_xlfn.XLOOKUP(A288,'600m'!F$5:F$302,'600m'!M$5:M$302)))</f>
        <v>29</v>
      </c>
      <c r="K288" s="49" t="str">
        <f>IF(B288="","",IF(ISNA(VLOOKUP(A288,'600m'!F$5:K$302,6,FALSE)),"",VLOOKUP(A288,'600m'!F$5:K$302,6,FALSE)))</f>
        <v>PB1</v>
      </c>
      <c r="L288" s="49">
        <f>IF(B288="","",IF(ISNA(VLOOKUP(A288,LongJump!F$5:G$302,2,FALSE)),"",VLOOKUP(A288,LongJump!F$5:G$302,2,FALSE)))</f>
        <v>4.07</v>
      </c>
      <c r="M288" s="49">
        <f>IF(B288="",0,IF(ISNA(_xlfn.XLOOKUP(A288,LongJump!F$5:F$302,LongJump!M$5:M$302)),0,_xlfn.XLOOKUP(A288,LongJump!F$5:F$302,LongJump!M$5:M$302)))</f>
        <v>102</v>
      </c>
      <c r="N288" s="49" t="str">
        <f>IF(B288="","",IF(ISNA(VLOOKUP(A288,LongJump!F$5:K$302,6,FALSE)),0,VLOOKUP(A288,LongJump!F$5:K$302,6,FALSE)))</f>
        <v>PB9</v>
      </c>
      <c r="O288" s="49">
        <f>IF(B288="","",IF(ISNA(VLOOKUP(A288,Vortex!F$5:J$302,2,FALSE)),"",VLOOKUP(A288,Vortex!F$5:J$302,2,FALSE)))</f>
        <v>38.74</v>
      </c>
      <c r="P288" s="49">
        <f>IF(B288="",0,IF(ISNA(_xlfn.XLOOKUP(A288,Vortex!F$5:F$302,Vortex!M$5:M$302)),0,_xlfn.XLOOKUP(A288,Vortex!F$5:F$302,Vortex!M$5:M$302)))</f>
        <v>129</v>
      </c>
      <c r="Q288" s="49">
        <f t="shared" si="22"/>
        <v>362</v>
      </c>
      <c r="R288" s="49" t="str">
        <f t="shared" si="23"/>
        <v/>
      </c>
      <c r="S288" s="49">
        <f t="shared" si="24"/>
        <v>3</v>
      </c>
      <c r="T288" s="49" t="str">
        <f t="shared" si="25"/>
        <v/>
      </c>
      <c r="U288" s="49">
        <f t="shared" si="26"/>
        <v>5</v>
      </c>
    </row>
    <row r="289" spans="1:21">
      <c r="A289" s="49">
        <f>IF(Declarations!B46=0,"",Declarations!B46)</f>
        <v>41</v>
      </c>
      <c r="B289" s="150" t="str">
        <f>IF(ISNA(VLOOKUP(A289,Declarations!B$6:C$185,2,FALSE)),"",IF(VLOOKUP(A289,Declarations!B$6:C$185,2,FALSE)="","",VLOOKUP(A289,Declarations!B$6:C$185,2,FALSE)))</f>
        <v>KAMILA OLATEJU</v>
      </c>
      <c r="C289" s="150" t="str">
        <f>IF(ISNA(VLOOKUP(A289,Declarations!B$6:F$185,5,FALSE)),"",IF(VLOOKUP(A289,Declarations!B$6:F$185,5,FALSE)="","",VLOOKUP(A289,Declarations!B$6:F$185,5,FALSE)))</f>
        <v>Poole Runners</v>
      </c>
      <c r="D289" s="150" t="str">
        <f>IF(ISNA(VLOOKUP(A289,Declarations!B$6:F$185,4,FALSE)),"",IF(VLOOKUP(A289,Declarations!B$6:F$185,4,FALSE)="","",VLOOKUP(A289,Declarations!B$6:F$185,4,FALSE)))</f>
        <v>GIRLS</v>
      </c>
      <c r="E289" s="150" t="str">
        <f>IF(ISNA(VLOOKUP(A289,Declarations!B$6:D$185,3,FALSE)),"",IF(VLOOKUP(A289,Declarations!B$6:D$185,3,FALSE)="","",VLOOKUP(A289,Declarations!B$6:D$185,3,FALSE)))</f>
        <v>U12</v>
      </c>
      <c r="F289" s="49">
        <f>IF(B289="","",IF(ISNA(VLOOKUP(A289,'75m'!F$5:G$302,2,FALSE)),"",VLOOKUP(A289,'75m'!F$5:G$302,2,FALSE)))</f>
        <v>11.2</v>
      </c>
      <c r="G289" s="49">
        <f>IF(B289="",0,IF(ISNA(_xlfn.XLOOKUP(A289,'75m'!F$5:F$302,'75m'!M$5:M$302)),0,_xlfn.XLOOKUP(A289,'75m'!F$5:F$302,'75m'!M$5:M$302)))</f>
        <v>110</v>
      </c>
      <c r="H289" s="49" t="str">
        <f>IF(B289="","",IF(ISNA(VLOOKUP(A289,'75m'!F$5:K$302,6,FALSE)),"",VLOOKUP(A289,'75m'!F$5:K$302,6,FALSE)))</f>
        <v>PB9</v>
      </c>
      <c r="I289" s="51">
        <f>IF(B289="",0,IF(ISNA(VLOOKUP(A289,'600m'!F$5:J$302,2,FALSE)),0,VLOOKUP(A289,'600m'!F$5:J$302,2,FALSE)))</f>
        <v>1.2986111111111111E-3</v>
      </c>
      <c r="J289" s="49">
        <f>IF(B289="",0,IF(ISNA(_xlfn.XLOOKUP(A289,'600m'!F$5:F$302,'600m'!M$5:M$302)),0,_xlfn.XLOOKUP(A289,'600m'!F$5:F$302,'600m'!M$5:M$302)))</f>
        <v>95</v>
      </c>
      <c r="K289" s="49" t="str">
        <f>IF(B289="","",IF(ISNA(VLOOKUP(A289,'600m'!F$5:K$302,6,FALSE)),"",VLOOKUP(A289,'600m'!F$5:K$302,6,FALSE)))</f>
        <v>PB7</v>
      </c>
      <c r="L289" s="49">
        <f>IF(B289="","",IF(ISNA(VLOOKUP(A289,LongJump!F$5:G$302,2,FALSE)),"",VLOOKUP(A289,LongJump!F$5:G$302,2,FALSE)))</f>
        <v>3.14</v>
      </c>
      <c r="M289" s="49">
        <f>IF(B289="",0,IF(ISNA(_xlfn.XLOOKUP(A289,LongJump!F$5:F$302,LongJump!M$5:M$302)),0,_xlfn.XLOOKUP(A289,LongJump!F$5:F$302,LongJump!M$5:M$302)))</f>
        <v>74</v>
      </c>
      <c r="N289" s="49" t="str">
        <f>IF(B289="","",IF(ISNA(VLOOKUP(A289,LongJump!F$5:K$302,6,FALSE)),0,VLOOKUP(A289,LongJump!F$5:K$302,6,FALSE)))</f>
        <v>PB6</v>
      </c>
      <c r="O289" s="49">
        <f>IF(B289="","",IF(ISNA(VLOOKUP(A289,Vortex!F$5:J$302,2,FALSE)),"",VLOOKUP(A289,Vortex!F$5:J$302,2,FALSE)))</f>
        <v>16.12</v>
      </c>
      <c r="P289" s="49">
        <f>IF(B289="",0,IF(ISNA(_xlfn.XLOOKUP(A289,Vortex!F$5:F$302,Vortex!M$5:M$302)),0,_xlfn.XLOOKUP(A289,Vortex!F$5:F$302,Vortex!M$5:M$302)))</f>
        <v>40</v>
      </c>
      <c r="Q289" s="49">
        <f t="shared" si="22"/>
        <v>319</v>
      </c>
      <c r="R289" s="49" t="str">
        <f t="shared" si="23"/>
        <v/>
      </c>
      <c r="S289" s="49">
        <f t="shared" si="24"/>
        <v>1</v>
      </c>
      <c r="T289" s="49" t="str">
        <f t="shared" si="25"/>
        <v/>
      </c>
      <c r="U289" s="49">
        <f t="shared" si="26"/>
        <v>9</v>
      </c>
    </row>
    <row r="290" spans="1:21">
      <c r="A290" s="49">
        <f>IF(Declarations!B47=0,"",Declarations!B47)</f>
        <v>42</v>
      </c>
      <c r="B290" s="150" t="str">
        <f>IF(ISNA(VLOOKUP(A290,Declarations!B$6:C$185,2,FALSE)),"",IF(VLOOKUP(A290,Declarations!B$6:C$185,2,FALSE)="","",VLOOKUP(A290,Declarations!B$6:C$185,2,FALSE)))</f>
        <v>ROSE NEIL</v>
      </c>
      <c r="C290" s="150" t="str">
        <f>IF(ISNA(VLOOKUP(A290,Declarations!B$6:F$185,5,FALSE)),"",IF(VLOOKUP(A290,Declarations!B$6:F$185,5,FALSE)="","",VLOOKUP(A290,Declarations!B$6:F$185,5,FALSE)))</f>
        <v>Poole Runners</v>
      </c>
      <c r="D290" s="150" t="str">
        <f>IF(ISNA(VLOOKUP(A290,Declarations!B$6:F$185,4,FALSE)),"",IF(VLOOKUP(A290,Declarations!B$6:F$185,4,FALSE)="","",VLOOKUP(A290,Declarations!B$6:F$185,4,FALSE)))</f>
        <v>GIRLS</v>
      </c>
      <c r="E290" s="150" t="str">
        <f>IF(ISNA(VLOOKUP(A290,Declarations!B$6:D$185,3,FALSE)),"",IF(VLOOKUP(A290,Declarations!B$6:D$185,3,FALSE)="","",VLOOKUP(A290,Declarations!B$6:D$185,3,FALSE)))</f>
        <v>U12</v>
      </c>
      <c r="F290" s="49">
        <f>IF(B290="","",IF(ISNA(VLOOKUP(A290,'75m'!F$5:G$302,2,FALSE)),"",VLOOKUP(A290,'75m'!F$5:G$302,2,FALSE)))</f>
        <v>11.9</v>
      </c>
      <c r="G290" s="49">
        <f>IF(B290="",0,IF(ISNA(_xlfn.XLOOKUP(A290,'75m'!F$5:F$302,'75m'!M$5:M$302)),0,_xlfn.XLOOKUP(A290,'75m'!F$5:F$302,'75m'!M$5:M$302)))</f>
        <v>95</v>
      </c>
      <c r="H290" s="49" t="str">
        <f>IF(B290="","",IF(ISNA(VLOOKUP(A290,'75m'!F$5:K$302,6,FALSE)),"",VLOOKUP(A290,'75m'!F$5:K$302,6,FALSE)))</f>
        <v>PB8</v>
      </c>
      <c r="I290" s="51">
        <f>IF(B290="",0,IF(ISNA(VLOOKUP(A290,'600m'!F$5:J$302,2,FALSE)),0,VLOOKUP(A290,'600m'!F$5:J$302,2,FALSE)))</f>
        <v>1.7083333333333332E-3</v>
      </c>
      <c r="J290" s="49">
        <f>IF(B290="",0,IF(ISNA(_xlfn.XLOOKUP(A290,'600m'!F$5:F$302,'600m'!M$5:M$302)),0,_xlfn.XLOOKUP(A290,'600m'!F$5:F$302,'600m'!M$5:M$302)))</f>
        <v>27</v>
      </c>
      <c r="K290" s="49" t="str">
        <f>IF(B290="","",IF(ISNA(VLOOKUP(A290,'600m'!F$5:K$302,6,FALSE)),"",VLOOKUP(A290,'600m'!F$5:K$302,6,FALSE)))</f>
        <v>PB1</v>
      </c>
      <c r="L290" s="49">
        <f>IF(B290="","",IF(ISNA(VLOOKUP(A290,LongJump!F$5:G$302,2,FALSE)),"",VLOOKUP(A290,LongJump!F$5:G$302,2,FALSE)))</f>
        <v>2.87</v>
      </c>
      <c r="M290" s="49">
        <f>IF(B290="",0,IF(ISNA(_xlfn.XLOOKUP(A290,LongJump!F$5:F$302,LongJump!M$5:M$302)),0,_xlfn.XLOOKUP(A290,LongJump!F$5:F$302,LongJump!M$5:M$302)))</f>
        <v>64</v>
      </c>
      <c r="N290" s="49" t="str">
        <f>IF(B290="","",IF(ISNA(VLOOKUP(A290,LongJump!F$5:K$302,6,FALSE)),0,VLOOKUP(A290,LongJump!F$5:K$302,6,FALSE)))</f>
        <v>PB5</v>
      </c>
      <c r="O290" s="49">
        <f>IF(B290="","",IF(ISNA(VLOOKUP(A290,Vortex!F$5:J$302,2,FALSE)),"",VLOOKUP(A290,Vortex!F$5:J$302,2,FALSE)))</f>
        <v>15.83</v>
      </c>
      <c r="P290" s="49">
        <f>IF(B290="",0,IF(ISNA(_xlfn.XLOOKUP(A290,Vortex!F$5:F$302,Vortex!M$5:M$302)),0,_xlfn.XLOOKUP(A290,Vortex!F$5:F$302,Vortex!M$5:M$302)))</f>
        <v>39</v>
      </c>
      <c r="Q290" s="49">
        <f t="shared" si="22"/>
        <v>225</v>
      </c>
      <c r="R290" s="49" t="str">
        <f t="shared" si="23"/>
        <v/>
      </c>
      <c r="S290" s="49">
        <f t="shared" si="24"/>
        <v>8</v>
      </c>
      <c r="T290" s="49" t="str">
        <f t="shared" si="25"/>
        <v/>
      </c>
      <c r="U290" s="49">
        <f t="shared" si="26"/>
        <v>30</v>
      </c>
    </row>
    <row r="291" spans="1:21">
      <c r="A291" s="49">
        <f>IF(Declarations!B48=0,"",Declarations!B48)</f>
        <v>43</v>
      </c>
      <c r="B291" s="150" t="str">
        <f>IF(ISNA(VLOOKUP(A291,Declarations!B$6:C$185,2,FALSE)),"",IF(VLOOKUP(A291,Declarations!B$6:C$185,2,FALSE)="","",VLOOKUP(A291,Declarations!B$6:C$185,2,FALSE)))</f>
        <v>DORA DOMA</v>
      </c>
      <c r="C291" s="150" t="str">
        <f>IF(ISNA(VLOOKUP(A291,Declarations!B$6:F$185,5,FALSE)),"",IF(VLOOKUP(A291,Declarations!B$6:F$185,5,FALSE)="","",VLOOKUP(A291,Declarations!B$6:F$185,5,FALSE)))</f>
        <v>Poole Runners</v>
      </c>
      <c r="D291" s="150" t="str">
        <f>IF(ISNA(VLOOKUP(A291,Declarations!B$6:F$185,4,FALSE)),"",IF(VLOOKUP(A291,Declarations!B$6:F$185,4,FALSE)="","",VLOOKUP(A291,Declarations!B$6:F$185,4,FALSE)))</f>
        <v>GIRLS</v>
      </c>
      <c r="E291" s="150" t="str">
        <f>IF(ISNA(VLOOKUP(A291,Declarations!B$6:D$185,3,FALSE)),"",IF(VLOOKUP(A291,Declarations!B$6:D$185,3,FALSE)="","",VLOOKUP(A291,Declarations!B$6:D$185,3,FALSE)))</f>
        <v>U12</v>
      </c>
      <c r="F291" s="49">
        <f>IF(B291="","",IF(ISNA(VLOOKUP(A291,'75m'!F$5:G$302,2,FALSE)),"",VLOOKUP(A291,'75m'!F$5:G$302,2,FALSE)))</f>
        <v>12.2</v>
      </c>
      <c r="G291" s="49">
        <f>IF(B291="",0,IF(ISNA(_xlfn.XLOOKUP(A291,'75m'!F$5:F$302,'75m'!M$5:M$302)),0,_xlfn.XLOOKUP(A291,'75m'!F$5:F$302,'75m'!M$5:M$302)))</f>
        <v>87</v>
      </c>
      <c r="H291" s="49" t="str">
        <f>IF(B291="","",IF(ISNA(VLOOKUP(A291,'75m'!F$5:K$302,6,FALSE)),"",VLOOKUP(A291,'75m'!F$5:K$302,6,FALSE)))</f>
        <v>PB7</v>
      </c>
      <c r="I291" s="51">
        <f>IF(B291="",0,IF(ISNA(VLOOKUP(A291,'600m'!F$5:J$302,2,FALSE)),0,VLOOKUP(A291,'600m'!F$5:J$302,2,FALSE)))</f>
        <v>1.4583333333333334E-3</v>
      </c>
      <c r="J291" s="49">
        <f>IF(B291="",0,IF(ISNA(_xlfn.XLOOKUP(A291,'600m'!F$5:F$302,'600m'!M$5:M$302)),0,_xlfn.XLOOKUP(A291,'600m'!F$5:F$302,'600m'!M$5:M$302)))</f>
        <v>68</v>
      </c>
      <c r="K291" s="49" t="str">
        <f>IF(B291="","",IF(ISNA(VLOOKUP(A291,'600m'!F$5:K$302,6,FALSE)),"",VLOOKUP(A291,'600m'!F$5:K$302,6,FALSE)))</f>
        <v>PB4</v>
      </c>
      <c r="L291" s="49">
        <f>IF(B291="","",IF(ISNA(VLOOKUP(A291,LongJump!F$5:G$302,2,FALSE)),"",VLOOKUP(A291,LongJump!F$5:G$302,2,FALSE)))</f>
        <v>2.85</v>
      </c>
      <c r="M291" s="49">
        <f>IF(B291="",0,IF(ISNA(_xlfn.XLOOKUP(A291,LongJump!F$5:F$302,LongJump!M$5:M$302)),0,_xlfn.XLOOKUP(A291,LongJump!F$5:F$302,LongJump!M$5:M$302)))</f>
        <v>63</v>
      </c>
      <c r="N291" s="49" t="str">
        <f>IF(B291="","",IF(ISNA(VLOOKUP(A291,LongJump!F$5:K$302,6,FALSE)),0,VLOOKUP(A291,LongJump!F$5:K$302,6,FALSE)))</f>
        <v>PB5</v>
      </c>
      <c r="O291" s="49">
        <f>IF(B291="","",IF(ISNA(VLOOKUP(A291,Vortex!F$5:J$302,2,FALSE)),"",VLOOKUP(A291,Vortex!F$5:J$302,2,FALSE)))</f>
        <v>18.690000000000001</v>
      </c>
      <c r="P291" s="49">
        <f>IF(B291="",0,IF(ISNA(_xlfn.XLOOKUP(A291,Vortex!F$5:F$302,Vortex!M$5:M$302)),0,_xlfn.XLOOKUP(A291,Vortex!F$5:F$302,Vortex!M$5:M$302)))</f>
        <v>53</v>
      </c>
      <c r="Q291" s="49">
        <f t="shared" si="22"/>
        <v>271</v>
      </c>
      <c r="R291" s="49" t="str">
        <f t="shared" si="23"/>
        <v/>
      </c>
      <c r="S291" s="49">
        <f t="shared" si="24"/>
        <v>2</v>
      </c>
      <c r="T291" s="49" t="str">
        <f t="shared" si="25"/>
        <v/>
      </c>
      <c r="U291" s="49">
        <f t="shared" si="26"/>
        <v>17</v>
      </c>
    </row>
    <row r="292" spans="1:21">
      <c r="A292" s="49">
        <f>IF(Declarations!B49=0,"",Declarations!B49)</f>
        <v>44</v>
      </c>
      <c r="B292" s="150" t="str">
        <f>IF(ISNA(VLOOKUP(A292,Declarations!B$6:C$185,2,FALSE)),"",IF(VLOOKUP(A292,Declarations!B$6:C$185,2,FALSE)="","",VLOOKUP(A292,Declarations!B$6:C$185,2,FALSE)))</f>
        <v>POLLY WARBOYS</v>
      </c>
      <c r="C292" s="150" t="str">
        <f>IF(ISNA(VLOOKUP(A292,Declarations!B$6:F$185,5,FALSE)),"",IF(VLOOKUP(A292,Declarations!B$6:F$185,5,FALSE)="","",VLOOKUP(A292,Declarations!B$6:F$185,5,FALSE)))</f>
        <v>Poole Runners</v>
      </c>
      <c r="D292" s="150" t="str">
        <f>IF(ISNA(VLOOKUP(A292,Declarations!B$6:F$185,4,FALSE)),"",IF(VLOOKUP(A292,Declarations!B$6:F$185,4,FALSE)="","",VLOOKUP(A292,Declarations!B$6:F$185,4,FALSE)))</f>
        <v>GIRLS</v>
      </c>
      <c r="E292" s="150" t="str">
        <f>IF(ISNA(VLOOKUP(A292,Declarations!B$6:D$185,3,FALSE)),"",IF(VLOOKUP(A292,Declarations!B$6:D$185,3,FALSE)="","",VLOOKUP(A292,Declarations!B$6:D$185,3,FALSE)))</f>
        <v>U12</v>
      </c>
      <c r="F292" s="49">
        <f>IF(B292="","",IF(ISNA(VLOOKUP(A292,'75m'!F$5:G$302,2,FALSE)),"",VLOOKUP(A292,'75m'!F$5:G$302,2,FALSE)))</f>
        <v>13.1</v>
      </c>
      <c r="G292" s="49">
        <f>IF(B292="",0,IF(ISNA(_xlfn.XLOOKUP(A292,'75m'!F$5:F$302,'75m'!M$5:M$302)),0,_xlfn.XLOOKUP(A292,'75m'!F$5:F$302,'75m'!M$5:M$302)))</f>
        <v>68</v>
      </c>
      <c r="H292" s="49" t="str">
        <f>IF(B292="","",IF(ISNA(VLOOKUP(A292,'75m'!F$5:K$302,6,FALSE)),"",VLOOKUP(A292,'75m'!F$5:K$302,6,FALSE)))</f>
        <v>PB5</v>
      </c>
      <c r="I292" s="51">
        <f>IF(B292="",0,IF(ISNA(VLOOKUP(A292,'600m'!F$5:J$302,2,FALSE)),0,VLOOKUP(A292,'600m'!F$5:J$302,2,FALSE)))</f>
        <v>1.6226851851851851E-3</v>
      </c>
      <c r="J292" s="49">
        <f>IF(B292="",0,IF(ISNA(_xlfn.XLOOKUP(A292,'600m'!F$5:F$302,'600m'!M$5:M$302)),0,_xlfn.XLOOKUP(A292,'600m'!F$5:F$302,'600m'!M$5:M$302)))</f>
        <v>39</v>
      </c>
      <c r="K292" s="49" t="str">
        <f>IF(B292="","",IF(ISNA(VLOOKUP(A292,'600m'!F$5:K$302,6,FALSE)),"",VLOOKUP(A292,'600m'!F$5:K$302,6,FALSE)))</f>
        <v>PB2</v>
      </c>
      <c r="L292" s="49">
        <f>IF(B292="","",IF(ISNA(VLOOKUP(A292,LongJump!F$5:G$302,2,FALSE)),"",VLOOKUP(A292,LongJump!F$5:G$302,2,FALSE)))</f>
        <v>2.85</v>
      </c>
      <c r="M292" s="49">
        <f>IF(B292="",0,IF(ISNA(_xlfn.XLOOKUP(A292,LongJump!F$5:F$302,LongJump!M$5:M$302)),0,_xlfn.XLOOKUP(A292,LongJump!F$5:F$302,LongJump!M$5:M$302)))</f>
        <v>63</v>
      </c>
      <c r="N292" s="49" t="str">
        <f>IF(B292="","",IF(ISNA(VLOOKUP(A292,LongJump!F$5:K$302,6,FALSE)),0,VLOOKUP(A292,LongJump!F$5:K$302,6,FALSE)))</f>
        <v>PB5</v>
      </c>
      <c r="O292" s="49">
        <f>IF(B292="","",IF(ISNA(VLOOKUP(A292,Vortex!F$5:J$302,2,FALSE)),"",VLOOKUP(A292,Vortex!F$5:J$302,2,FALSE)))</f>
        <v>15.5</v>
      </c>
      <c r="P292" s="49">
        <f>IF(B292="",0,IF(ISNA(_xlfn.XLOOKUP(A292,Vortex!F$5:F$302,Vortex!M$5:M$302)),0,_xlfn.XLOOKUP(A292,Vortex!F$5:F$302,Vortex!M$5:M$302)))</f>
        <v>37</v>
      </c>
      <c r="Q292" s="49">
        <f t="shared" si="22"/>
        <v>207</v>
      </c>
      <c r="R292" s="49" t="str">
        <f t="shared" si="23"/>
        <v/>
      </c>
      <c r="S292" s="49">
        <f t="shared" si="24"/>
        <v>10</v>
      </c>
      <c r="T292" s="49" t="str">
        <f t="shared" si="25"/>
        <v/>
      </c>
      <c r="U292" s="49">
        <f t="shared" si="26"/>
        <v>35</v>
      </c>
    </row>
    <row r="293" spans="1:21">
      <c r="A293" s="49">
        <f>IF(Declarations!B50=0,"",Declarations!B50)</f>
        <v>45</v>
      </c>
      <c r="B293" s="150" t="str">
        <f>IF(ISNA(VLOOKUP(A293,Declarations!B$6:C$185,2,FALSE)),"",IF(VLOOKUP(A293,Declarations!B$6:C$185,2,FALSE)="","",VLOOKUP(A293,Declarations!B$6:C$185,2,FALSE)))</f>
        <v>VIOLET FULLING</v>
      </c>
      <c r="C293" s="150" t="str">
        <f>IF(ISNA(VLOOKUP(A293,Declarations!B$6:F$185,5,FALSE)),"",IF(VLOOKUP(A293,Declarations!B$6:F$185,5,FALSE)="","",VLOOKUP(A293,Declarations!B$6:F$185,5,FALSE)))</f>
        <v>Poole Runners</v>
      </c>
      <c r="D293" s="150" t="str">
        <f>IF(ISNA(VLOOKUP(A293,Declarations!B$6:F$185,4,FALSE)),"",IF(VLOOKUP(A293,Declarations!B$6:F$185,4,FALSE)="","",VLOOKUP(A293,Declarations!B$6:F$185,4,FALSE)))</f>
        <v>GIRLS</v>
      </c>
      <c r="E293" s="150" t="str">
        <f>IF(ISNA(VLOOKUP(A293,Declarations!B$6:D$185,3,FALSE)),"",IF(VLOOKUP(A293,Declarations!B$6:D$185,3,FALSE)="","",VLOOKUP(A293,Declarations!B$6:D$185,3,FALSE)))</f>
        <v>U12</v>
      </c>
      <c r="F293" s="49">
        <f>IF(B293="","",IF(ISNA(VLOOKUP(A293,'75m'!F$5:G$302,2,FALSE)),"",VLOOKUP(A293,'75m'!F$5:G$302,2,FALSE)))</f>
        <v>12.7</v>
      </c>
      <c r="G293" s="49">
        <f>IF(B293="",0,IF(ISNA(_xlfn.XLOOKUP(A293,'75m'!F$5:F$302,'75m'!M$5:M$302)),0,_xlfn.XLOOKUP(A293,'75m'!F$5:F$302,'75m'!M$5:M$302)))</f>
        <v>76</v>
      </c>
      <c r="H293" s="49" t="str">
        <f>IF(B293="","",IF(ISNA(VLOOKUP(A293,'75m'!F$5:K$302,6,FALSE)),"",VLOOKUP(A293,'75m'!F$5:K$302,6,FALSE)))</f>
        <v>PB6</v>
      </c>
      <c r="I293" s="51">
        <f>IF(B293="",0,IF(ISNA(VLOOKUP(A293,'600m'!F$5:J$302,2,FALSE)),0,VLOOKUP(A293,'600m'!F$5:J$302,2,FALSE)))</f>
        <v>1.502314814814815E-3</v>
      </c>
      <c r="J293" s="49">
        <f>IF(B293="",0,IF(ISNA(_xlfn.XLOOKUP(A293,'600m'!F$5:F$302,'600m'!M$5:M$302)),0,_xlfn.XLOOKUP(A293,'600m'!F$5:F$302,'600m'!M$5:M$302)))</f>
        <v>60</v>
      </c>
      <c r="K293" s="49" t="str">
        <f>IF(B293="","",IF(ISNA(VLOOKUP(A293,'600m'!F$5:K$302,6,FALSE)),"",VLOOKUP(A293,'600m'!F$5:K$302,6,FALSE)))</f>
        <v>PB4</v>
      </c>
      <c r="L293" s="49">
        <f>IF(B293="","",IF(ISNA(VLOOKUP(A293,LongJump!F$5:G$302,2,FALSE)),"",VLOOKUP(A293,LongJump!F$5:G$302,2,FALSE)))</f>
        <v>2.93</v>
      </c>
      <c r="M293" s="49">
        <f>IF(B293="",0,IF(ISNA(_xlfn.XLOOKUP(A293,LongJump!F$5:F$302,LongJump!M$5:M$302)),0,_xlfn.XLOOKUP(A293,LongJump!F$5:F$302,LongJump!M$5:M$302)))</f>
        <v>66</v>
      </c>
      <c r="N293" s="49" t="str">
        <f>IF(B293="","",IF(ISNA(VLOOKUP(A293,LongJump!F$5:K$302,6,FALSE)),0,VLOOKUP(A293,LongJump!F$5:K$302,6,FALSE)))</f>
        <v>PB5</v>
      </c>
      <c r="O293" s="49">
        <f>IF(B293="","",IF(ISNA(VLOOKUP(A293,Vortex!F$5:J$302,2,FALSE)),"",VLOOKUP(A293,Vortex!F$5:J$302,2,FALSE)))</f>
        <v>19.3</v>
      </c>
      <c r="P293" s="49">
        <f>IF(B293="",0,IF(ISNA(_xlfn.XLOOKUP(A293,Vortex!F$5:F$302,Vortex!M$5:M$302)),0,_xlfn.XLOOKUP(A293,Vortex!F$5:F$302,Vortex!M$5:M$302)))</f>
        <v>56</v>
      </c>
      <c r="Q293" s="49">
        <f t="shared" si="22"/>
        <v>258</v>
      </c>
      <c r="R293" s="49" t="str">
        <f t="shared" si="23"/>
        <v/>
      </c>
      <c r="S293" s="49">
        <f t="shared" si="24"/>
        <v>4</v>
      </c>
      <c r="T293" s="49" t="str">
        <f t="shared" si="25"/>
        <v/>
      </c>
      <c r="U293" s="49">
        <f t="shared" si="26"/>
        <v>20</v>
      </c>
    </row>
    <row r="294" spans="1:21">
      <c r="A294" s="49">
        <f>IF(Declarations!B51=0,"",Declarations!B51)</f>
        <v>46</v>
      </c>
      <c r="B294" s="150" t="str">
        <f>IF(ISNA(VLOOKUP(A294,Declarations!B$6:C$185,2,FALSE)),"",IF(VLOOKUP(A294,Declarations!B$6:C$185,2,FALSE)="","",VLOOKUP(A294,Declarations!B$6:C$185,2,FALSE)))</f>
        <v>BROOKE PARRY-DAVIDSON</v>
      </c>
      <c r="C294" s="150" t="str">
        <f>IF(ISNA(VLOOKUP(A294,Declarations!B$6:F$185,5,FALSE)),"",IF(VLOOKUP(A294,Declarations!B$6:F$185,5,FALSE)="","",VLOOKUP(A294,Declarations!B$6:F$185,5,FALSE)))</f>
        <v>Poole Runners</v>
      </c>
      <c r="D294" s="150" t="str">
        <f>IF(ISNA(VLOOKUP(A294,Declarations!B$6:F$185,4,FALSE)),"",IF(VLOOKUP(A294,Declarations!B$6:F$185,4,FALSE)="","",VLOOKUP(A294,Declarations!B$6:F$185,4,FALSE)))</f>
        <v>GIRLS</v>
      </c>
      <c r="E294" s="150" t="str">
        <f>IF(ISNA(VLOOKUP(A294,Declarations!B$6:D$185,3,FALSE)),"",IF(VLOOKUP(A294,Declarations!B$6:D$185,3,FALSE)="","",VLOOKUP(A294,Declarations!B$6:D$185,3,FALSE)))</f>
        <v>U12</v>
      </c>
      <c r="F294" s="49">
        <f>IF(B294="","",IF(ISNA(VLOOKUP(A294,'75m'!F$5:G$302,2,FALSE)),"",VLOOKUP(A294,'75m'!F$5:G$302,2,FALSE)))</f>
        <v>12.3</v>
      </c>
      <c r="G294" s="49">
        <f>IF(B294="",0,IF(ISNA(_xlfn.XLOOKUP(A294,'75m'!F$5:F$302,'75m'!M$5:M$302)),0,_xlfn.XLOOKUP(A294,'75m'!F$5:F$302,'75m'!M$5:M$302)))</f>
        <v>85</v>
      </c>
      <c r="H294" s="49" t="str">
        <f>IF(B294="","",IF(ISNA(VLOOKUP(A294,'75m'!F$5:K$302,6,FALSE)),"",VLOOKUP(A294,'75m'!F$5:K$302,6,FALSE)))</f>
        <v>PB7</v>
      </c>
      <c r="I294" s="51">
        <f>IF(B294="",0,IF(ISNA(VLOOKUP(A294,'600m'!F$5:J$302,2,FALSE)),0,VLOOKUP(A294,'600m'!F$5:J$302,2,FALSE)))</f>
        <v>1.6307870370370371E-3</v>
      </c>
      <c r="J294" s="49">
        <f>IF(B294="",0,IF(ISNA(_xlfn.XLOOKUP(A294,'600m'!F$5:F$302,'600m'!M$5:M$302)),0,_xlfn.XLOOKUP(A294,'600m'!F$5:F$302,'600m'!M$5:M$302)))</f>
        <v>38</v>
      </c>
      <c r="K294" s="49" t="str">
        <f>IF(B294="","",IF(ISNA(VLOOKUP(A294,'600m'!F$5:K$302,6,FALSE)),"",VLOOKUP(A294,'600m'!F$5:K$302,6,FALSE)))</f>
        <v>PB2</v>
      </c>
      <c r="L294" s="49">
        <f>IF(B294="","",IF(ISNA(VLOOKUP(A294,LongJump!F$5:G$302,2,FALSE)),"",VLOOKUP(A294,LongJump!F$5:G$302,2,FALSE)))</f>
        <v>2.44</v>
      </c>
      <c r="M294" s="49">
        <f>IF(B294="",0,IF(ISNA(_xlfn.XLOOKUP(A294,LongJump!F$5:F$302,LongJump!M$5:M$302)),0,_xlfn.XLOOKUP(A294,LongJump!F$5:F$302,LongJump!M$5:M$302)))</f>
        <v>47</v>
      </c>
      <c r="N294" s="49" t="str">
        <f>IF(B294="","",IF(ISNA(VLOOKUP(A294,LongJump!F$5:K$302,6,FALSE)),0,VLOOKUP(A294,LongJump!F$5:K$302,6,FALSE)))</f>
        <v>PB3</v>
      </c>
      <c r="O294" s="49">
        <f>IF(B294="","",IF(ISNA(VLOOKUP(A294,Vortex!F$5:J$302,2,FALSE)),"",VLOOKUP(A294,Vortex!F$5:J$302,2,FALSE)))</f>
        <v>18.940000000000001</v>
      </c>
      <c r="P294" s="49">
        <f>IF(B294="",0,IF(ISNA(_xlfn.XLOOKUP(A294,Vortex!F$5:F$302,Vortex!M$5:M$302)),0,_xlfn.XLOOKUP(A294,Vortex!F$5:F$302,Vortex!M$5:M$302)))</f>
        <v>54</v>
      </c>
      <c r="Q294" s="49">
        <f t="shared" si="22"/>
        <v>224</v>
      </c>
      <c r="R294" s="49" t="str">
        <f t="shared" si="23"/>
        <v/>
      </c>
      <c r="S294" s="49">
        <f t="shared" si="24"/>
        <v>9</v>
      </c>
      <c r="T294" s="49" t="str">
        <f t="shared" si="25"/>
        <v/>
      </c>
      <c r="U294" s="49">
        <f t="shared" si="26"/>
        <v>31</v>
      </c>
    </row>
    <row r="295" spans="1:21">
      <c r="A295" s="49">
        <f>IF(Declarations!B52=0,"",Declarations!B52)</f>
        <v>47</v>
      </c>
      <c r="B295" s="150" t="str">
        <f>IF(ISNA(VLOOKUP(A295,Declarations!B$6:C$185,2,FALSE)),"",IF(VLOOKUP(A295,Declarations!B$6:C$185,2,FALSE)="","",VLOOKUP(A295,Declarations!B$6:C$185,2,FALSE)))</f>
        <v>JESSICA FRANK</v>
      </c>
      <c r="C295" s="150" t="str">
        <f>IF(ISNA(VLOOKUP(A295,Declarations!B$6:F$185,5,FALSE)),"",IF(VLOOKUP(A295,Declarations!B$6:F$185,5,FALSE)="","",VLOOKUP(A295,Declarations!B$6:F$185,5,FALSE)))</f>
        <v>Poole Runners</v>
      </c>
      <c r="D295" s="150" t="str">
        <f>IF(ISNA(VLOOKUP(A295,Declarations!B$6:F$185,4,FALSE)),"",IF(VLOOKUP(A295,Declarations!B$6:F$185,4,FALSE)="","",VLOOKUP(A295,Declarations!B$6:F$185,4,FALSE)))</f>
        <v>GIRLS</v>
      </c>
      <c r="E295" s="150" t="str">
        <f>IF(ISNA(VLOOKUP(A295,Declarations!B$6:D$185,3,FALSE)),"",IF(VLOOKUP(A295,Declarations!B$6:D$185,3,FALSE)="","",VLOOKUP(A295,Declarations!B$6:D$185,3,FALSE)))</f>
        <v>U12</v>
      </c>
      <c r="F295" s="49">
        <f>IF(B295="","",IF(ISNA(VLOOKUP(A295,'75m'!F$5:G$302,2,FALSE)),"",VLOOKUP(A295,'75m'!F$5:G$302,2,FALSE)))</f>
        <v>11.6</v>
      </c>
      <c r="G295" s="49">
        <f>IF(B295="",0,IF(ISNA(_xlfn.XLOOKUP(A295,'75m'!F$5:F$302,'75m'!M$5:M$302)),0,_xlfn.XLOOKUP(A295,'75m'!F$5:F$302,'75m'!M$5:M$302)))</f>
        <v>102</v>
      </c>
      <c r="H295" s="49" t="str">
        <f>IF(B295="","",IF(ISNA(VLOOKUP(A295,'75m'!F$5:K$302,6,FALSE)),"",VLOOKUP(A295,'75m'!F$5:K$302,6,FALSE)))</f>
        <v>PB9</v>
      </c>
      <c r="I295" s="51">
        <f>IF(B295="",0,IF(ISNA(VLOOKUP(A295,'600m'!F$5:J$302,2,FALSE)),0,VLOOKUP(A295,'600m'!F$5:J$302,2,FALSE)))</f>
        <v>1.673611111111111E-3</v>
      </c>
      <c r="J295" s="49">
        <f>IF(B295="",0,IF(ISNA(_xlfn.XLOOKUP(A295,'600m'!F$5:F$302,'600m'!M$5:M$302)),0,_xlfn.XLOOKUP(A295,'600m'!F$5:F$302,'600m'!M$5:M$302)))</f>
        <v>30</v>
      </c>
      <c r="K295" s="49" t="str">
        <f>IF(B295="","",IF(ISNA(VLOOKUP(A295,'600m'!F$5:K$302,6,FALSE)),"",VLOOKUP(A295,'600m'!F$5:K$302,6,FALSE)))</f>
        <v>PB2</v>
      </c>
      <c r="L295" s="49">
        <f>IF(B295="","",IF(ISNA(VLOOKUP(A295,LongJump!F$5:G$302,2,FALSE)),"",VLOOKUP(A295,LongJump!F$5:G$302,2,FALSE)))</f>
        <v>2.83</v>
      </c>
      <c r="M295" s="49">
        <f>IF(B295="",0,IF(ISNA(_xlfn.XLOOKUP(A295,LongJump!F$5:F$302,LongJump!M$5:M$302)),0,_xlfn.XLOOKUP(A295,LongJump!F$5:F$302,LongJump!M$5:M$302)))</f>
        <v>62</v>
      </c>
      <c r="N295" s="49" t="str">
        <f>IF(B295="","",IF(ISNA(VLOOKUP(A295,LongJump!F$5:K$302,6,FALSE)),0,VLOOKUP(A295,LongJump!F$5:K$302,6,FALSE)))</f>
        <v>PB5</v>
      </c>
      <c r="O295" s="49">
        <f>IF(B295="","",IF(ISNA(VLOOKUP(A295,Vortex!F$5:J$302,2,FALSE)),"",VLOOKUP(A295,Vortex!F$5:J$302,2,FALSE)))</f>
        <v>21.17</v>
      </c>
      <c r="P295" s="49">
        <f>IF(B295="",0,IF(ISNA(_xlfn.XLOOKUP(A295,Vortex!F$5:F$302,Vortex!M$5:M$302)),0,_xlfn.XLOOKUP(A295,Vortex!F$5:F$302,Vortex!M$5:M$302)))</f>
        <v>65</v>
      </c>
      <c r="Q295" s="49">
        <f t="shared" si="22"/>
        <v>259</v>
      </c>
      <c r="R295" s="49" t="str">
        <f t="shared" si="23"/>
        <v/>
      </c>
      <c r="S295" s="49">
        <f t="shared" si="24"/>
        <v>3</v>
      </c>
      <c r="T295" s="49" t="str">
        <f t="shared" si="25"/>
        <v/>
      </c>
      <c r="U295" s="49">
        <f t="shared" si="26"/>
        <v>19</v>
      </c>
    </row>
    <row r="296" spans="1:21">
      <c r="A296" s="49">
        <f>IF(Declarations!B53=0,"",Declarations!B53)</f>
        <v>48</v>
      </c>
      <c r="B296" s="150" t="str">
        <f>IF(ISNA(VLOOKUP(A296,Declarations!B$6:C$185,2,FALSE)),"",IF(VLOOKUP(A296,Declarations!B$6:C$185,2,FALSE)="","",VLOOKUP(A296,Declarations!B$6:C$185,2,FALSE)))</f>
        <v>MATILDA COATESMITH</v>
      </c>
      <c r="C296" s="150" t="str">
        <f>IF(ISNA(VLOOKUP(A296,Declarations!B$6:F$185,5,FALSE)),"",IF(VLOOKUP(A296,Declarations!B$6:F$185,5,FALSE)="","",VLOOKUP(A296,Declarations!B$6:F$185,5,FALSE)))</f>
        <v>Poole Runners</v>
      </c>
      <c r="D296" s="150" t="str">
        <f>IF(ISNA(VLOOKUP(A296,Declarations!B$6:F$185,4,FALSE)),"",IF(VLOOKUP(A296,Declarations!B$6:F$185,4,FALSE)="","",VLOOKUP(A296,Declarations!B$6:F$185,4,FALSE)))</f>
        <v>GIRLS</v>
      </c>
      <c r="E296" s="150" t="str">
        <f>IF(ISNA(VLOOKUP(A296,Declarations!B$6:D$185,3,FALSE)),"",IF(VLOOKUP(A296,Declarations!B$6:D$185,3,FALSE)="","",VLOOKUP(A296,Declarations!B$6:D$185,3,FALSE)))</f>
        <v>U12</v>
      </c>
      <c r="F296" s="49">
        <f>IF(B296="","",IF(ISNA(VLOOKUP(A296,'75m'!F$5:G$302,2,FALSE)),"",VLOOKUP(A296,'75m'!F$5:G$302,2,FALSE)))</f>
        <v>11.9</v>
      </c>
      <c r="G296" s="49">
        <f>IF(B296="",0,IF(ISNA(_xlfn.XLOOKUP(A296,'75m'!F$5:F$302,'75m'!M$5:M$302)),0,_xlfn.XLOOKUP(A296,'75m'!F$5:F$302,'75m'!M$5:M$302)))</f>
        <v>95</v>
      </c>
      <c r="H296" s="49" t="str">
        <f>IF(B296="","",IF(ISNA(VLOOKUP(A296,'75m'!F$5:K$302,6,FALSE)),"",VLOOKUP(A296,'75m'!F$5:K$302,6,FALSE)))</f>
        <v>PB8</v>
      </c>
      <c r="I296" s="51">
        <f>IF(B296="",0,IF(ISNA(VLOOKUP(A296,'600m'!F$5:J$302,2,FALSE)),0,VLOOKUP(A296,'600m'!F$5:J$302,2,FALSE)))</f>
        <v>1.6261574074074073E-3</v>
      </c>
      <c r="J296" s="49">
        <f>IF(B296="",0,IF(ISNA(_xlfn.XLOOKUP(A296,'600m'!F$5:F$302,'600m'!M$5:M$302)),0,_xlfn.XLOOKUP(A296,'600m'!F$5:F$302,'600m'!M$5:M$302)))</f>
        <v>39</v>
      </c>
      <c r="K296" s="49" t="str">
        <f>IF(B296="","",IF(ISNA(VLOOKUP(A296,'600m'!F$5:K$302,6,FALSE)),"",VLOOKUP(A296,'600m'!F$5:K$302,6,FALSE)))</f>
        <v>PB2</v>
      </c>
      <c r="L296" s="49">
        <f>IF(B296="","",IF(ISNA(VLOOKUP(A296,LongJump!F$5:G$302,2,FALSE)),"",VLOOKUP(A296,LongJump!F$5:G$302,2,FALSE)))</f>
        <v>3.17</v>
      </c>
      <c r="M296" s="49">
        <f>IF(B296="",0,IF(ISNA(_xlfn.XLOOKUP(A296,LongJump!F$5:F$302,LongJump!M$5:M$302)),0,_xlfn.XLOOKUP(A296,LongJump!F$5:F$302,LongJump!M$5:M$302)))</f>
        <v>76</v>
      </c>
      <c r="N296" s="49" t="str">
        <f>IF(B296="","",IF(ISNA(VLOOKUP(A296,LongJump!F$5:K$302,6,FALSE)),0,VLOOKUP(A296,LongJump!F$5:K$302,6,FALSE)))</f>
        <v>PB6</v>
      </c>
      <c r="O296" s="49">
        <f>IF(B296="","",IF(ISNA(VLOOKUP(A296,Vortex!F$5:J$302,2,FALSE)),"",VLOOKUP(A296,Vortex!F$5:J$302,2,FALSE)))</f>
        <v>16.86</v>
      </c>
      <c r="P296" s="49">
        <f>IF(B296="",0,IF(ISNA(_xlfn.XLOOKUP(A296,Vortex!F$5:F$302,Vortex!M$5:M$302)),0,_xlfn.XLOOKUP(A296,Vortex!F$5:F$302,Vortex!M$5:M$302)))</f>
        <v>44</v>
      </c>
      <c r="Q296" s="49">
        <f t="shared" si="22"/>
        <v>254</v>
      </c>
      <c r="R296" s="49" t="str">
        <f t="shared" si="23"/>
        <v/>
      </c>
      <c r="S296" s="49">
        <f t="shared" si="24"/>
        <v>5</v>
      </c>
      <c r="T296" s="49" t="str">
        <f t="shared" si="25"/>
        <v/>
      </c>
      <c r="U296" s="49">
        <f t="shared" si="26"/>
        <v>22</v>
      </c>
    </row>
    <row r="297" spans="1:21">
      <c r="A297" s="49">
        <f>IF(Declarations!B54=0,"",Declarations!B54)</f>
        <v>49</v>
      </c>
      <c r="B297" s="150" t="str">
        <f>IF(ISNA(VLOOKUP(A297,Declarations!B$6:C$185,2,FALSE)),"",IF(VLOOKUP(A297,Declarations!B$6:C$185,2,FALSE)="","",VLOOKUP(A297,Declarations!B$6:C$185,2,FALSE)))</f>
        <v>IZZY YOUNG</v>
      </c>
      <c r="C297" s="150" t="str">
        <f>IF(ISNA(VLOOKUP(A297,Declarations!B$6:F$185,5,FALSE)),"",IF(VLOOKUP(A297,Declarations!B$6:F$185,5,FALSE)="","",VLOOKUP(A297,Declarations!B$6:F$185,5,FALSE)))</f>
        <v>Poole Runners</v>
      </c>
      <c r="D297" s="150" t="str">
        <f>IF(ISNA(VLOOKUP(A297,Declarations!B$6:F$185,4,FALSE)),"",IF(VLOOKUP(A297,Declarations!B$6:F$185,4,FALSE)="","",VLOOKUP(A297,Declarations!B$6:F$185,4,FALSE)))</f>
        <v>GIRLS</v>
      </c>
      <c r="E297" s="150" t="str">
        <f>IF(ISNA(VLOOKUP(A297,Declarations!B$6:D$185,3,FALSE)),"",IF(VLOOKUP(A297,Declarations!B$6:D$185,3,FALSE)="","",VLOOKUP(A297,Declarations!B$6:D$185,3,FALSE)))</f>
        <v>U12</v>
      </c>
      <c r="F297" s="49">
        <f>IF(B297="","",IF(ISNA(VLOOKUP(A297,'75m'!F$5:G$302,2,FALSE)),"",VLOOKUP(A297,'75m'!F$5:G$302,2,FALSE)))</f>
        <v>12.5</v>
      </c>
      <c r="G297" s="49">
        <f>IF(B297="",0,IF(ISNA(_xlfn.XLOOKUP(A297,'75m'!F$5:F$302,'75m'!M$5:M$302)),0,_xlfn.XLOOKUP(A297,'75m'!F$5:F$302,'75m'!M$5:M$302)))</f>
        <v>80</v>
      </c>
      <c r="H297" s="49" t="str">
        <f>IF(B297="","",IF(ISNA(VLOOKUP(A297,'75m'!F$5:K$302,6,FALSE)),"",VLOOKUP(A297,'75m'!F$5:K$302,6,FALSE)))</f>
        <v>PB7</v>
      </c>
      <c r="I297" s="51">
        <f>IF(B297="",0,IF(ISNA(VLOOKUP(A297,'600m'!F$5:J$302,2,FALSE)),0,VLOOKUP(A297,'600m'!F$5:J$302,2,FALSE)))</f>
        <v>1.707175925925926E-3</v>
      </c>
      <c r="J297" s="49">
        <f>IF(B297="",0,IF(ISNA(_xlfn.XLOOKUP(A297,'600m'!F$5:F$302,'600m'!M$5:M$302)),0,_xlfn.XLOOKUP(A297,'600m'!F$5:F$302,'600m'!M$5:M$302)))</f>
        <v>27</v>
      </c>
      <c r="K297" s="49" t="str">
        <f>IF(B297="","",IF(ISNA(VLOOKUP(A297,'600m'!F$5:K$302,6,FALSE)),"",VLOOKUP(A297,'600m'!F$5:K$302,6,FALSE)))</f>
        <v>PB1</v>
      </c>
      <c r="L297" s="49">
        <f>IF(B297="","",IF(ISNA(VLOOKUP(A297,LongJump!F$5:G$302,2,FALSE)),"",VLOOKUP(A297,LongJump!F$5:G$302,2,FALSE)))</f>
        <v>3.08</v>
      </c>
      <c r="M297" s="49">
        <f>IF(B297="",0,IF(ISNA(_xlfn.XLOOKUP(A297,LongJump!F$5:F$302,LongJump!M$5:M$302)),0,_xlfn.XLOOKUP(A297,LongJump!F$5:F$302,LongJump!M$5:M$302)))</f>
        <v>72</v>
      </c>
      <c r="N297" s="49" t="str">
        <f>IF(B297="","",IF(ISNA(VLOOKUP(A297,LongJump!F$5:K$302,6,FALSE)),0,VLOOKUP(A297,LongJump!F$5:K$302,6,FALSE)))</f>
        <v>PB6</v>
      </c>
      <c r="O297" s="49">
        <f>IF(B297="","",IF(ISNA(VLOOKUP(A297,Vortex!F$5:J$302,2,FALSE)),"",VLOOKUP(A297,Vortex!F$5:J$302,2,FALSE)))</f>
        <v>19.239999999999998</v>
      </c>
      <c r="P297" s="49">
        <f>IF(B297="",0,IF(ISNA(_xlfn.XLOOKUP(A297,Vortex!F$5:F$302,Vortex!M$5:M$302)),0,_xlfn.XLOOKUP(A297,Vortex!F$5:F$302,Vortex!M$5:M$302)))</f>
        <v>56</v>
      </c>
      <c r="Q297" s="49">
        <f t="shared" si="22"/>
        <v>235</v>
      </c>
      <c r="R297" s="49" t="str">
        <f t="shared" si="23"/>
        <v/>
      </c>
      <c r="S297" s="49">
        <f t="shared" si="24"/>
        <v>7</v>
      </c>
      <c r="T297" s="49" t="str">
        <f t="shared" si="25"/>
        <v/>
      </c>
      <c r="U297" s="49">
        <f t="shared" si="26"/>
        <v>28</v>
      </c>
    </row>
    <row r="298" spans="1:21">
      <c r="A298" s="49">
        <f>IF(Declarations!B55=0,"",Declarations!B55)</f>
        <v>50</v>
      </c>
      <c r="B298" s="150" t="str">
        <f>IF(ISNA(VLOOKUP(A298,Declarations!B$6:C$185,2,FALSE)),"",IF(VLOOKUP(A298,Declarations!B$6:C$185,2,FALSE)="","",VLOOKUP(A298,Declarations!B$6:C$185,2,FALSE)))</f>
        <v>WILLA GRAY</v>
      </c>
      <c r="C298" s="150" t="str">
        <f>IF(ISNA(VLOOKUP(A298,Declarations!B$6:F$185,5,FALSE)),"",IF(VLOOKUP(A298,Declarations!B$6:F$185,5,FALSE)="","",VLOOKUP(A298,Declarations!B$6:F$185,5,FALSE)))</f>
        <v>Poole Runners</v>
      </c>
      <c r="D298" s="150" t="str">
        <f>IF(ISNA(VLOOKUP(A298,Declarations!B$6:F$185,4,FALSE)),"",IF(VLOOKUP(A298,Declarations!B$6:F$185,4,FALSE)="","",VLOOKUP(A298,Declarations!B$6:F$185,4,FALSE)))</f>
        <v>GIRLS</v>
      </c>
      <c r="E298" s="150" t="str">
        <f>IF(ISNA(VLOOKUP(A298,Declarations!B$6:D$185,3,FALSE)),"",IF(VLOOKUP(A298,Declarations!B$6:D$185,3,FALSE)="","",VLOOKUP(A298,Declarations!B$6:D$185,3,FALSE)))</f>
        <v>U12</v>
      </c>
      <c r="F298" s="49">
        <f>IF(B298="","",IF(ISNA(VLOOKUP(A298,'75m'!F$5:G$302,2,FALSE)),"",VLOOKUP(A298,'75m'!F$5:G$302,2,FALSE)))</f>
        <v>11.8</v>
      </c>
      <c r="G298" s="49">
        <f>IF(B298="",0,IF(ISNA(_xlfn.XLOOKUP(A298,'75m'!F$5:F$302,'75m'!M$5:M$302)),0,_xlfn.XLOOKUP(A298,'75m'!F$5:F$302,'75m'!M$5:M$302)))</f>
        <v>97</v>
      </c>
      <c r="H298" s="49" t="str">
        <f>IF(B298="","",IF(ISNA(VLOOKUP(A298,'75m'!F$5:K$302,6,FALSE)),"",VLOOKUP(A298,'75m'!F$5:K$302,6,FALSE)))</f>
        <v>PB8</v>
      </c>
      <c r="I298" s="51">
        <f>IF(B298="",0,IF(ISNA(VLOOKUP(A298,'600m'!F$5:J$302,2,FALSE)),0,VLOOKUP(A298,'600m'!F$5:J$302,2,FALSE)))</f>
        <v>1.46875E-3</v>
      </c>
      <c r="J298" s="49">
        <f>IF(B298="",0,IF(ISNA(_xlfn.XLOOKUP(A298,'600m'!F$5:F$302,'600m'!M$5:M$302)),0,_xlfn.XLOOKUP(A298,'600m'!F$5:F$302,'600m'!M$5:M$302)))</f>
        <v>66</v>
      </c>
      <c r="K298" s="49" t="str">
        <f>IF(B298="","",IF(ISNA(VLOOKUP(A298,'600m'!F$5:K$302,6,FALSE)),"",VLOOKUP(A298,'600m'!F$5:K$302,6,FALSE)))</f>
        <v>PB4</v>
      </c>
      <c r="L298" s="49">
        <f>IF(B298="","",IF(ISNA(VLOOKUP(A298,LongJump!F$5:G$302,2,FALSE)),"",VLOOKUP(A298,LongJump!F$5:G$302,2,FALSE)))</f>
        <v>2.79</v>
      </c>
      <c r="M298" s="49">
        <f>IF(B298="",0,IF(ISNA(_xlfn.XLOOKUP(A298,LongJump!F$5:F$302,LongJump!M$5:M$302)),0,_xlfn.XLOOKUP(A298,LongJump!F$5:F$302,LongJump!M$5:M$302)))</f>
        <v>61</v>
      </c>
      <c r="N298" s="49" t="str">
        <f>IF(B298="","",IF(ISNA(VLOOKUP(A298,LongJump!F$5:K$302,6,FALSE)),0,VLOOKUP(A298,LongJump!F$5:K$302,6,FALSE)))</f>
        <v>PB5</v>
      </c>
      <c r="O298" s="49">
        <f>IF(B298="","",IF(ISNA(VLOOKUP(A298,Vortex!F$5:J$302,2,FALSE)),"",VLOOKUP(A298,Vortex!F$5:J$302,2,FALSE)))</f>
        <v>13.68</v>
      </c>
      <c r="P298" s="49">
        <f>IF(B298="",0,IF(ISNA(_xlfn.XLOOKUP(A298,Vortex!F$5:F$302,Vortex!M$5:M$302)),0,_xlfn.XLOOKUP(A298,Vortex!F$5:F$302,Vortex!M$5:M$302)))</f>
        <v>28</v>
      </c>
      <c r="Q298" s="49">
        <f t="shared" si="22"/>
        <v>252</v>
      </c>
      <c r="R298" s="49" t="str">
        <f t="shared" si="23"/>
        <v/>
      </c>
      <c r="S298" s="49">
        <f t="shared" si="24"/>
        <v>6</v>
      </c>
      <c r="T298" s="49" t="str">
        <f t="shared" si="25"/>
        <v/>
      </c>
      <c r="U298" s="49">
        <f t="shared" si="26"/>
        <v>23</v>
      </c>
    </row>
    <row r="299" spans="1:21">
      <c r="A299" s="49">
        <f>IF(Declarations!B56=0,"",Declarations!B56)</f>
        <v>51</v>
      </c>
      <c r="B299" s="150" t="str">
        <f>IF(ISNA(VLOOKUP(A299,Declarations!B$6:C$185,2,FALSE)),"",IF(VLOOKUP(A299,Declarations!B$6:C$185,2,FALSE)="","",VLOOKUP(A299,Declarations!B$6:C$185,2,FALSE)))</f>
        <v>OSCAR CARTWRIGHT</v>
      </c>
      <c r="C299" s="150" t="str">
        <f>IF(ISNA(VLOOKUP(A299,Declarations!B$6:F$185,5,FALSE)),"",IF(VLOOKUP(A299,Declarations!B$6:F$185,5,FALSE)="","",VLOOKUP(A299,Declarations!B$6:F$185,5,FALSE)))</f>
        <v>Poole Runners</v>
      </c>
      <c r="D299" s="150" t="str">
        <f>IF(ISNA(VLOOKUP(A299,Declarations!B$6:F$185,4,FALSE)),"",IF(VLOOKUP(A299,Declarations!B$6:F$185,4,FALSE)="","",VLOOKUP(A299,Declarations!B$6:F$185,4,FALSE)))</f>
        <v>BOYS</v>
      </c>
      <c r="E299" s="150" t="str">
        <f>IF(ISNA(VLOOKUP(A299,Declarations!B$6:D$185,3,FALSE)),"",IF(VLOOKUP(A299,Declarations!B$6:D$185,3,FALSE)="","",VLOOKUP(A299,Declarations!B$6:D$185,3,FALSE)))</f>
        <v>U12</v>
      </c>
      <c r="F299" s="49">
        <f>IF(B299="","",IF(ISNA(VLOOKUP(A299,'75m'!F$5:G$302,2,FALSE)),"",VLOOKUP(A299,'75m'!F$5:G$302,2,FALSE)))</f>
        <v>11.6</v>
      </c>
      <c r="G299" s="49">
        <f>IF(B299="",0,IF(ISNA(_xlfn.XLOOKUP(A299,'75m'!F$5:F$302,'75m'!M$5:M$302)),0,_xlfn.XLOOKUP(A299,'75m'!F$5:F$302,'75m'!M$5:M$302)))</f>
        <v>90</v>
      </c>
      <c r="H299" s="49" t="str">
        <f>IF(B299="","",IF(ISNA(VLOOKUP(A299,'75m'!F$5:K$302,6,FALSE)),"",VLOOKUP(A299,'75m'!F$5:K$302,6,FALSE)))</f>
        <v>PB8</v>
      </c>
      <c r="I299" s="51">
        <f>IF(B299="",0,IF(ISNA(VLOOKUP(A299,'600m'!F$5:J$302,2,FALSE)),0,VLOOKUP(A299,'600m'!F$5:J$302,2,FALSE)))</f>
        <v>1.4386574074074074E-3</v>
      </c>
      <c r="J299" s="49">
        <f>IF(B299="",0,IF(ISNA(_xlfn.XLOOKUP(A299,'600m'!F$5:F$302,'600m'!M$5:M$302)),0,_xlfn.XLOOKUP(A299,'600m'!F$5:F$302,'600m'!M$5:M$302)))</f>
        <v>51</v>
      </c>
      <c r="K299" s="49" t="str">
        <f>IF(B299="","",IF(ISNA(VLOOKUP(A299,'600m'!F$5:K$302,6,FALSE)),"",VLOOKUP(A299,'600m'!F$5:K$302,6,FALSE)))</f>
        <v>PB4</v>
      </c>
      <c r="L299" s="49">
        <f>IF(B299="","",IF(ISNA(VLOOKUP(A299,LongJump!F$5:G$302,2,FALSE)),"",VLOOKUP(A299,LongJump!F$5:G$302,2,FALSE)))</f>
        <v>3.38</v>
      </c>
      <c r="M299" s="49">
        <f>IF(B299="",0,IF(ISNA(_xlfn.XLOOKUP(A299,LongJump!F$5:F$302,LongJump!M$5:M$302)),0,_xlfn.XLOOKUP(A299,LongJump!F$5:F$302,LongJump!M$5:M$302)))</f>
        <v>74</v>
      </c>
      <c r="N299" s="49" t="str">
        <f>IF(B299="","",IF(ISNA(VLOOKUP(A299,LongJump!F$5:K$302,6,FALSE)),0,VLOOKUP(A299,LongJump!F$5:K$302,6,FALSE)))</f>
        <v>PB6</v>
      </c>
      <c r="O299" s="49">
        <f>IF(B299="","",IF(ISNA(VLOOKUP(A299,Vortex!F$5:J$302,2,FALSE)),"",VLOOKUP(A299,Vortex!F$5:J$302,2,FALSE)))</f>
        <v>28.67</v>
      </c>
      <c r="P299" s="49">
        <f>IF(B299="",0,IF(ISNA(_xlfn.XLOOKUP(A299,Vortex!F$5:F$302,Vortex!M$5:M$302)),0,_xlfn.XLOOKUP(A299,Vortex!F$5:F$302,Vortex!M$5:M$302)))</f>
        <v>93</v>
      </c>
      <c r="Q299" s="49">
        <f t="shared" si="22"/>
        <v>308</v>
      </c>
      <c r="R299" s="49" t="str">
        <f t="shared" si="23"/>
        <v/>
      </c>
      <c r="S299" s="49">
        <f t="shared" si="24"/>
        <v>2</v>
      </c>
      <c r="T299" s="49" t="str">
        <f t="shared" si="25"/>
        <v/>
      </c>
      <c r="U299" s="49">
        <f t="shared" si="26"/>
        <v>13</v>
      </c>
    </row>
    <row r="300" spans="1:21">
      <c r="A300" s="49">
        <f>IF(Declarations!B57=0,"",Declarations!B57)</f>
        <v>52</v>
      </c>
      <c r="B300" s="150" t="str">
        <f>IF(ISNA(VLOOKUP(A300,Declarations!B$6:C$185,2,FALSE)),"",IF(VLOOKUP(A300,Declarations!B$6:C$185,2,FALSE)="","",VLOOKUP(A300,Declarations!B$6:C$185,2,FALSE)))</f>
        <v>MARLOWE PEACH</v>
      </c>
      <c r="C300" s="150" t="str">
        <f>IF(ISNA(VLOOKUP(A300,Declarations!B$6:F$185,5,FALSE)),"",IF(VLOOKUP(A300,Declarations!B$6:F$185,5,FALSE)="","",VLOOKUP(A300,Declarations!B$6:F$185,5,FALSE)))</f>
        <v>Poole Runners</v>
      </c>
      <c r="D300" s="150" t="str">
        <f>IF(ISNA(VLOOKUP(A300,Declarations!B$6:F$185,4,FALSE)),"",IF(VLOOKUP(A300,Declarations!B$6:F$185,4,FALSE)="","",VLOOKUP(A300,Declarations!B$6:F$185,4,FALSE)))</f>
        <v>BOYS</v>
      </c>
      <c r="E300" s="150" t="str">
        <f>IF(ISNA(VLOOKUP(A300,Declarations!B$6:D$185,3,FALSE)),"",IF(VLOOKUP(A300,Declarations!B$6:D$185,3,FALSE)="","",VLOOKUP(A300,Declarations!B$6:D$185,3,FALSE)))</f>
        <v>U12</v>
      </c>
      <c r="F300" s="49">
        <f>IF(B300="","",IF(ISNA(VLOOKUP(A300,'75m'!F$5:G$302,2,FALSE)),"",VLOOKUP(A300,'75m'!F$5:G$302,2,FALSE)))</f>
        <v>13.1</v>
      </c>
      <c r="G300" s="49">
        <f>IF(B300="",0,IF(ISNA(_xlfn.XLOOKUP(A300,'75m'!F$5:F$302,'75m'!M$5:M$302)),0,_xlfn.XLOOKUP(A300,'75m'!F$5:F$302,'75m'!M$5:M$302)))</f>
        <v>58</v>
      </c>
      <c r="H300" s="49" t="str">
        <f>IF(B300="","",IF(ISNA(VLOOKUP(A300,'75m'!F$5:K$302,6,FALSE)),"",VLOOKUP(A300,'75m'!F$5:K$302,6,FALSE)))</f>
        <v>PB4</v>
      </c>
      <c r="I300" s="51">
        <f>IF(B300="",0,IF(ISNA(VLOOKUP(A300,'600m'!F$5:J$302,2,FALSE)),0,VLOOKUP(A300,'600m'!F$5:J$302,2,FALSE)))</f>
        <v>1.965277777777778E-3</v>
      </c>
      <c r="J300" s="49">
        <f>IF(B300="",0,IF(ISNA(_xlfn.XLOOKUP(A300,'600m'!F$5:F$302,'600m'!M$5:M$302)),0,_xlfn.XLOOKUP(A300,'600m'!F$5:F$302,'600m'!M$5:M$302)))</f>
        <v>13</v>
      </c>
      <c r="K300" s="49" t="str">
        <f>IF(B300="","",IF(ISNA(VLOOKUP(A300,'600m'!F$5:K$302,6,FALSE)),"",VLOOKUP(A300,'600m'!F$5:K$302,6,FALSE)))</f>
        <v/>
      </c>
      <c r="L300" s="49">
        <f>IF(B300="","",IF(ISNA(VLOOKUP(A300,LongJump!F$5:G$302,2,FALSE)),"",VLOOKUP(A300,LongJump!F$5:G$302,2,FALSE)))</f>
        <v>2.36</v>
      </c>
      <c r="M300" s="49">
        <f>IF(B300="",0,IF(ISNA(_xlfn.XLOOKUP(A300,LongJump!F$5:F$302,LongJump!M$5:M$302)),0,_xlfn.XLOOKUP(A300,LongJump!F$5:F$302,LongJump!M$5:M$302)))</f>
        <v>33</v>
      </c>
      <c r="N300" s="49" t="str">
        <f>IF(B300="","",IF(ISNA(VLOOKUP(A300,LongJump!F$5:K$302,6,FALSE)),0,VLOOKUP(A300,LongJump!F$5:K$302,6,FALSE)))</f>
        <v>PB2</v>
      </c>
      <c r="O300" s="49">
        <f>IF(B300="","",IF(ISNA(VLOOKUP(A300,Vortex!F$5:J$302,2,FALSE)),"",VLOOKUP(A300,Vortex!F$5:J$302,2,FALSE)))</f>
        <v>11.36</v>
      </c>
      <c r="P300" s="49">
        <f>IF(B300="",0,IF(ISNA(_xlfn.XLOOKUP(A300,Vortex!F$5:F$302,Vortex!M$5:M$302)),0,_xlfn.XLOOKUP(A300,Vortex!F$5:F$302,Vortex!M$5:M$302)))</f>
        <v>14</v>
      </c>
      <c r="Q300" s="49">
        <f t="shared" si="22"/>
        <v>118</v>
      </c>
      <c r="R300" s="49" t="str">
        <f t="shared" si="23"/>
        <v/>
      </c>
      <c r="S300" s="49">
        <f t="shared" si="24"/>
        <v>8</v>
      </c>
      <c r="T300" s="49" t="str">
        <f t="shared" si="25"/>
        <v/>
      </c>
      <c r="U300" s="49">
        <f t="shared" si="26"/>
        <v>46</v>
      </c>
    </row>
    <row r="301" spans="1:21">
      <c r="A301" s="49">
        <f>IF(Declarations!B58=0,"",Declarations!B58)</f>
        <v>53</v>
      </c>
      <c r="B301" s="150" t="str">
        <f>IF(ISNA(VLOOKUP(A301,Declarations!B$6:C$185,2,FALSE)),"",IF(VLOOKUP(A301,Declarations!B$6:C$185,2,FALSE)="","",VLOOKUP(A301,Declarations!B$6:C$185,2,FALSE)))</f>
        <v>OAKLEY SHEAN-STEVENS</v>
      </c>
      <c r="C301" s="150" t="str">
        <f>IF(ISNA(VLOOKUP(A301,Declarations!B$6:F$185,5,FALSE)),"",IF(VLOOKUP(A301,Declarations!B$6:F$185,5,FALSE)="","",VLOOKUP(A301,Declarations!B$6:F$185,5,FALSE)))</f>
        <v>Poole Runners</v>
      </c>
      <c r="D301" s="150" t="str">
        <f>IF(ISNA(VLOOKUP(A301,Declarations!B$6:F$185,4,FALSE)),"",IF(VLOOKUP(A301,Declarations!B$6:F$185,4,FALSE)="","",VLOOKUP(A301,Declarations!B$6:F$185,4,FALSE)))</f>
        <v>BOYS</v>
      </c>
      <c r="E301" s="150" t="str">
        <f>IF(ISNA(VLOOKUP(A301,Declarations!B$6:D$185,3,FALSE)),"",IF(VLOOKUP(A301,Declarations!B$6:D$185,3,FALSE)="","",VLOOKUP(A301,Declarations!B$6:D$185,3,FALSE)))</f>
        <v>U12</v>
      </c>
      <c r="F301" s="49">
        <f>IF(B301="","",IF(ISNA(VLOOKUP(A301,'75m'!F$5:G$302,2,FALSE)),"",VLOOKUP(A301,'75m'!F$5:G$302,2,FALSE)))</f>
        <v>12.8</v>
      </c>
      <c r="G301" s="49">
        <f>IF(B301="",0,IF(ISNA(_xlfn.XLOOKUP(A301,'75m'!F$5:F$302,'75m'!M$5:M$302)),0,_xlfn.XLOOKUP(A301,'75m'!F$5:F$302,'75m'!M$5:M$302)))</f>
        <v>64</v>
      </c>
      <c r="H301" s="49" t="str">
        <f>IF(B301="","",IF(ISNA(VLOOKUP(A301,'75m'!F$5:K$302,6,FALSE)),"",VLOOKUP(A301,'75m'!F$5:K$302,6,FALSE)))</f>
        <v>PB5</v>
      </c>
      <c r="I301" s="51">
        <f>IF(B301="",0,IF(ISNA(VLOOKUP(A301,'600m'!F$5:J$302,2,FALSE)),0,VLOOKUP(A301,'600m'!F$5:J$302,2,FALSE)))</f>
        <v>1.646990740740741E-3</v>
      </c>
      <c r="J301" s="49">
        <f>IF(B301="",0,IF(ISNA(_xlfn.XLOOKUP(A301,'600m'!F$5:F$302,'600m'!M$5:M$302)),0,_xlfn.XLOOKUP(A301,'600m'!F$5:F$302,'600m'!M$5:M$302)))</f>
        <v>27</v>
      </c>
      <c r="K301" s="49" t="str">
        <f>IF(B301="","",IF(ISNA(VLOOKUP(A301,'600m'!F$5:K$302,6,FALSE)),"",VLOOKUP(A301,'600m'!F$5:K$302,6,FALSE)))</f>
        <v>PB1</v>
      </c>
      <c r="L301" s="49">
        <f>IF(B301="","",IF(ISNA(VLOOKUP(A301,LongJump!F$5:G$302,2,FALSE)),"",VLOOKUP(A301,LongJump!F$5:G$302,2,FALSE)))</f>
        <v>3.27</v>
      </c>
      <c r="M301" s="49">
        <f>IF(B301="",0,IF(ISNA(_xlfn.XLOOKUP(A301,LongJump!F$5:F$302,LongJump!M$5:M$302)),0,_xlfn.XLOOKUP(A301,LongJump!F$5:F$302,LongJump!M$5:M$302)))</f>
        <v>70</v>
      </c>
      <c r="N301" s="49" t="str">
        <f>IF(B301="","",IF(ISNA(VLOOKUP(A301,LongJump!F$5:K$302,6,FALSE)),0,VLOOKUP(A301,LongJump!F$5:K$302,6,FALSE)))</f>
        <v>PB6</v>
      </c>
      <c r="O301" s="49">
        <f>IF(B301="","",IF(ISNA(VLOOKUP(A301,Vortex!F$5:J$302,2,FALSE)),"",VLOOKUP(A301,Vortex!F$5:J$302,2,FALSE)))</f>
        <v>20.63</v>
      </c>
      <c r="P301" s="49">
        <f>IF(B301="",0,IF(ISNA(_xlfn.XLOOKUP(A301,Vortex!F$5:F$302,Vortex!M$5:M$302)),0,_xlfn.XLOOKUP(A301,Vortex!F$5:F$302,Vortex!M$5:M$302)))</f>
        <v>53</v>
      </c>
      <c r="Q301" s="49">
        <f t="shared" si="22"/>
        <v>214</v>
      </c>
      <c r="R301" s="49" t="str">
        <f t="shared" si="23"/>
        <v/>
      </c>
      <c r="S301" s="49">
        <f t="shared" si="24"/>
        <v>6</v>
      </c>
      <c r="T301" s="49" t="str">
        <f t="shared" si="25"/>
        <v/>
      </c>
      <c r="U301" s="49">
        <f t="shared" si="26"/>
        <v>34</v>
      </c>
    </row>
    <row r="302" spans="1:21">
      <c r="A302" s="49">
        <f>IF(Declarations!B59=0,"",Declarations!B59)</f>
        <v>54</v>
      </c>
      <c r="B302" s="150" t="str">
        <f>IF(ISNA(VLOOKUP(A302,Declarations!B$6:C$185,2,FALSE)),"",IF(VLOOKUP(A302,Declarations!B$6:C$185,2,FALSE)="","",VLOOKUP(A302,Declarations!B$6:C$185,2,FALSE)))</f>
        <v>FERGUS STANNING</v>
      </c>
      <c r="C302" s="150" t="str">
        <f>IF(ISNA(VLOOKUP(A302,Declarations!B$6:F$185,5,FALSE)),"",IF(VLOOKUP(A302,Declarations!B$6:F$185,5,FALSE)="","",VLOOKUP(A302,Declarations!B$6:F$185,5,FALSE)))</f>
        <v>Poole Runners</v>
      </c>
      <c r="D302" s="150" t="str">
        <f>IF(ISNA(VLOOKUP(A302,Declarations!B$6:F$185,4,FALSE)),"",IF(VLOOKUP(A302,Declarations!B$6:F$185,4,FALSE)="","",VLOOKUP(A302,Declarations!B$6:F$185,4,FALSE)))</f>
        <v>BOYS</v>
      </c>
      <c r="E302" s="150" t="str">
        <f>IF(ISNA(VLOOKUP(A302,Declarations!B$6:D$185,3,FALSE)),"",IF(VLOOKUP(A302,Declarations!B$6:D$185,3,FALSE)="","",VLOOKUP(A302,Declarations!B$6:D$185,3,FALSE)))</f>
        <v>U12</v>
      </c>
      <c r="F302" s="49">
        <f>IF(B302="","",IF(ISNA(VLOOKUP(A302,'75m'!F$5:G$302,2,FALSE)),"",VLOOKUP(A302,'75m'!F$5:G$302,2,FALSE)))</f>
        <v>13</v>
      </c>
      <c r="G302" s="49">
        <f>IF(B302="",0,IF(ISNA(_xlfn.XLOOKUP(A302,'75m'!F$5:F$302,'75m'!M$5:M$302)),0,_xlfn.XLOOKUP(A302,'75m'!F$5:F$302,'75m'!M$5:M$302)))</f>
        <v>60</v>
      </c>
      <c r="H302" s="49" t="str">
        <f>IF(B302="","",IF(ISNA(VLOOKUP(A302,'75m'!F$5:K$302,6,FALSE)),"",VLOOKUP(A302,'75m'!F$5:K$302,6,FALSE)))</f>
        <v>PB5</v>
      </c>
      <c r="I302" s="51">
        <f>IF(B302="",0,IF(ISNA(VLOOKUP(A302,'600m'!F$5:J$302,2,FALSE)),0,VLOOKUP(A302,'600m'!F$5:J$302,2,FALSE)))</f>
        <v>1.4803240740740742E-3</v>
      </c>
      <c r="J302" s="49">
        <f>IF(B302="",0,IF(ISNA(_xlfn.XLOOKUP(A302,'600m'!F$5:F$302,'600m'!M$5:M$302)),0,_xlfn.XLOOKUP(A302,'600m'!F$5:F$302,'600m'!M$5:M$302)))</f>
        <v>44</v>
      </c>
      <c r="K302" s="49" t="str">
        <f>IF(B302="","",IF(ISNA(VLOOKUP(A302,'600m'!F$5:K$302,6,FALSE)),"",VLOOKUP(A302,'600m'!F$5:K$302,6,FALSE)))</f>
        <v>PB3</v>
      </c>
      <c r="L302" s="49">
        <f>IF(B302="","",IF(ISNA(VLOOKUP(A302,LongJump!F$5:G$302,2,FALSE)),"",VLOOKUP(A302,LongJump!F$5:G$302,2,FALSE)))</f>
        <v>3.09</v>
      </c>
      <c r="M302" s="49">
        <f>IF(B302="",0,IF(ISNA(_xlfn.XLOOKUP(A302,LongJump!F$5:F$302,LongJump!M$5:M$302)),0,_xlfn.XLOOKUP(A302,LongJump!F$5:F$302,LongJump!M$5:M$302)))</f>
        <v>63</v>
      </c>
      <c r="N302" s="49" t="str">
        <f>IF(B302="","",IF(ISNA(VLOOKUP(A302,LongJump!F$5:K$302,6,FALSE)),0,VLOOKUP(A302,LongJump!F$5:K$302,6,FALSE)))</f>
        <v>PB5</v>
      </c>
      <c r="O302" s="49">
        <f>IF(B302="","",IF(ISNA(VLOOKUP(A302,Vortex!F$5:J$302,2,FALSE)),"",VLOOKUP(A302,Vortex!F$5:J$302,2,FALSE)))</f>
        <v>25.15</v>
      </c>
      <c r="P302" s="49">
        <f>IF(B302="",0,IF(ISNA(_xlfn.XLOOKUP(A302,Vortex!F$5:F$302,Vortex!M$5:M$302)),0,_xlfn.XLOOKUP(A302,Vortex!F$5:F$302,Vortex!M$5:M$302)))</f>
        <v>75</v>
      </c>
      <c r="Q302" s="49">
        <f t="shared" si="22"/>
        <v>242</v>
      </c>
      <c r="R302" s="49" t="str">
        <f t="shared" si="23"/>
        <v/>
      </c>
      <c r="S302" s="49">
        <f t="shared" si="24"/>
        <v>4</v>
      </c>
      <c r="T302" s="49" t="str">
        <f t="shared" si="25"/>
        <v/>
      </c>
      <c r="U302" s="49">
        <f t="shared" si="26"/>
        <v>27</v>
      </c>
    </row>
    <row r="303" spans="1:21">
      <c r="A303" s="49">
        <f>IF(Declarations!B60=0,"",Declarations!B60)</f>
        <v>55</v>
      </c>
      <c r="B303" s="150" t="str">
        <f>IF(ISNA(VLOOKUP(A303,Declarations!B$6:C$185,2,FALSE)),"",IF(VLOOKUP(A303,Declarations!B$6:C$185,2,FALSE)="","",VLOOKUP(A303,Declarations!B$6:C$185,2,FALSE)))</f>
        <v>BERTIE LEIGH</v>
      </c>
      <c r="C303" s="150" t="str">
        <f>IF(ISNA(VLOOKUP(A303,Declarations!B$6:F$185,5,FALSE)),"",IF(VLOOKUP(A303,Declarations!B$6:F$185,5,FALSE)="","",VLOOKUP(A303,Declarations!B$6:F$185,5,FALSE)))</f>
        <v>Poole Runners</v>
      </c>
      <c r="D303" s="150" t="str">
        <f>IF(ISNA(VLOOKUP(A303,Declarations!B$6:F$185,4,FALSE)),"",IF(VLOOKUP(A303,Declarations!B$6:F$185,4,FALSE)="","",VLOOKUP(A303,Declarations!B$6:F$185,4,FALSE)))</f>
        <v>BOYS</v>
      </c>
      <c r="E303" s="150" t="str">
        <f>IF(ISNA(VLOOKUP(A303,Declarations!B$6:D$185,3,FALSE)),"",IF(VLOOKUP(A303,Declarations!B$6:D$185,3,FALSE)="","",VLOOKUP(A303,Declarations!B$6:D$185,3,FALSE)))</f>
        <v>U12</v>
      </c>
      <c r="F303" s="49">
        <f>IF(B303="","",IF(ISNA(VLOOKUP(A303,'75m'!F$5:G$302,2,FALSE)),"",VLOOKUP(A303,'75m'!F$5:G$302,2,FALSE)))</f>
        <v>13.1</v>
      </c>
      <c r="G303" s="49">
        <f>IF(B303="",0,IF(ISNA(_xlfn.XLOOKUP(A303,'75m'!F$5:F$302,'75m'!M$5:M$302)),0,_xlfn.XLOOKUP(A303,'75m'!F$5:F$302,'75m'!M$5:M$302)))</f>
        <v>58</v>
      </c>
      <c r="H303" s="49" t="str">
        <f>IF(B303="","",IF(ISNA(VLOOKUP(A303,'75m'!F$5:K$302,6,FALSE)),"",VLOOKUP(A303,'75m'!F$5:K$302,6,FALSE)))</f>
        <v>PB4</v>
      </c>
      <c r="I303" s="51">
        <f>IF(B303="",0,IF(ISNA(VLOOKUP(A303,'600m'!F$5:J$302,2,FALSE)),0,VLOOKUP(A303,'600m'!F$5:J$302,2,FALSE)))</f>
        <v>1.5729166666666667E-3</v>
      </c>
      <c r="J303" s="49">
        <f>IF(B303="",0,IF(ISNA(_xlfn.XLOOKUP(A303,'600m'!F$5:F$302,'600m'!M$5:M$302)),0,_xlfn.XLOOKUP(A303,'600m'!F$5:F$302,'600m'!M$5:M$302)))</f>
        <v>34</v>
      </c>
      <c r="K303" s="49" t="str">
        <f>IF(B303="","",IF(ISNA(VLOOKUP(A303,'600m'!F$5:K$302,6,FALSE)),"",VLOOKUP(A303,'600m'!F$5:K$302,6,FALSE)))</f>
        <v>PB2</v>
      </c>
      <c r="L303" s="49">
        <f>IF(B303="","",IF(ISNA(VLOOKUP(A303,LongJump!F$5:G$302,2,FALSE)),"",VLOOKUP(A303,LongJump!F$5:G$302,2,FALSE)))</f>
        <v>3.13</v>
      </c>
      <c r="M303" s="49">
        <f>IF(B303="",0,IF(ISNA(_xlfn.XLOOKUP(A303,LongJump!F$5:F$302,LongJump!M$5:M$302)),0,_xlfn.XLOOKUP(A303,LongJump!F$5:F$302,LongJump!M$5:M$302)))</f>
        <v>64</v>
      </c>
      <c r="N303" s="49" t="str">
        <f>IF(B303="","",IF(ISNA(VLOOKUP(A303,LongJump!F$5:K$302,6,FALSE)),0,VLOOKUP(A303,LongJump!F$5:K$302,6,FALSE)))</f>
        <v>PB5</v>
      </c>
      <c r="O303" s="49">
        <f>IF(B303="","",IF(ISNA(VLOOKUP(A303,Vortex!F$5:J$302,2,FALSE)),"",VLOOKUP(A303,Vortex!F$5:J$302,2,FALSE)))</f>
        <v>24.11</v>
      </c>
      <c r="P303" s="49">
        <f>IF(B303="",0,IF(ISNA(_xlfn.XLOOKUP(A303,Vortex!F$5:F$302,Vortex!M$5:M$302)),0,_xlfn.XLOOKUP(A303,Vortex!F$5:F$302,Vortex!M$5:M$302)))</f>
        <v>70</v>
      </c>
      <c r="Q303" s="49">
        <f t="shared" si="22"/>
        <v>226</v>
      </c>
      <c r="R303" s="49" t="str">
        <f t="shared" si="23"/>
        <v/>
      </c>
      <c r="S303" s="49">
        <f t="shared" si="24"/>
        <v>5</v>
      </c>
      <c r="T303" s="49" t="str">
        <f t="shared" si="25"/>
        <v/>
      </c>
      <c r="U303" s="49">
        <f t="shared" si="26"/>
        <v>33</v>
      </c>
    </row>
    <row r="304" spans="1:21">
      <c r="A304" s="49">
        <f>IF(Declarations!B61=0,"",Declarations!B61)</f>
        <v>56</v>
      </c>
      <c r="B304" s="150" t="str">
        <f>IF(ISNA(VLOOKUP(A304,Declarations!B$6:C$185,2,FALSE)),"",IF(VLOOKUP(A304,Declarations!B$6:C$185,2,FALSE)="","",VLOOKUP(A304,Declarations!B$6:C$185,2,FALSE)))</f>
        <v>LEO AMEY</v>
      </c>
      <c r="C304" s="150" t="str">
        <f>IF(ISNA(VLOOKUP(A304,Declarations!B$6:F$185,5,FALSE)),"",IF(VLOOKUP(A304,Declarations!B$6:F$185,5,FALSE)="","",VLOOKUP(A304,Declarations!B$6:F$185,5,FALSE)))</f>
        <v>Poole Runners</v>
      </c>
      <c r="D304" s="150" t="str">
        <f>IF(ISNA(VLOOKUP(A304,Declarations!B$6:F$185,4,FALSE)),"",IF(VLOOKUP(A304,Declarations!B$6:F$185,4,FALSE)="","",VLOOKUP(A304,Declarations!B$6:F$185,4,FALSE)))</f>
        <v>BOYS</v>
      </c>
      <c r="E304" s="150" t="str">
        <f>IF(ISNA(VLOOKUP(A304,Declarations!B$6:D$185,3,FALSE)),"",IF(VLOOKUP(A304,Declarations!B$6:D$185,3,FALSE)="","",VLOOKUP(A304,Declarations!B$6:D$185,3,FALSE)))</f>
        <v>U12</v>
      </c>
      <c r="F304" s="49">
        <f>IF(B304="","",IF(ISNA(VLOOKUP(A304,'75m'!F$5:G$302,2,FALSE)),"",VLOOKUP(A304,'75m'!F$5:G$302,2,FALSE)))</f>
        <v>12</v>
      </c>
      <c r="G304" s="49">
        <f>IF(B304="",0,IF(ISNA(_xlfn.XLOOKUP(A304,'75m'!F$5:F$302,'75m'!M$5:M$302)),0,_xlfn.XLOOKUP(A304,'75m'!F$5:F$302,'75m'!M$5:M$302)))</f>
        <v>80</v>
      </c>
      <c r="H304" s="49" t="str">
        <f>IF(B304="","",IF(ISNA(VLOOKUP(A304,'75m'!F$5:K$302,6,FALSE)),"",VLOOKUP(A304,'75m'!F$5:K$302,6,FALSE)))</f>
        <v>PB7</v>
      </c>
      <c r="I304" s="51">
        <f>IF(B304="",0,IF(ISNA(VLOOKUP(A304,'600m'!F$5:J$302,2,FALSE)),0,VLOOKUP(A304,'600m'!F$5:J$302,2,FALSE)))</f>
        <v>1.4872685185185186E-3</v>
      </c>
      <c r="J304" s="49">
        <f>IF(B304="",0,IF(ISNA(_xlfn.XLOOKUP(A304,'600m'!F$5:F$302,'600m'!M$5:M$302)),0,_xlfn.XLOOKUP(A304,'600m'!F$5:F$302,'600m'!M$5:M$302)))</f>
        <v>43</v>
      </c>
      <c r="K304" s="49" t="str">
        <f>IF(B304="","",IF(ISNA(VLOOKUP(A304,'600m'!F$5:K$302,6,FALSE)),"",VLOOKUP(A304,'600m'!F$5:K$302,6,FALSE)))</f>
        <v>PB3</v>
      </c>
      <c r="L304" s="49">
        <f>IF(B304="","",IF(ISNA(VLOOKUP(A304,LongJump!F$5:G$302,2,FALSE)),"",VLOOKUP(A304,LongJump!F$5:G$302,2,FALSE)))</f>
        <v>3.37</v>
      </c>
      <c r="M304" s="49">
        <f>IF(B304="",0,IF(ISNA(_xlfn.XLOOKUP(A304,LongJump!F$5:F$302,LongJump!M$5:M$302)),0,_xlfn.XLOOKUP(A304,LongJump!F$5:F$302,LongJump!M$5:M$302)))</f>
        <v>74</v>
      </c>
      <c r="N304" s="49" t="str">
        <f>IF(B304="","",IF(ISNA(VLOOKUP(A304,LongJump!F$5:K$302,6,FALSE)),0,VLOOKUP(A304,LongJump!F$5:K$302,6,FALSE)))</f>
        <v>PB6</v>
      </c>
      <c r="O304" s="49">
        <f>IF(B304="","",IF(ISNA(VLOOKUP(A304,Vortex!F$5:J$302,2,FALSE)),"",VLOOKUP(A304,Vortex!F$5:J$302,2,FALSE)))</f>
        <v>33.67</v>
      </c>
      <c r="P304" s="49">
        <f>IF(B304="",0,IF(ISNA(_xlfn.XLOOKUP(A304,Vortex!F$5:F$302,Vortex!M$5:M$302)),0,_xlfn.XLOOKUP(A304,Vortex!F$5:F$302,Vortex!M$5:M$302)))</f>
        <v>118</v>
      </c>
      <c r="Q304" s="49">
        <f t="shared" si="22"/>
        <v>315</v>
      </c>
      <c r="R304" s="49" t="str">
        <f t="shared" si="23"/>
        <v/>
      </c>
      <c r="S304" s="49">
        <f t="shared" si="24"/>
        <v>1</v>
      </c>
      <c r="T304" s="49" t="str">
        <f t="shared" si="25"/>
        <v/>
      </c>
      <c r="U304" s="49">
        <f t="shared" si="26"/>
        <v>11</v>
      </c>
    </row>
    <row r="305" spans="1:21">
      <c r="A305" s="49">
        <f>IF(Declarations!B62=0,"",Declarations!B62)</f>
        <v>57</v>
      </c>
      <c r="B305" s="150" t="str">
        <f>IF(ISNA(VLOOKUP(A305,Declarations!B$6:C$185,2,FALSE)),"",IF(VLOOKUP(A305,Declarations!B$6:C$185,2,FALSE)="","",VLOOKUP(A305,Declarations!B$6:C$185,2,FALSE)))</f>
        <v>SAM SUCKLING</v>
      </c>
      <c r="C305" s="150" t="str">
        <f>IF(ISNA(VLOOKUP(A305,Declarations!B$6:F$185,5,FALSE)),"",IF(VLOOKUP(A305,Declarations!B$6:F$185,5,FALSE)="","",VLOOKUP(A305,Declarations!B$6:F$185,5,FALSE)))</f>
        <v>Poole Runners</v>
      </c>
      <c r="D305" s="150" t="str">
        <f>IF(ISNA(VLOOKUP(A305,Declarations!B$6:F$185,4,FALSE)),"",IF(VLOOKUP(A305,Declarations!B$6:F$185,4,FALSE)="","",VLOOKUP(A305,Declarations!B$6:F$185,4,FALSE)))</f>
        <v>BOYS</v>
      </c>
      <c r="E305" s="150" t="str">
        <f>IF(ISNA(VLOOKUP(A305,Declarations!B$6:D$185,3,FALSE)),"",IF(VLOOKUP(A305,Declarations!B$6:D$185,3,FALSE)="","",VLOOKUP(A305,Declarations!B$6:D$185,3,FALSE)))</f>
        <v>U12</v>
      </c>
      <c r="F305" s="49">
        <f>IF(B305="","",IF(ISNA(VLOOKUP(A305,'75m'!F$5:G$302,2,FALSE)),"",VLOOKUP(A305,'75m'!F$5:G$302,2,FALSE)))</f>
        <v>13.1</v>
      </c>
      <c r="G305" s="49">
        <f>IF(B305="",0,IF(ISNA(_xlfn.XLOOKUP(A305,'75m'!F$5:F$302,'75m'!M$5:M$302)),0,_xlfn.XLOOKUP(A305,'75m'!F$5:F$302,'75m'!M$5:M$302)))</f>
        <v>58</v>
      </c>
      <c r="H305" s="49" t="str">
        <f>IF(B305="","",IF(ISNA(VLOOKUP(A305,'75m'!F$5:K$302,6,FALSE)),"",VLOOKUP(A305,'75m'!F$5:K$302,6,FALSE)))</f>
        <v>PB4</v>
      </c>
      <c r="I305" s="51">
        <f>IF(B305="",0,IF(ISNA(VLOOKUP(A305,'600m'!F$5:J$302,2,FALSE)),0,VLOOKUP(A305,'600m'!F$5:J$302,2,FALSE)))</f>
        <v>1.5671296296296297E-3</v>
      </c>
      <c r="J305" s="49">
        <f>IF(B305="",0,IF(ISNA(_xlfn.XLOOKUP(A305,'600m'!F$5:F$302,'600m'!M$5:M$302)),0,_xlfn.XLOOKUP(A305,'600m'!F$5:F$302,'600m'!M$5:M$302)))</f>
        <v>34</v>
      </c>
      <c r="K305" s="49" t="str">
        <f>IF(B305="","",IF(ISNA(VLOOKUP(A305,'600m'!F$5:K$302,6,FALSE)),"",VLOOKUP(A305,'600m'!F$5:K$302,6,FALSE)))</f>
        <v>PB2</v>
      </c>
      <c r="L305" s="49">
        <f>IF(B305="","",IF(ISNA(VLOOKUP(A305,LongJump!F$5:G$302,2,FALSE)),"",VLOOKUP(A305,LongJump!F$5:G$302,2,FALSE)))</f>
        <v>2.3199999999999998</v>
      </c>
      <c r="M305" s="49">
        <f>IF(B305="",0,IF(ISNA(_xlfn.XLOOKUP(A305,LongJump!F$5:F$302,LongJump!M$5:M$302)),0,_xlfn.XLOOKUP(A305,LongJump!F$5:F$302,LongJump!M$5:M$302)))</f>
        <v>32</v>
      </c>
      <c r="N305" s="49" t="str">
        <f>IF(B305="","",IF(ISNA(VLOOKUP(A305,LongJump!F$5:K$302,6,FALSE)),0,VLOOKUP(A305,LongJump!F$5:K$302,6,FALSE)))</f>
        <v>PB2</v>
      </c>
      <c r="O305" s="49">
        <f>IF(B305="","",IF(ISNA(VLOOKUP(A305,Vortex!F$5:J$302,2,FALSE)),"",VLOOKUP(A305,Vortex!F$5:J$302,2,FALSE)))</f>
        <v>18.059999999999999</v>
      </c>
      <c r="P305" s="49">
        <f>IF(B305="",0,IF(ISNA(_xlfn.XLOOKUP(A305,Vortex!F$5:F$302,Vortex!M$5:M$302)),0,_xlfn.XLOOKUP(A305,Vortex!F$5:F$302,Vortex!M$5:M$302)))</f>
        <v>40</v>
      </c>
      <c r="Q305" s="49">
        <f t="shared" si="22"/>
        <v>164</v>
      </c>
      <c r="R305" s="49" t="str">
        <f t="shared" si="23"/>
        <v/>
      </c>
      <c r="S305" s="49">
        <f t="shared" si="24"/>
        <v>7</v>
      </c>
      <c r="T305" s="49" t="str">
        <f t="shared" si="25"/>
        <v/>
      </c>
      <c r="U305" s="49">
        <f t="shared" si="26"/>
        <v>42</v>
      </c>
    </row>
    <row r="306" spans="1:21">
      <c r="A306" s="49">
        <f>IF(Declarations!B63=0,"",Declarations!B63)</f>
        <v>58</v>
      </c>
      <c r="B306" s="150" t="str">
        <f>IF(ISNA(VLOOKUP(A306,Declarations!B$6:C$185,2,FALSE)),"",IF(VLOOKUP(A306,Declarations!B$6:C$185,2,FALSE)="","",VLOOKUP(A306,Declarations!B$6:C$185,2,FALSE)))</f>
        <v>FINLAY KENYON</v>
      </c>
      <c r="C306" s="150" t="str">
        <f>IF(ISNA(VLOOKUP(A306,Declarations!B$6:F$185,5,FALSE)),"",IF(VLOOKUP(A306,Declarations!B$6:F$185,5,FALSE)="","",VLOOKUP(A306,Declarations!B$6:F$185,5,FALSE)))</f>
        <v>Poole Runners</v>
      </c>
      <c r="D306" s="150" t="str">
        <f>IF(ISNA(VLOOKUP(A306,Declarations!B$6:F$185,4,FALSE)),"",IF(VLOOKUP(A306,Declarations!B$6:F$185,4,FALSE)="","",VLOOKUP(A306,Declarations!B$6:F$185,4,FALSE)))</f>
        <v>BOYS</v>
      </c>
      <c r="E306" s="150" t="str">
        <f>IF(ISNA(VLOOKUP(A306,Declarations!B$6:D$185,3,FALSE)),"",IF(VLOOKUP(A306,Declarations!B$6:D$185,3,FALSE)="","",VLOOKUP(A306,Declarations!B$6:D$185,3,FALSE)))</f>
        <v>U12</v>
      </c>
      <c r="F306" s="49">
        <f>IF(B306="","",IF(ISNA(VLOOKUP(A306,'75m'!F$5:G$302,2,FALSE)),"",VLOOKUP(A306,'75m'!F$5:G$302,2,FALSE)))</f>
        <v>12</v>
      </c>
      <c r="G306" s="49">
        <f>IF(B306="",0,IF(ISNA(_xlfn.XLOOKUP(A306,'75m'!F$5:F$302,'75m'!M$5:M$302)),0,_xlfn.XLOOKUP(A306,'75m'!F$5:F$302,'75m'!M$5:M$302)))</f>
        <v>80</v>
      </c>
      <c r="H306" s="49" t="str">
        <f>IF(B306="","",IF(ISNA(VLOOKUP(A306,'75m'!F$5:K$302,6,FALSE)),"",VLOOKUP(A306,'75m'!F$5:K$302,6,FALSE)))</f>
        <v>PB7</v>
      </c>
      <c r="I306" s="51">
        <f>IF(B306="",0,IF(ISNA(VLOOKUP(A306,'600m'!F$5:J$302,2,FALSE)),0,VLOOKUP(A306,'600m'!F$5:J$302,2,FALSE)))</f>
        <v>1.3541666666666667E-3</v>
      </c>
      <c r="J306" s="49">
        <f>IF(B306="",0,IF(ISNA(_xlfn.XLOOKUP(A306,'600m'!F$5:F$302,'600m'!M$5:M$302)),0,_xlfn.XLOOKUP(A306,'600m'!F$5:F$302,'600m'!M$5:M$302)))</f>
        <v>66</v>
      </c>
      <c r="K306" s="49" t="str">
        <f>IF(B306="","",IF(ISNA(VLOOKUP(A306,'600m'!F$5:K$302,6,FALSE)),"",VLOOKUP(A306,'600m'!F$5:K$302,6,FALSE)))</f>
        <v>PB5</v>
      </c>
      <c r="L306" s="49">
        <f>IF(B306="","",IF(ISNA(VLOOKUP(A306,LongJump!F$5:G$302,2,FALSE)),"",VLOOKUP(A306,LongJump!F$5:G$302,2,FALSE)))</f>
        <v>3.33</v>
      </c>
      <c r="M306" s="49">
        <f>IF(B306="",0,IF(ISNA(_xlfn.XLOOKUP(A306,LongJump!F$5:F$302,LongJump!M$5:M$302)),0,_xlfn.XLOOKUP(A306,LongJump!F$5:F$302,LongJump!M$5:M$302)))</f>
        <v>72</v>
      </c>
      <c r="N306" s="49" t="str">
        <f>IF(B306="","",IF(ISNA(VLOOKUP(A306,LongJump!F$5:K$302,6,FALSE)),0,VLOOKUP(A306,LongJump!F$5:K$302,6,FALSE)))</f>
        <v>PB6</v>
      </c>
      <c r="O306" s="49">
        <f>IF(B306="","",IF(ISNA(VLOOKUP(A306,Vortex!F$5:J$302,2,FALSE)),"",VLOOKUP(A306,Vortex!F$5:J$302,2,FALSE)))</f>
        <v>21.39</v>
      </c>
      <c r="P306" s="49">
        <f>IF(B306="",0,IF(ISNA(_xlfn.XLOOKUP(A306,Vortex!F$5:F$302,Vortex!M$5:M$302)),0,_xlfn.XLOOKUP(A306,Vortex!F$5:F$302,Vortex!M$5:M$302)))</f>
        <v>56</v>
      </c>
      <c r="Q306" s="49">
        <f t="shared" si="22"/>
        <v>274</v>
      </c>
      <c r="R306" s="49" t="str">
        <f t="shared" si="23"/>
        <v/>
      </c>
      <c r="S306" s="49">
        <f t="shared" si="24"/>
        <v>3</v>
      </c>
      <c r="T306" s="49" t="str">
        <f t="shared" si="25"/>
        <v/>
      </c>
      <c r="U306" s="49">
        <f t="shared" si="26"/>
        <v>21</v>
      </c>
    </row>
    <row r="307" spans="1:21">
      <c r="A307" s="49">
        <f>IF(Declarations!B64=0,"",Declarations!B64)</f>
        <v>59</v>
      </c>
      <c r="B307" s="150" t="str">
        <f>IF(ISNA(VLOOKUP(A307,Declarations!B$6:C$185,2,FALSE)),"",IF(VLOOKUP(A307,Declarations!B$6:C$185,2,FALSE)="","",VLOOKUP(A307,Declarations!B$6:C$185,2,FALSE)))</f>
        <v/>
      </c>
      <c r="C307" s="150" t="str">
        <f>IF(ISNA(VLOOKUP(A307,Declarations!B$6:F$185,5,FALSE)),"",IF(VLOOKUP(A307,Declarations!B$6:F$185,5,FALSE)="","",VLOOKUP(A307,Declarations!B$6:F$185,5,FALSE)))</f>
        <v>Poole Runners</v>
      </c>
      <c r="D307" s="150" t="str">
        <f>IF(ISNA(VLOOKUP(A307,Declarations!B$6:F$185,4,FALSE)),"",IF(VLOOKUP(A307,Declarations!B$6:F$185,4,FALSE)="","",VLOOKUP(A307,Declarations!B$6:F$185,4,FALSE)))</f>
        <v>BOYS</v>
      </c>
      <c r="E307" s="150" t="str">
        <f>IF(ISNA(VLOOKUP(A307,Declarations!B$6:D$185,3,FALSE)),"",IF(VLOOKUP(A307,Declarations!B$6:D$185,3,FALSE)="","",VLOOKUP(A307,Declarations!B$6:D$185,3,FALSE)))</f>
        <v>U12</v>
      </c>
      <c r="F307" s="49" t="str">
        <f>IF(B307="","",IF(ISNA(VLOOKUP(A307,'75m'!F$5:G$302,2,FALSE)),"",VLOOKUP(A307,'75m'!F$5:G$302,2,FALSE)))</f>
        <v/>
      </c>
      <c r="G307" s="49">
        <f>IF(B307="",0,IF(ISNA(_xlfn.XLOOKUP(A307,'75m'!F$5:F$302,'75m'!M$5:M$302)),0,_xlfn.XLOOKUP(A307,'75m'!F$5:F$302,'75m'!M$5:M$302)))</f>
        <v>0</v>
      </c>
      <c r="H307" s="49" t="str">
        <f>IF(B307="","",IF(ISNA(VLOOKUP(A307,'75m'!F$5:K$302,6,FALSE)),"",VLOOKUP(A307,'75m'!F$5:K$302,6,FALSE)))</f>
        <v/>
      </c>
      <c r="I307" s="51">
        <f>IF(B307="",0,IF(ISNA(VLOOKUP(A307,'600m'!F$5:J$302,2,FALSE)),0,VLOOKUP(A307,'600m'!F$5:J$302,2,FALSE)))</f>
        <v>0</v>
      </c>
      <c r="J307" s="49">
        <f>IF(B307="",0,IF(ISNA(_xlfn.XLOOKUP(A307,'600m'!F$5:F$302,'600m'!M$5:M$302)),0,_xlfn.XLOOKUP(A307,'600m'!F$5:F$302,'600m'!M$5:M$302)))</f>
        <v>0</v>
      </c>
      <c r="K307" s="49" t="str">
        <f>IF(B307="","",IF(ISNA(VLOOKUP(A307,'600m'!F$5:K$302,6,FALSE)),"",VLOOKUP(A307,'600m'!F$5:K$302,6,FALSE)))</f>
        <v/>
      </c>
      <c r="L307" s="49" t="str">
        <f>IF(B307="","",IF(ISNA(VLOOKUP(A307,LongJump!F$5:G$302,2,FALSE)),"",VLOOKUP(A307,LongJump!F$5:G$302,2,FALSE)))</f>
        <v/>
      </c>
      <c r="M307" s="49">
        <f>IF(B307="",0,IF(ISNA(_xlfn.XLOOKUP(A307,LongJump!F$5:F$302,LongJump!M$5:M$302)),0,_xlfn.XLOOKUP(A307,LongJump!F$5:F$302,LongJump!M$5:M$302)))</f>
        <v>0</v>
      </c>
      <c r="N307" s="49" t="str">
        <f>IF(B307="","",IF(ISNA(VLOOKUP(A307,LongJump!F$5:K$302,6,FALSE)),0,VLOOKUP(A307,LongJump!F$5:K$302,6,FALSE)))</f>
        <v/>
      </c>
      <c r="O307" s="49" t="str">
        <f>IF(B307="","",IF(ISNA(VLOOKUP(A307,Vortex!F$5:J$302,2,FALSE)),"",VLOOKUP(A307,Vortex!F$5:J$302,2,FALSE)))</f>
        <v/>
      </c>
      <c r="P307" s="49">
        <f>IF(B307="",0,IF(ISNA(_xlfn.XLOOKUP(A307,Vortex!F$5:F$302,Vortex!M$5:M$302)),0,_xlfn.XLOOKUP(A307,Vortex!F$5:F$302,Vortex!M$5:M$302)))</f>
        <v>0</v>
      </c>
      <c r="Q307" s="49">
        <f t="shared" si="22"/>
        <v>0</v>
      </c>
      <c r="R307" s="49" t="str">
        <f t="shared" si="23"/>
        <v/>
      </c>
      <c r="S307" s="49" t="str">
        <f t="shared" si="24"/>
        <v/>
      </c>
      <c r="T307" s="49" t="str">
        <f t="shared" si="25"/>
        <v/>
      </c>
      <c r="U307" s="49" t="str">
        <f t="shared" si="26"/>
        <v/>
      </c>
    </row>
    <row r="308" spans="1:21">
      <c r="A308" s="49">
        <f>IF(Declarations!B65=0,"",Declarations!B65)</f>
        <v>60</v>
      </c>
      <c r="B308" s="150" t="str">
        <f>IF(ISNA(VLOOKUP(A308,Declarations!B$6:C$185,2,FALSE)),"",IF(VLOOKUP(A308,Declarations!B$6:C$185,2,FALSE)="","",VLOOKUP(A308,Declarations!B$6:C$185,2,FALSE)))</f>
        <v/>
      </c>
      <c r="C308" s="150" t="str">
        <f>IF(ISNA(VLOOKUP(A308,Declarations!B$6:F$185,5,FALSE)),"",IF(VLOOKUP(A308,Declarations!B$6:F$185,5,FALSE)="","",VLOOKUP(A308,Declarations!B$6:F$185,5,FALSE)))</f>
        <v>Poole Runners</v>
      </c>
      <c r="D308" s="150" t="str">
        <f>IF(ISNA(VLOOKUP(A308,Declarations!B$6:F$185,4,FALSE)),"",IF(VLOOKUP(A308,Declarations!B$6:F$185,4,FALSE)="","",VLOOKUP(A308,Declarations!B$6:F$185,4,FALSE)))</f>
        <v>BOYS</v>
      </c>
      <c r="E308" s="150" t="str">
        <f>IF(ISNA(VLOOKUP(A308,Declarations!B$6:D$185,3,FALSE)),"",IF(VLOOKUP(A308,Declarations!B$6:D$185,3,FALSE)="","",VLOOKUP(A308,Declarations!B$6:D$185,3,FALSE)))</f>
        <v>U12</v>
      </c>
      <c r="F308" s="49" t="str">
        <f>IF(B308="","",IF(ISNA(VLOOKUP(A308,'75m'!F$5:G$302,2,FALSE)),"",VLOOKUP(A308,'75m'!F$5:G$302,2,FALSE)))</f>
        <v/>
      </c>
      <c r="G308" s="49">
        <f>IF(B308="",0,IF(ISNA(_xlfn.XLOOKUP(A308,'75m'!F$5:F$302,'75m'!M$5:M$302)),0,_xlfn.XLOOKUP(A308,'75m'!F$5:F$302,'75m'!M$5:M$302)))</f>
        <v>0</v>
      </c>
      <c r="H308" s="49" t="str">
        <f>IF(B308="","",IF(ISNA(VLOOKUP(A308,'75m'!F$5:K$302,6,FALSE)),"",VLOOKUP(A308,'75m'!F$5:K$302,6,FALSE)))</f>
        <v/>
      </c>
      <c r="I308" s="51">
        <f>IF(B308="",0,IF(ISNA(VLOOKUP(A308,'600m'!F$5:J$302,2,FALSE)),0,VLOOKUP(A308,'600m'!F$5:J$302,2,FALSE)))</f>
        <v>0</v>
      </c>
      <c r="J308" s="49">
        <f>IF(B308="",0,IF(ISNA(_xlfn.XLOOKUP(A308,'600m'!F$5:F$302,'600m'!M$5:M$302)),0,_xlfn.XLOOKUP(A308,'600m'!F$5:F$302,'600m'!M$5:M$302)))</f>
        <v>0</v>
      </c>
      <c r="K308" s="49" t="str">
        <f>IF(B308="","",IF(ISNA(VLOOKUP(A308,'600m'!F$5:K$302,6,FALSE)),"",VLOOKUP(A308,'600m'!F$5:K$302,6,FALSE)))</f>
        <v/>
      </c>
      <c r="L308" s="49" t="str">
        <f>IF(B308="","",IF(ISNA(VLOOKUP(A308,LongJump!F$5:G$302,2,FALSE)),"",VLOOKUP(A308,LongJump!F$5:G$302,2,FALSE)))</f>
        <v/>
      </c>
      <c r="M308" s="49">
        <f>IF(B308="",0,IF(ISNA(_xlfn.XLOOKUP(A308,LongJump!F$5:F$302,LongJump!M$5:M$302)),0,_xlfn.XLOOKUP(A308,LongJump!F$5:F$302,LongJump!M$5:M$302)))</f>
        <v>0</v>
      </c>
      <c r="N308" s="49" t="str">
        <f>IF(B308="","",IF(ISNA(VLOOKUP(A308,LongJump!F$5:K$302,6,FALSE)),0,VLOOKUP(A308,LongJump!F$5:K$302,6,FALSE)))</f>
        <v/>
      </c>
      <c r="O308" s="49" t="str">
        <f>IF(B308="","",IF(ISNA(VLOOKUP(A308,Vortex!F$5:J$302,2,FALSE)),"",VLOOKUP(A308,Vortex!F$5:J$302,2,FALSE)))</f>
        <v/>
      </c>
      <c r="P308" s="49">
        <f>IF(B308="",0,IF(ISNA(_xlfn.XLOOKUP(A308,Vortex!F$5:F$302,Vortex!M$5:M$302)),0,_xlfn.XLOOKUP(A308,Vortex!F$5:F$302,Vortex!M$5:M$302)))</f>
        <v>0</v>
      </c>
      <c r="Q308" s="49">
        <f t="shared" si="22"/>
        <v>0</v>
      </c>
      <c r="R308" s="49" t="str">
        <f t="shared" si="23"/>
        <v/>
      </c>
      <c r="S308" s="49" t="str">
        <f t="shared" si="24"/>
        <v/>
      </c>
      <c r="T308" s="49" t="str">
        <f t="shared" si="25"/>
        <v/>
      </c>
      <c r="U308" s="49" t="str">
        <f t="shared" si="26"/>
        <v/>
      </c>
    </row>
    <row r="309" spans="1:21">
      <c r="A309" s="49">
        <f>IF(Declarations!B66=0,"",Declarations!B66)</f>
        <v>61</v>
      </c>
      <c r="B309" s="150" t="str">
        <f>IF(ISNA(VLOOKUP(A309,Declarations!B$6:C$185,2,FALSE)),"",IF(VLOOKUP(A309,Declarations!B$6:C$185,2,FALSE)="","",VLOOKUP(A309,Declarations!B$6:C$185,2,FALSE)))</f>
        <v>MARCY POWER</v>
      </c>
      <c r="C309" s="150" t="str">
        <f>IF(ISNA(VLOOKUP(A309,Declarations!B$6:F$185,5,FALSE)),"",IF(VLOOKUP(A309,Declarations!B$6:F$185,5,FALSE)="","",VLOOKUP(A309,Declarations!B$6:F$185,5,FALSE)))</f>
        <v>Fleet &amp; Crookham AC</v>
      </c>
      <c r="D309" s="150" t="str">
        <f>IF(ISNA(VLOOKUP(A309,Declarations!B$6:F$185,4,FALSE)),"",IF(VLOOKUP(A309,Declarations!B$6:F$185,4,FALSE)="","",VLOOKUP(A309,Declarations!B$6:F$185,4,FALSE)))</f>
        <v>GIRLS</v>
      </c>
      <c r="E309" s="150" t="str">
        <f>IF(ISNA(VLOOKUP(A309,Declarations!B$6:D$185,3,FALSE)),"",IF(VLOOKUP(A309,Declarations!B$6:D$185,3,FALSE)="","",VLOOKUP(A309,Declarations!B$6:D$185,3,FALSE)))</f>
        <v>U12</v>
      </c>
      <c r="F309" s="49">
        <f>IF(B309="","",IF(ISNA(VLOOKUP(A309,'75m'!F$5:G$302,2,FALSE)),"",VLOOKUP(A309,'75m'!F$5:G$302,2,FALSE)))</f>
        <v>11.7</v>
      </c>
      <c r="G309" s="49">
        <f>IF(B309="",0,IF(ISNA(_xlfn.XLOOKUP(A309,'75m'!F$5:F$302,'75m'!M$5:M$302)),0,_xlfn.XLOOKUP(A309,'75m'!F$5:F$302,'75m'!M$5:M$302)))</f>
        <v>100</v>
      </c>
      <c r="H309" s="49" t="str">
        <f>IF(B309="","",IF(ISNA(VLOOKUP(A309,'75m'!F$5:K$302,6,FALSE)),"",VLOOKUP(A309,'75m'!F$5:K$302,6,FALSE)))</f>
        <v>PB9</v>
      </c>
      <c r="I309" s="51">
        <f>IF(B309="",0,IF(ISNA(VLOOKUP(A309,'600m'!F$5:J$302,2,FALSE)),0,VLOOKUP(A309,'600m'!F$5:J$302,2,FALSE)))</f>
        <v>1.3506944444444445E-3</v>
      </c>
      <c r="J309" s="49">
        <f>IF(B309="",0,IF(ISNA(_xlfn.XLOOKUP(A309,'600m'!F$5:F$302,'600m'!M$5:M$302)),0,_xlfn.XLOOKUP(A309,'600m'!F$5:F$302,'600m'!M$5:M$302)))</f>
        <v>86</v>
      </c>
      <c r="K309" s="49" t="str">
        <f>IF(B309="","",IF(ISNA(VLOOKUP(A309,'600m'!F$5:K$302,6,FALSE)),"",VLOOKUP(A309,'600m'!F$5:K$302,6,FALSE)))</f>
        <v>PB6</v>
      </c>
      <c r="L309" s="49">
        <f>IF(B309="","",IF(ISNA(VLOOKUP(A309,LongJump!F$5:G$302,2,FALSE)),"",VLOOKUP(A309,LongJump!F$5:G$302,2,FALSE)))</f>
        <v>3.59</v>
      </c>
      <c r="M309" s="49">
        <f>IF(B309="",0,IF(ISNA(_xlfn.XLOOKUP(A309,LongJump!F$5:F$302,LongJump!M$5:M$302)),0,_xlfn.XLOOKUP(A309,LongJump!F$5:F$302,LongJump!M$5:M$302)))</f>
        <v>93</v>
      </c>
      <c r="N309" s="49" t="str">
        <f>IF(B309="","",IF(ISNA(VLOOKUP(A309,LongJump!F$5:K$302,6,FALSE)),0,VLOOKUP(A309,LongJump!F$5:K$302,6,FALSE)))</f>
        <v>PB8</v>
      </c>
      <c r="O309" s="49">
        <f>IF(B309="","",IF(ISNA(VLOOKUP(A309,Vortex!F$5:J$302,2,FALSE)),"",VLOOKUP(A309,Vortex!F$5:J$302,2,FALSE)))</f>
        <v>23.89</v>
      </c>
      <c r="P309" s="49">
        <f>IF(B309="",0,IF(ISNA(_xlfn.XLOOKUP(A309,Vortex!F$5:F$302,Vortex!M$5:M$302)),0,_xlfn.XLOOKUP(A309,Vortex!F$5:F$302,Vortex!M$5:M$302)))</f>
        <v>79</v>
      </c>
      <c r="Q309" s="49">
        <f t="shared" si="22"/>
        <v>358</v>
      </c>
      <c r="R309" s="49" t="str">
        <f t="shared" si="23"/>
        <v/>
      </c>
      <c r="S309" s="49">
        <f t="shared" si="24"/>
        <v>1</v>
      </c>
      <c r="T309" s="49" t="str">
        <f t="shared" si="25"/>
        <v/>
      </c>
      <c r="U309" s="49">
        <f t="shared" si="26"/>
        <v>1</v>
      </c>
    </row>
    <row r="310" spans="1:21">
      <c r="A310" s="49">
        <f>IF(Declarations!B67=0,"",Declarations!B67)</f>
        <v>62</v>
      </c>
      <c r="B310" s="150" t="str">
        <f>IF(ISNA(VLOOKUP(A310,Declarations!B$6:C$185,2,FALSE)),"",IF(VLOOKUP(A310,Declarations!B$6:C$185,2,FALSE)="","",VLOOKUP(A310,Declarations!B$6:C$185,2,FALSE)))</f>
        <v>OTTILE WHITE</v>
      </c>
      <c r="C310" s="150" t="str">
        <f>IF(ISNA(VLOOKUP(A310,Declarations!B$6:F$185,5,FALSE)),"",IF(VLOOKUP(A310,Declarations!B$6:F$185,5,FALSE)="","",VLOOKUP(A310,Declarations!B$6:F$185,5,FALSE)))</f>
        <v>Fleet &amp; Crookham AC</v>
      </c>
      <c r="D310" s="150" t="str">
        <f>IF(ISNA(VLOOKUP(A310,Declarations!B$6:F$185,4,FALSE)),"",IF(VLOOKUP(A310,Declarations!B$6:F$185,4,FALSE)="","",VLOOKUP(A310,Declarations!B$6:F$185,4,FALSE)))</f>
        <v>GIRLS</v>
      </c>
      <c r="E310" s="150" t="str">
        <f>IF(ISNA(VLOOKUP(A310,Declarations!B$6:D$185,3,FALSE)),"",IF(VLOOKUP(A310,Declarations!B$6:D$185,3,FALSE)="","",VLOOKUP(A310,Declarations!B$6:D$185,3,FALSE)))</f>
        <v>U12</v>
      </c>
      <c r="F310" s="49">
        <f>IF(B310="","",IF(ISNA(VLOOKUP(A310,'75m'!F$5:G$302,2,FALSE)),"",VLOOKUP(A310,'75m'!F$5:G$302,2,FALSE)))</f>
        <v>12.3</v>
      </c>
      <c r="G310" s="49">
        <f>IF(B310="",0,IF(ISNA(_xlfn.XLOOKUP(A310,'75m'!F$5:F$302,'75m'!M$5:M$302)),0,_xlfn.XLOOKUP(A310,'75m'!F$5:F$302,'75m'!M$5:M$302)))</f>
        <v>85</v>
      </c>
      <c r="H310" s="49" t="str">
        <f>IF(B310="","",IF(ISNA(VLOOKUP(A310,'75m'!F$5:K$302,6,FALSE)),"",VLOOKUP(A310,'75m'!F$5:K$302,6,FALSE)))</f>
        <v>PB7</v>
      </c>
      <c r="I310" s="51">
        <f>IF(B310="",0,IF(ISNA(VLOOKUP(A310,'600m'!F$5:J$302,2,FALSE)),0,VLOOKUP(A310,'600m'!F$5:J$302,2,FALSE)))</f>
        <v>1.517361111111111E-3</v>
      </c>
      <c r="J310" s="49">
        <f>IF(B310="",0,IF(ISNA(_xlfn.XLOOKUP(A310,'600m'!F$5:F$302,'600m'!M$5:M$302)),0,_xlfn.XLOOKUP(A310,'600m'!F$5:F$302,'600m'!M$5:M$302)))</f>
        <v>57</v>
      </c>
      <c r="K310" s="49" t="str">
        <f>IF(B310="","",IF(ISNA(VLOOKUP(A310,'600m'!F$5:K$302,6,FALSE)),"",VLOOKUP(A310,'600m'!F$5:K$302,6,FALSE)))</f>
        <v>PB3</v>
      </c>
      <c r="L310" s="49">
        <f>IF(B310="","",IF(ISNA(VLOOKUP(A310,LongJump!F$5:G$302,2,FALSE)),"",VLOOKUP(A310,LongJump!F$5:G$302,2,FALSE)))</f>
        <v>3.15</v>
      </c>
      <c r="M310" s="49">
        <f>IF(B310="",0,IF(ISNA(_xlfn.XLOOKUP(A310,LongJump!F$5:F$302,LongJump!M$5:M$302)),0,_xlfn.XLOOKUP(A310,LongJump!F$5:F$302,LongJump!M$5:M$302)))</f>
        <v>75</v>
      </c>
      <c r="N310" s="49" t="str">
        <f>IF(B310="","",IF(ISNA(VLOOKUP(A310,LongJump!F$5:K$302,6,FALSE)),0,VLOOKUP(A310,LongJump!F$5:K$302,6,FALSE)))</f>
        <v>PB6</v>
      </c>
      <c r="O310" s="49">
        <f>IF(B310="","",IF(ISNA(VLOOKUP(A310,Vortex!F$5:J$302,2,FALSE)),"",VLOOKUP(A310,Vortex!F$5:J$302,2,FALSE)))</f>
        <v>18.93</v>
      </c>
      <c r="P310" s="49">
        <f>IF(B310="",0,IF(ISNA(_xlfn.XLOOKUP(A310,Vortex!F$5:F$302,Vortex!M$5:M$302)),0,_xlfn.XLOOKUP(A310,Vortex!F$5:F$302,Vortex!M$5:M$302)))</f>
        <v>54</v>
      </c>
      <c r="Q310" s="49">
        <f t="shared" si="22"/>
        <v>271</v>
      </c>
      <c r="R310" s="49" t="str">
        <f t="shared" si="23"/>
        <v/>
      </c>
      <c r="S310" s="49">
        <f t="shared" si="24"/>
        <v>4</v>
      </c>
      <c r="T310" s="49" t="str">
        <f t="shared" si="25"/>
        <v/>
      </c>
      <c r="U310" s="49">
        <f t="shared" si="26"/>
        <v>17</v>
      </c>
    </row>
    <row r="311" spans="1:21">
      <c r="A311" s="49">
        <f>IF(Declarations!B68=0,"",Declarations!B68)</f>
        <v>63</v>
      </c>
      <c r="B311" s="150" t="str">
        <f>IF(ISNA(VLOOKUP(A311,Declarations!B$6:C$185,2,FALSE)),"",IF(VLOOKUP(A311,Declarations!B$6:C$185,2,FALSE)="","",VLOOKUP(A311,Declarations!B$6:C$185,2,FALSE)))</f>
        <v>BETH JOHNSTON</v>
      </c>
      <c r="C311" s="150" t="str">
        <f>IF(ISNA(VLOOKUP(A311,Declarations!B$6:F$185,5,FALSE)),"",IF(VLOOKUP(A311,Declarations!B$6:F$185,5,FALSE)="","",VLOOKUP(A311,Declarations!B$6:F$185,5,FALSE)))</f>
        <v>Fleet &amp; Crookham AC</v>
      </c>
      <c r="D311" s="150" t="str">
        <f>IF(ISNA(VLOOKUP(A311,Declarations!B$6:F$185,4,FALSE)),"",IF(VLOOKUP(A311,Declarations!B$6:F$185,4,FALSE)="","",VLOOKUP(A311,Declarations!B$6:F$185,4,FALSE)))</f>
        <v>GIRLS</v>
      </c>
      <c r="E311" s="150" t="str">
        <f>IF(ISNA(VLOOKUP(A311,Declarations!B$6:D$185,3,FALSE)),"",IF(VLOOKUP(A311,Declarations!B$6:D$185,3,FALSE)="","",VLOOKUP(A311,Declarations!B$6:D$185,3,FALSE)))</f>
        <v>U12</v>
      </c>
      <c r="F311" s="49">
        <f>IF(B311="","",IF(ISNA(VLOOKUP(A311,'75m'!F$5:G$302,2,FALSE)),"",VLOOKUP(A311,'75m'!F$5:G$302,2,FALSE)))</f>
        <v>12.6</v>
      </c>
      <c r="G311" s="49">
        <f>IF(B311="",0,IF(ISNA(_xlfn.XLOOKUP(A311,'75m'!F$5:F$302,'75m'!M$5:M$302)),0,_xlfn.XLOOKUP(A311,'75m'!F$5:F$302,'75m'!M$5:M$302)))</f>
        <v>78</v>
      </c>
      <c r="H311" s="49" t="str">
        <f>IF(B311="","",IF(ISNA(VLOOKUP(A311,'75m'!F$5:K$302,6,FALSE)),"",VLOOKUP(A311,'75m'!F$5:K$302,6,FALSE)))</f>
        <v>PB6</v>
      </c>
      <c r="I311" s="51">
        <f>IF(B311="",0,IF(ISNA(VLOOKUP(A311,'600m'!F$5:J$302,2,FALSE)),0,VLOOKUP(A311,'600m'!F$5:J$302,2,FALSE)))</f>
        <v>1.5798611111111111E-3</v>
      </c>
      <c r="J311" s="49">
        <f>IF(B311="",0,IF(ISNA(_xlfn.XLOOKUP(A311,'600m'!F$5:F$302,'600m'!M$5:M$302)),0,_xlfn.XLOOKUP(A311,'600m'!F$5:F$302,'600m'!M$5:M$302)))</f>
        <v>47</v>
      </c>
      <c r="K311" s="49" t="str">
        <f>IF(B311="","",IF(ISNA(VLOOKUP(A311,'600m'!F$5:K$302,6,FALSE)),"",VLOOKUP(A311,'600m'!F$5:K$302,6,FALSE)))</f>
        <v>PB2</v>
      </c>
      <c r="L311" s="49">
        <f>IF(B311="","",IF(ISNA(VLOOKUP(A311,LongJump!F$5:G$302,2,FALSE)),"",VLOOKUP(A311,LongJump!F$5:G$302,2,FALSE)))</f>
        <v>2.75</v>
      </c>
      <c r="M311" s="49">
        <f>IF(B311="",0,IF(ISNA(_xlfn.XLOOKUP(A311,LongJump!F$5:F$302,LongJump!M$5:M$302)),0,_xlfn.XLOOKUP(A311,LongJump!F$5:F$302,LongJump!M$5:M$302)))</f>
        <v>60</v>
      </c>
      <c r="N311" s="49" t="str">
        <f>IF(B311="","",IF(ISNA(VLOOKUP(A311,LongJump!F$5:K$302,6,FALSE)),0,VLOOKUP(A311,LongJump!F$5:K$302,6,FALSE)))</f>
        <v>PB5</v>
      </c>
      <c r="O311" s="49">
        <f>IF(B311="","",IF(ISNA(VLOOKUP(A311,Vortex!F$5:J$302,2,FALSE)),"",VLOOKUP(A311,Vortex!F$5:J$302,2,FALSE)))</f>
        <v>10.99</v>
      </c>
      <c r="P311" s="49">
        <f>IF(B311="",0,IF(ISNA(_xlfn.XLOOKUP(A311,Vortex!F$5:F$302,Vortex!M$5:M$302)),0,_xlfn.XLOOKUP(A311,Vortex!F$5:F$302,Vortex!M$5:M$302)))</f>
        <v>17</v>
      </c>
      <c r="Q311" s="49">
        <f t="shared" si="22"/>
        <v>202</v>
      </c>
      <c r="R311" s="49" t="str">
        <f t="shared" si="23"/>
        <v/>
      </c>
      <c r="S311" s="49">
        <f t="shared" si="24"/>
        <v>6</v>
      </c>
      <c r="T311" s="49" t="str">
        <f t="shared" si="25"/>
        <v/>
      </c>
      <c r="U311" s="49">
        <f t="shared" si="26"/>
        <v>37</v>
      </c>
    </row>
    <row r="312" spans="1:21">
      <c r="A312" s="49">
        <f>IF(Declarations!B69=0,"",Declarations!B69)</f>
        <v>64</v>
      </c>
      <c r="B312" s="150" t="str">
        <f>IF(ISNA(VLOOKUP(A312,Declarations!B$6:C$185,2,FALSE)),"",IF(VLOOKUP(A312,Declarations!B$6:C$185,2,FALSE)="","",VLOOKUP(A312,Declarations!B$6:C$185,2,FALSE)))</f>
        <v>MATILDA FLINT</v>
      </c>
      <c r="C312" s="150" t="str">
        <f>IF(ISNA(VLOOKUP(A312,Declarations!B$6:F$185,5,FALSE)),"",IF(VLOOKUP(A312,Declarations!B$6:F$185,5,FALSE)="","",VLOOKUP(A312,Declarations!B$6:F$185,5,FALSE)))</f>
        <v>Fleet &amp; Crookham AC</v>
      </c>
      <c r="D312" s="150" t="str">
        <f>IF(ISNA(VLOOKUP(A312,Declarations!B$6:F$185,4,FALSE)),"",IF(VLOOKUP(A312,Declarations!B$6:F$185,4,FALSE)="","",VLOOKUP(A312,Declarations!B$6:F$185,4,FALSE)))</f>
        <v>GIRLS</v>
      </c>
      <c r="E312" s="150" t="str">
        <f>IF(ISNA(VLOOKUP(A312,Declarations!B$6:D$185,3,FALSE)),"",IF(VLOOKUP(A312,Declarations!B$6:D$185,3,FALSE)="","",VLOOKUP(A312,Declarations!B$6:D$185,3,FALSE)))</f>
        <v>U12</v>
      </c>
      <c r="F312" s="49">
        <f>IF(B312="","",IF(ISNA(VLOOKUP(A312,'75m'!F$5:G$302,2,FALSE)),"",VLOOKUP(A312,'75m'!F$5:G$302,2,FALSE)))</f>
        <v>11.3</v>
      </c>
      <c r="G312" s="49">
        <f>IF(B312="",0,IF(ISNA(_xlfn.XLOOKUP(A312,'75m'!F$5:F$302,'75m'!M$5:M$302)),0,_xlfn.XLOOKUP(A312,'75m'!F$5:F$302,'75m'!M$5:M$302)))</f>
        <v>108</v>
      </c>
      <c r="H312" s="49" t="str">
        <f>IF(B312="","",IF(ISNA(VLOOKUP(A312,'75m'!F$5:K$302,6,FALSE)),"",VLOOKUP(A312,'75m'!F$5:K$302,6,FALSE)))</f>
        <v>PB9</v>
      </c>
      <c r="I312" s="51">
        <f>IF(B312="",0,IF(ISNA(VLOOKUP(A312,'600m'!F$5:J$302,2,FALSE)),0,VLOOKUP(A312,'600m'!F$5:J$302,2,FALSE)))</f>
        <v>1.4872685185185186E-3</v>
      </c>
      <c r="J312" s="49">
        <f>IF(B312="",0,IF(ISNA(_xlfn.XLOOKUP(A312,'600m'!F$5:F$302,'600m'!M$5:M$302)),0,_xlfn.XLOOKUP(A312,'600m'!F$5:F$302,'600m'!M$5:M$302)))</f>
        <v>63</v>
      </c>
      <c r="K312" s="49" t="str">
        <f>IF(B312="","",IF(ISNA(VLOOKUP(A312,'600m'!F$5:K$302,6,FALSE)),"",VLOOKUP(A312,'600m'!F$5:K$302,6,FALSE)))</f>
        <v>PB4</v>
      </c>
      <c r="L312" s="49">
        <f>IF(B312="","",IF(ISNA(VLOOKUP(A312,LongJump!F$5:G$302,2,FALSE)),"",VLOOKUP(A312,LongJump!F$5:G$302,2,FALSE)))</f>
        <v>3.48</v>
      </c>
      <c r="M312" s="49">
        <f>IF(B312="",0,IF(ISNA(_xlfn.XLOOKUP(A312,LongJump!F$5:F$302,LongJump!M$5:M$302)),0,_xlfn.XLOOKUP(A312,LongJump!F$5:F$302,LongJump!M$5:M$302)))</f>
        <v>89</v>
      </c>
      <c r="N312" s="49" t="str">
        <f>IF(B312="","",IF(ISNA(VLOOKUP(A312,LongJump!F$5:K$302,6,FALSE)),0,VLOOKUP(A312,LongJump!F$5:K$302,6,FALSE)))</f>
        <v>PB7</v>
      </c>
      <c r="O312" s="49">
        <f>IF(B312="","",IF(ISNA(VLOOKUP(A312,Vortex!F$5:J$302,2,FALSE)),"",VLOOKUP(A312,Vortex!F$5:J$302,2,FALSE)))</f>
        <v>21.15</v>
      </c>
      <c r="P312" s="49">
        <f>IF(B312="",0,IF(ISNA(_xlfn.XLOOKUP(A312,Vortex!F$5:F$302,Vortex!M$5:M$302)),0,_xlfn.XLOOKUP(A312,Vortex!F$5:F$302,Vortex!M$5:M$302)))</f>
        <v>65</v>
      </c>
      <c r="Q312" s="49">
        <f t="shared" si="22"/>
        <v>325</v>
      </c>
      <c r="R312" s="49" t="str">
        <f t="shared" si="23"/>
        <v/>
      </c>
      <c r="S312" s="49">
        <f t="shared" si="24"/>
        <v>2</v>
      </c>
      <c r="T312" s="49" t="str">
        <f t="shared" si="25"/>
        <v/>
      </c>
      <c r="U312" s="49">
        <f t="shared" si="26"/>
        <v>7</v>
      </c>
    </row>
    <row r="313" spans="1:21">
      <c r="A313" s="49">
        <f>IF(Declarations!B70=0,"",Declarations!B70)</f>
        <v>65</v>
      </c>
      <c r="B313" s="150" t="str">
        <f>IF(ISNA(VLOOKUP(A313,Declarations!B$6:C$185,2,FALSE)),"",IF(VLOOKUP(A313,Declarations!B$6:C$185,2,FALSE)="","",VLOOKUP(A313,Declarations!B$6:C$185,2,FALSE)))</f>
        <v>HONEY FLINT</v>
      </c>
      <c r="C313" s="150" t="str">
        <f>IF(ISNA(VLOOKUP(A313,Declarations!B$6:F$185,5,FALSE)),"",IF(VLOOKUP(A313,Declarations!B$6:F$185,5,FALSE)="","",VLOOKUP(A313,Declarations!B$6:F$185,5,FALSE)))</f>
        <v>Fleet &amp; Crookham AC</v>
      </c>
      <c r="D313" s="150" t="str">
        <f>IF(ISNA(VLOOKUP(A313,Declarations!B$6:F$185,4,FALSE)),"",IF(VLOOKUP(A313,Declarations!B$6:F$185,4,FALSE)="","",VLOOKUP(A313,Declarations!B$6:F$185,4,FALSE)))</f>
        <v>GIRLS</v>
      </c>
      <c r="E313" s="150" t="str">
        <f>IF(ISNA(VLOOKUP(A313,Declarations!B$6:D$185,3,FALSE)),"",IF(VLOOKUP(A313,Declarations!B$6:D$185,3,FALSE)="","",VLOOKUP(A313,Declarations!B$6:D$185,3,FALSE)))</f>
        <v>U12</v>
      </c>
      <c r="F313" s="49">
        <f>IF(B313="","",IF(ISNA(VLOOKUP(A313,'75m'!F$5:G$302,2,FALSE)),"",VLOOKUP(A313,'75m'!F$5:G$302,2,FALSE)))</f>
        <v>13.4</v>
      </c>
      <c r="G313" s="49">
        <f>IF(B313="",0,IF(ISNA(_xlfn.XLOOKUP(A313,'75m'!F$5:F$302,'75m'!M$5:M$302)),0,_xlfn.XLOOKUP(A313,'75m'!F$5:F$302,'75m'!M$5:M$302)))</f>
        <v>62</v>
      </c>
      <c r="H313" s="49" t="str">
        <f>IF(B313="","",IF(ISNA(VLOOKUP(A313,'75m'!F$5:K$302,6,FALSE)),"",VLOOKUP(A313,'75m'!F$5:K$302,6,FALSE)))</f>
        <v>PB5</v>
      </c>
      <c r="I313" s="51">
        <f>IF(B313="",0,IF(ISNA(VLOOKUP(A313,'600m'!F$5:J$302,2,FALSE)),0,VLOOKUP(A313,'600m'!F$5:J$302,2,FALSE)))</f>
        <v>1.8726851851851853E-3</v>
      </c>
      <c r="J313" s="49">
        <f>IF(B313="",0,IF(ISNA(_xlfn.XLOOKUP(A313,'600m'!F$5:F$302,'600m'!M$5:M$302)),0,_xlfn.XLOOKUP(A313,'600m'!F$5:F$302,'600m'!M$5:M$302)))</f>
        <v>17</v>
      </c>
      <c r="K313" s="49" t="str">
        <f>IF(B313="","",IF(ISNA(VLOOKUP(A313,'600m'!F$5:K$302,6,FALSE)),"",VLOOKUP(A313,'600m'!F$5:K$302,6,FALSE)))</f>
        <v/>
      </c>
      <c r="L313" s="49">
        <f>IF(B313="","",IF(ISNA(VLOOKUP(A313,LongJump!F$5:G$302,2,FALSE)),"",VLOOKUP(A313,LongJump!F$5:G$302,2,FALSE)))</f>
        <v>2.74</v>
      </c>
      <c r="M313" s="49">
        <f>IF(B313="",0,IF(ISNA(_xlfn.XLOOKUP(A313,LongJump!F$5:F$302,LongJump!M$5:M$302)),0,_xlfn.XLOOKUP(A313,LongJump!F$5:F$302,LongJump!M$5:M$302)))</f>
        <v>59</v>
      </c>
      <c r="N313" s="49" t="str">
        <f>IF(B313="","",IF(ISNA(VLOOKUP(A313,LongJump!F$5:K$302,6,FALSE)),0,VLOOKUP(A313,LongJump!F$5:K$302,6,FALSE)))</f>
        <v>PB4</v>
      </c>
      <c r="O313" s="49">
        <f>IF(B313="","",IF(ISNA(VLOOKUP(A313,Vortex!F$5:J$302,2,FALSE)),"",VLOOKUP(A313,Vortex!F$5:J$302,2,FALSE)))</f>
        <v>14.22</v>
      </c>
      <c r="P313" s="49">
        <f>IF(B313="",0,IF(ISNA(_xlfn.XLOOKUP(A313,Vortex!F$5:F$302,Vortex!M$5:M$302)),0,_xlfn.XLOOKUP(A313,Vortex!F$5:F$302,Vortex!M$5:M$302)))</f>
        <v>31</v>
      </c>
      <c r="Q313" s="49">
        <f t="shared" si="22"/>
        <v>169</v>
      </c>
      <c r="R313" s="49" t="str">
        <f t="shared" si="23"/>
        <v/>
      </c>
      <c r="S313" s="49">
        <f t="shared" si="24"/>
        <v>7</v>
      </c>
      <c r="T313" s="49" t="str">
        <f t="shared" si="25"/>
        <v/>
      </c>
      <c r="U313" s="49">
        <f t="shared" si="26"/>
        <v>43</v>
      </c>
    </row>
    <row r="314" spans="1:21">
      <c r="A314" s="49">
        <f>IF(Declarations!B71=0,"",Declarations!B71)</f>
        <v>66</v>
      </c>
      <c r="B314" s="150" t="str">
        <f>IF(ISNA(VLOOKUP(A314,Declarations!B$6:C$185,2,FALSE)),"",IF(VLOOKUP(A314,Declarations!B$6:C$185,2,FALSE)="","",VLOOKUP(A314,Declarations!B$6:C$185,2,FALSE)))</f>
        <v>DAISY STEWART</v>
      </c>
      <c r="C314" s="150" t="str">
        <f>IF(ISNA(VLOOKUP(A314,Declarations!B$6:F$185,5,FALSE)),"",IF(VLOOKUP(A314,Declarations!B$6:F$185,5,FALSE)="","",VLOOKUP(A314,Declarations!B$6:F$185,5,FALSE)))</f>
        <v>Fleet &amp; Crookham AC</v>
      </c>
      <c r="D314" s="150" t="str">
        <f>IF(ISNA(VLOOKUP(A314,Declarations!B$6:F$185,4,FALSE)),"",IF(VLOOKUP(A314,Declarations!B$6:F$185,4,FALSE)="","",VLOOKUP(A314,Declarations!B$6:F$185,4,FALSE)))</f>
        <v>GIRLS</v>
      </c>
      <c r="E314" s="150" t="str">
        <f>IF(ISNA(VLOOKUP(A314,Declarations!B$6:D$185,3,FALSE)),"",IF(VLOOKUP(A314,Declarations!B$6:D$185,3,FALSE)="","",VLOOKUP(A314,Declarations!B$6:D$185,3,FALSE)))</f>
        <v>U12</v>
      </c>
      <c r="F314" s="49" t="str">
        <f>IF(B314="","",IF(ISNA(VLOOKUP(A314,'75m'!F$5:G$302,2,FALSE)),"",VLOOKUP(A314,'75m'!F$5:G$302,2,FALSE)))</f>
        <v/>
      </c>
      <c r="G314" s="49">
        <f>IF(B314="",0,IF(ISNA(_xlfn.XLOOKUP(A314,'75m'!F$5:F$302,'75m'!M$5:M$302)),0,_xlfn.XLOOKUP(A314,'75m'!F$5:F$302,'75m'!M$5:M$302)))</f>
        <v>0</v>
      </c>
      <c r="H314" s="49" t="str">
        <f>IF(B314="","",IF(ISNA(VLOOKUP(A314,'75m'!F$5:K$302,6,FALSE)),"",VLOOKUP(A314,'75m'!F$5:K$302,6,FALSE)))</f>
        <v/>
      </c>
      <c r="I314" s="51">
        <f>IF(B314="",0,IF(ISNA(VLOOKUP(A314,'600m'!F$5:J$302,2,FALSE)),0,VLOOKUP(A314,'600m'!F$5:J$302,2,FALSE)))</f>
        <v>0</v>
      </c>
      <c r="J314" s="49">
        <f>IF(B314="",0,IF(ISNA(_xlfn.XLOOKUP(A314,'600m'!F$5:F$302,'600m'!M$5:M$302)),0,_xlfn.XLOOKUP(A314,'600m'!F$5:F$302,'600m'!M$5:M$302)))</f>
        <v>0</v>
      </c>
      <c r="K314" s="49" t="str">
        <f>IF(B314="","",IF(ISNA(VLOOKUP(A314,'600m'!F$5:K$302,6,FALSE)),"",VLOOKUP(A314,'600m'!F$5:K$302,6,FALSE)))</f>
        <v/>
      </c>
      <c r="L314" s="49" t="str">
        <f>IF(B314="","",IF(ISNA(VLOOKUP(A314,LongJump!F$5:G$302,2,FALSE)),"",VLOOKUP(A314,LongJump!F$5:G$302,2,FALSE)))</f>
        <v/>
      </c>
      <c r="M314" s="49">
        <f>IF(B314="",0,IF(ISNA(_xlfn.XLOOKUP(A314,LongJump!F$5:F$302,LongJump!M$5:M$302)),0,_xlfn.XLOOKUP(A314,LongJump!F$5:F$302,LongJump!M$5:M$302)))</f>
        <v>0</v>
      </c>
      <c r="N314" s="49">
        <f>IF(B314="","",IF(ISNA(VLOOKUP(A314,LongJump!F$5:K$302,6,FALSE)),0,VLOOKUP(A314,LongJump!F$5:K$302,6,FALSE)))</f>
        <v>0</v>
      </c>
      <c r="O314" s="49" t="str">
        <f>IF(B314="","",IF(ISNA(VLOOKUP(A314,Vortex!F$5:J$302,2,FALSE)),"",VLOOKUP(A314,Vortex!F$5:J$302,2,FALSE)))</f>
        <v/>
      </c>
      <c r="P314" s="49">
        <f>IF(B314="",0,IF(ISNA(_xlfn.XLOOKUP(A314,Vortex!F$5:F$302,Vortex!M$5:M$302)),0,_xlfn.XLOOKUP(A314,Vortex!F$5:F$302,Vortex!M$5:M$302)))</f>
        <v>0</v>
      </c>
      <c r="Q314" s="49">
        <f t="shared" ref="Q314:Q377" si="27">G314+J314+M314+P314</f>
        <v>0</v>
      </c>
      <c r="R314" s="49" t="str">
        <f t="shared" ref="R314:R377" si="28">IF(OR($Q314=0,$E314&lt;&gt;"U10"),"",COUNTIFS($C$249:$C$536, $C314, $D$249:$D$536, $D314, $E$249:$E$536, $E314, $Q$249:$Q$536,"&gt;"&amp;$Q314)+1)</f>
        <v/>
      </c>
      <c r="S314" s="49" t="str">
        <f t="shared" ref="S314:S377" si="29">IF(OR($Q314=0,$E314&lt;&gt;"U12"),"",COUNTIFS($C$249:$C$536, $C314, $D$249:$D$536, $D314, $E$249:$E$536, $E314, $Q$249:$Q$536,"&gt;"&amp;$Q314)+1)</f>
        <v/>
      </c>
      <c r="T314" s="49" t="str">
        <f t="shared" ref="T314:T377" si="30">IF(OR($Q314=0,$E314&lt;&gt;"U10"),"",COUNTIFS($D$249:$D$536, $D314,$E$249:$E$536,$E314,$Q$249:$Q$536,"&gt;"&amp;$Q314)+1)</f>
        <v/>
      </c>
      <c r="U314" s="49" t="str">
        <f t="shared" ref="U314:U377" si="31">IF(OR($Q314=0,$E314&lt;&gt;"U12"),"",COUNTIFS($D$249:$D$536, $D314,$E$249:$E$536,$E314,$Q$249:$Q$536,"&gt;"&amp;$Q314)+1)</f>
        <v/>
      </c>
    </row>
    <row r="315" spans="1:21">
      <c r="A315" s="49">
        <f>IF(Declarations!B72=0,"",Declarations!B72)</f>
        <v>67</v>
      </c>
      <c r="B315" s="150" t="str">
        <f>IF(ISNA(VLOOKUP(A315,Declarations!B$6:C$185,2,FALSE)),"",IF(VLOOKUP(A315,Declarations!B$6:C$185,2,FALSE)="","",VLOOKUP(A315,Declarations!B$6:C$185,2,FALSE)))</f>
        <v>BONNIE MOORE</v>
      </c>
      <c r="C315" s="150" t="str">
        <f>IF(ISNA(VLOOKUP(A315,Declarations!B$6:F$185,5,FALSE)),"",IF(VLOOKUP(A315,Declarations!B$6:F$185,5,FALSE)="","",VLOOKUP(A315,Declarations!B$6:F$185,5,FALSE)))</f>
        <v>Fleet &amp; Crookham AC</v>
      </c>
      <c r="D315" s="150" t="str">
        <f>IF(ISNA(VLOOKUP(A315,Declarations!B$6:F$185,4,FALSE)),"",IF(VLOOKUP(A315,Declarations!B$6:F$185,4,FALSE)="","",VLOOKUP(A315,Declarations!B$6:F$185,4,FALSE)))</f>
        <v>GIRLS</v>
      </c>
      <c r="E315" s="150" t="str">
        <f>IF(ISNA(VLOOKUP(A315,Declarations!B$6:D$185,3,FALSE)),"",IF(VLOOKUP(A315,Declarations!B$6:D$185,3,FALSE)="","",VLOOKUP(A315,Declarations!B$6:D$185,3,FALSE)))</f>
        <v>U12</v>
      </c>
      <c r="F315" s="49">
        <f>IF(B315="","",IF(ISNA(VLOOKUP(A315,'75m'!F$5:G$302,2,FALSE)),"",VLOOKUP(A315,'75m'!F$5:G$302,2,FALSE)))</f>
        <v>11.7</v>
      </c>
      <c r="G315" s="49">
        <f>IF(B315="",0,IF(ISNA(_xlfn.XLOOKUP(A315,'75m'!F$5:F$302,'75m'!M$5:M$302)),0,_xlfn.XLOOKUP(A315,'75m'!F$5:F$302,'75m'!M$5:M$302)))</f>
        <v>100</v>
      </c>
      <c r="H315" s="49" t="str">
        <f>IF(B315="","",IF(ISNA(VLOOKUP(A315,'75m'!F$5:K$302,6,FALSE)),"",VLOOKUP(A315,'75m'!F$5:K$302,6,FALSE)))</f>
        <v>PB9</v>
      </c>
      <c r="I315" s="51">
        <f>IF(B315="",0,IF(ISNA(VLOOKUP(A315,'600m'!F$5:J$302,2,FALSE)),0,VLOOKUP(A315,'600m'!F$5:J$302,2,FALSE)))</f>
        <v>1.4027777777777777E-3</v>
      </c>
      <c r="J315" s="49">
        <f>IF(B315="",0,IF(ISNA(_xlfn.XLOOKUP(A315,'600m'!F$5:F$302,'600m'!M$5:M$302)),0,_xlfn.XLOOKUP(A315,'600m'!F$5:F$302,'600m'!M$5:M$302)))</f>
        <v>77</v>
      </c>
      <c r="K315" s="49" t="str">
        <f>IF(B315="","",IF(ISNA(VLOOKUP(A315,'600m'!F$5:K$302,6,FALSE)),"",VLOOKUP(A315,'600m'!F$5:K$302,6,FALSE)))</f>
        <v>PB5</v>
      </c>
      <c r="L315" s="49">
        <f>IF(B315="","",IF(ISNA(VLOOKUP(A315,LongJump!F$5:G$302,2,FALSE)),"",VLOOKUP(A315,LongJump!F$5:G$302,2,FALSE)))</f>
        <v>3.67</v>
      </c>
      <c r="M315" s="49">
        <f>IF(B315="",0,IF(ISNA(_xlfn.XLOOKUP(A315,LongJump!F$5:F$302,LongJump!M$5:M$302)),0,_xlfn.XLOOKUP(A315,LongJump!F$5:F$302,LongJump!M$5:M$302)))</f>
        <v>96</v>
      </c>
      <c r="N315" s="49" t="str">
        <f>IF(B315="","",IF(ISNA(VLOOKUP(A315,LongJump!F$5:K$302,6,FALSE)),0,VLOOKUP(A315,LongJump!F$5:K$302,6,FALSE)))</f>
        <v>PB8</v>
      </c>
      <c r="O315" s="49">
        <f>IF(B315="","",IF(ISNA(VLOOKUP(A315,Vortex!F$5:J$302,2,FALSE)),"",VLOOKUP(A315,Vortex!F$5:J$302,2,FALSE)))</f>
        <v>17.84</v>
      </c>
      <c r="P315" s="49">
        <f>IF(B315="",0,IF(ISNA(_xlfn.XLOOKUP(A315,Vortex!F$5:F$302,Vortex!M$5:M$302)),0,_xlfn.XLOOKUP(A315,Vortex!F$5:F$302,Vortex!M$5:M$302)))</f>
        <v>49</v>
      </c>
      <c r="Q315" s="49">
        <f t="shared" si="27"/>
        <v>322</v>
      </c>
      <c r="R315" s="49" t="str">
        <f t="shared" si="28"/>
        <v/>
      </c>
      <c r="S315" s="49">
        <f t="shared" si="29"/>
        <v>3</v>
      </c>
      <c r="T315" s="49" t="str">
        <f t="shared" si="30"/>
        <v/>
      </c>
      <c r="U315" s="49">
        <f t="shared" si="31"/>
        <v>8</v>
      </c>
    </row>
    <row r="316" spans="1:21">
      <c r="A316" s="49">
        <f>IF(Declarations!B73=0,"",Declarations!B73)</f>
        <v>68</v>
      </c>
      <c r="B316" s="150" t="str">
        <f>IF(ISNA(VLOOKUP(A316,Declarations!B$6:C$185,2,FALSE)),"",IF(VLOOKUP(A316,Declarations!B$6:C$185,2,FALSE)="","",VLOOKUP(A316,Declarations!B$6:C$185,2,FALSE)))</f>
        <v>FEARNE STRONG</v>
      </c>
      <c r="C316" s="150" t="str">
        <f>IF(ISNA(VLOOKUP(A316,Declarations!B$6:F$185,5,FALSE)),"",IF(VLOOKUP(A316,Declarations!B$6:F$185,5,FALSE)="","",VLOOKUP(A316,Declarations!B$6:F$185,5,FALSE)))</f>
        <v>Fleet &amp; Crookham AC</v>
      </c>
      <c r="D316" s="150" t="str">
        <f>IF(ISNA(VLOOKUP(A316,Declarations!B$6:F$185,4,FALSE)),"",IF(VLOOKUP(A316,Declarations!B$6:F$185,4,FALSE)="","",VLOOKUP(A316,Declarations!B$6:F$185,4,FALSE)))</f>
        <v>GIRLS</v>
      </c>
      <c r="E316" s="150" t="str">
        <f>IF(ISNA(VLOOKUP(A316,Declarations!B$6:D$185,3,FALSE)),"",IF(VLOOKUP(A316,Declarations!B$6:D$185,3,FALSE)="","",VLOOKUP(A316,Declarations!B$6:D$185,3,FALSE)))</f>
        <v>U12</v>
      </c>
      <c r="F316" s="49" t="str">
        <f>IF(B316="","",IF(ISNA(VLOOKUP(A316,'75m'!F$5:G$302,2,FALSE)),"",VLOOKUP(A316,'75m'!F$5:G$302,2,FALSE)))</f>
        <v/>
      </c>
      <c r="G316" s="49">
        <f>IF(B316="",0,IF(ISNA(_xlfn.XLOOKUP(A316,'75m'!F$5:F$302,'75m'!M$5:M$302)),0,_xlfn.XLOOKUP(A316,'75m'!F$5:F$302,'75m'!M$5:M$302)))</f>
        <v>0</v>
      </c>
      <c r="H316" s="49" t="str">
        <f>IF(B316="","",IF(ISNA(VLOOKUP(A316,'75m'!F$5:K$302,6,FALSE)),"",VLOOKUP(A316,'75m'!F$5:K$302,6,FALSE)))</f>
        <v/>
      </c>
      <c r="I316" s="51">
        <f>IF(B316="",0,IF(ISNA(VLOOKUP(A316,'600m'!F$5:J$302,2,FALSE)),0,VLOOKUP(A316,'600m'!F$5:J$302,2,FALSE)))</f>
        <v>0</v>
      </c>
      <c r="J316" s="49">
        <f>IF(B316="",0,IF(ISNA(_xlfn.XLOOKUP(A316,'600m'!F$5:F$302,'600m'!M$5:M$302)),0,_xlfn.XLOOKUP(A316,'600m'!F$5:F$302,'600m'!M$5:M$302)))</f>
        <v>0</v>
      </c>
      <c r="K316" s="49" t="str">
        <f>IF(B316="","",IF(ISNA(VLOOKUP(A316,'600m'!F$5:K$302,6,FALSE)),"",VLOOKUP(A316,'600m'!F$5:K$302,6,FALSE)))</f>
        <v/>
      </c>
      <c r="L316" s="49" t="str">
        <f>IF(B316="","",IF(ISNA(VLOOKUP(A316,LongJump!F$5:G$302,2,FALSE)),"",VLOOKUP(A316,LongJump!F$5:G$302,2,FALSE)))</f>
        <v/>
      </c>
      <c r="M316" s="49">
        <f>IF(B316="",0,IF(ISNA(_xlfn.XLOOKUP(A316,LongJump!F$5:F$302,LongJump!M$5:M$302)),0,_xlfn.XLOOKUP(A316,LongJump!F$5:F$302,LongJump!M$5:M$302)))</f>
        <v>0</v>
      </c>
      <c r="N316" s="49">
        <f>IF(B316="","",IF(ISNA(VLOOKUP(A316,LongJump!F$5:K$302,6,FALSE)),0,VLOOKUP(A316,LongJump!F$5:K$302,6,FALSE)))</f>
        <v>0</v>
      </c>
      <c r="O316" s="49" t="str">
        <f>IF(B316="","",IF(ISNA(VLOOKUP(A316,Vortex!F$5:J$302,2,FALSE)),"",VLOOKUP(A316,Vortex!F$5:J$302,2,FALSE)))</f>
        <v/>
      </c>
      <c r="P316" s="49">
        <f>IF(B316="",0,IF(ISNA(_xlfn.XLOOKUP(A316,Vortex!F$5:F$302,Vortex!M$5:M$302)),0,_xlfn.XLOOKUP(A316,Vortex!F$5:F$302,Vortex!M$5:M$302)))</f>
        <v>0</v>
      </c>
      <c r="Q316" s="49">
        <f t="shared" si="27"/>
        <v>0</v>
      </c>
      <c r="R316" s="49" t="str">
        <f t="shared" si="28"/>
        <v/>
      </c>
      <c r="S316" s="49" t="str">
        <f t="shared" si="29"/>
        <v/>
      </c>
      <c r="T316" s="49" t="str">
        <f t="shared" si="30"/>
        <v/>
      </c>
      <c r="U316" s="49" t="str">
        <f t="shared" si="31"/>
        <v/>
      </c>
    </row>
    <row r="317" spans="1:21">
      <c r="A317" s="49">
        <f>IF(Declarations!B74=0,"",Declarations!B74)</f>
        <v>69</v>
      </c>
      <c r="B317" s="150" t="str">
        <f>IF(ISNA(VLOOKUP(A317,Declarations!B$6:C$185,2,FALSE)),"",IF(VLOOKUP(A317,Declarations!B$6:C$185,2,FALSE)="","",VLOOKUP(A317,Declarations!B$6:C$185,2,FALSE)))</f>
        <v>NORA BRADFORD</v>
      </c>
      <c r="C317" s="150" t="str">
        <f>IF(ISNA(VLOOKUP(A317,Declarations!B$6:F$185,5,FALSE)),"",IF(VLOOKUP(A317,Declarations!B$6:F$185,5,FALSE)="","",VLOOKUP(A317,Declarations!B$6:F$185,5,FALSE)))</f>
        <v>Fleet &amp; Crookham AC</v>
      </c>
      <c r="D317" s="150" t="str">
        <f>IF(ISNA(VLOOKUP(A317,Declarations!B$6:F$185,4,FALSE)),"",IF(VLOOKUP(A317,Declarations!B$6:F$185,4,FALSE)="","",VLOOKUP(A317,Declarations!B$6:F$185,4,FALSE)))</f>
        <v>GIRLS</v>
      </c>
      <c r="E317" s="150" t="str">
        <f>IF(ISNA(VLOOKUP(A317,Declarations!B$6:D$185,3,FALSE)),"",IF(VLOOKUP(A317,Declarations!B$6:D$185,3,FALSE)="","",VLOOKUP(A317,Declarations!B$6:D$185,3,FALSE)))</f>
        <v>U12</v>
      </c>
      <c r="F317" s="49">
        <f>IF(B317="","",IF(ISNA(VLOOKUP(A317,'75m'!F$5:G$302,2,FALSE)),"",VLOOKUP(A317,'75m'!F$5:G$302,2,FALSE)))</f>
        <v>13.6</v>
      </c>
      <c r="G317" s="49">
        <f>IF(B317="",0,IF(ISNA(_xlfn.XLOOKUP(A317,'75m'!F$5:F$302,'75m'!M$5:M$302)),0,_xlfn.XLOOKUP(A317,'75m'!F$5:F$302,'75m'!M$5:M$302)))</f>
        <v>58</v>
      </c>
      <c r="H317" s="49" t="str">
        <f>IF(B317="","",IF(ISNA(VLOOKUP(A317,'75m'!F$5:K$302,6,FALSE)),"",VLOOKUP(A317,'75m'!F$5:K$302,6,FALSE)))</f>
        <v>PB4</v>
      </c>
      <c r="I317" s="51">
        <f>IF(B317="",0,IF(ISNA(VLOOKUP(A317,'600m'!F$5:J$302,2,FALSE)),0,VLOOKUP(A317,'600m'!F$5:J$302,2,FALSE)))</f>
        <v>1.5868055555555555E-3</v>
      </c>
      <c r="J317" s="49">
        <f>IF(B317="",0,IF(ISNA(_xlfn.XLOOKUP(A317,'600m'!F$5:F$302,'600m'!M$5:M$302)),0,_xlfn.XLOOKUP(A317,'600m'!F$5:F$302,'600m'!M$5:M$302)))</f>
        <v>45</v>
      </c>
      <c r="K317" s="49" t="str">
        <f>IF(B317="","",IF(ISNA(VLOOKUP(A317,'600m'!F$5:K$302,6,FALSE)),"",VLOOKUP(A317,'600m'!F$5:K$302,6,FALSE)))</f>
        <v>PB2</v>
      </c>
      <c r="L317" s="49">
        <f>IF(B317="","",IF(ISNA(VLOOKUP(A317,LongJump!F$5:G$302,2,FALSE)),"",VLOOKUP(A317,LongJump!F$5:G$302,2,FALSE)))</f>
        <v>2.4300000000000002</v>
      </c>
      <c r="M317" s="49">
        <f>IF(B317="",0,IF(ISNA(_xlfn.XLOOKUP(A317,LongJump!F$5:F$302,LongJump!M$5:M$302)),0,_xlfn.XLOOKUP(A317,LongJump!F$5:F$302,LongJump!M$5:M$302)))</f>
        <v>46</v>
      </c>
      <c r="N317" s="49" t="str">
        <f>IF(B317="","",IF(ISNA(VLOOKUP(A317,LongJump!F$5:K$302,6,FALSE)),0,VLOOKUP(A317,LongJump!F$5:K$302,6,FALSE)))</f>
        <v>PB3</v>
      </c>
      <c r="O317" s="49" t="str">
        <f>IF(B317="","",IF(ISNA(VLOOKUP(A317,Vortex!F$5:J$302,2,FALSE)),"",VLOOKUP(A317,Vortex!F$5:J$302,2,FALSE)))</f>
        <v/>
      </c>
      <c r="P317" s="49">
        <f>IF(B317="",0,IF(ISNA(_xlfn.XLOOKUP(A317,Vortex!F$5:F$302,Vortex!M$5:M$302)),0,_xlfn.XLOOKUP(A317,Vortex!F$5:F$302,Vortex!M$5:M$302)))</f>
        <v>0</v>
      </c>
      <c r="Q317" s="49">
        <f t="shared" si="27"/>
        <v>149</v>
      </c>
      <c r="R317" s="49" t="str">
        <f t="shared" si="28"/>
        <v/>
      </c>
      <c r="S317" s="49">
        <f t="shared" si="29"/>
        <v>8</v>
      </c>
      <c r="T317" s="49" t="str">
        <f t="shared" si="30"/>
        <v/>
      </c>
      <c r="U317" s="49">
        <f t="shared" si="31"/>
        <v>44</v>
      </c>
    </row>
    <row r="318" spans="1:21">
      <c r="A318" s="49">
        <f>IF(Declarations!B75=0,"",Declarations!B75)</f>
        <v>70</v>
      </c>
      <c r="B318" s="150" t="str">
        <f>IF(ISNA(VLOOKUP(A318,Declarations!B$6:C$185,2,FALSE)),"",IF(VLOOKUP(A318,Declarations!B$6:C$185,2,FALSE)="","",VLOOKUP(A318,Declarations!B$6:C$185,2,FALSE)))</f>
        <v>JOSEPHINE HARPER</v>
      </c>
      <c r="C318" s="150" t="str">
        <f>IF(ISNA(VLOOKUP(A318,Declarations!B$6:F$185,5,FALSE)),"",IF(VLOOKUP(A318,Declarations!B$6:F$185,5,FALSE)="","",VLOOKUP(A318,Declarations!B$6:F$185,5,FALSE)))</f>
        <v>Fleet &amp; Crookham AC</v>
      </c>
      <c r="D318" s="150" t="str">
        <f>IF(ISNA(VLOOKUP(A318,Declarations!B$6:F$185,4,FALSE)),"",IF(VLOOKUP(A318,Declarations!B$6:F$185,4,FALSE)="","",VLOOKUP(A318,Declarations!B$6:F$185,4,FALSE)))</f>
        <v>GIRLS</v>
      </c>
      <c r="E318" s="150" t="str">
        <f>IF(ISNA(VLOOKUP(A318,Declarations!B$6:D$185,3,FALSE)),"",IF(VLOOKUP(A318,Declarations!B$6:D$185,3,FALSE)="","",VLOOKUP(A318,Declarations!B$6:D$185,3,FALSE)))</f>
        <v>U12</v>
      </c>
      <c r="F318" s="49">
        <f>IF(B318="","",IF(ISNA(VLOOKUP(A318,'75m'!F$5:G$302,2,FALSE)),"",VLOOKUP(A318,'75m'!F$5:G$302,2,FALSE)))</f>
        <v>12.2</v>
      </c>
      <c r="G318" s="49">
        <f>IF(B318="",0,IF(ISNA(_xlfn.XLOOKUP(A318,'75m'!F$5:F$302,'75m'!M$5:M$302)),0,_xlfn.XLOOKUP(A318,'75m'!F$5:F$302,'75m'!M$5:M$302)))</f>
        <v>87</v>
      </c>
      <c r="H318" s="49" t="str">
        <f>IF(B318="","",IF(ISNA(VLOOKUP(A318,'75m'!F$5:K$302,6,FALSE)),"",VLOOKUP(A318,'75m'!F$5:K$302,6,FALSE)))</f>
        <v>PB7</v>
      </c>
      <c r="I318" s="51">
        <f>IF(B318="",0,IF(ISNA(VLOOKUP(A318,'600m'!F$5:J$302,2,FALSE)),0,VLOOKUP(A318,'600m'!F$5:J$302,2,FALSE)))</f>
        <v>1.6018518518518519E-3</v>
      </c>
      <c r="J318" s="49">
        <f>IF(B318="",0,IF(ISNA(_xlfn.XLOOKUP(A318,'600m'!F$5:F$302,'600m'!M$5:M$302)),0,_xlfn.XLOOKUP(A318,'600m'!F$5:F$302,'600m'!M$5:M$302)))</f>
        <v>43</v>
      </c>
      <c r="K318" s="49" t="str">
        <f>IF(B318="","",IF(ISNA(VLOOKUP(A318,'600m'!F$5:K$302,6,FALSE)),"",VLOOKUP(A318,'600m'!F$5:K$302,6,FALSE)))</f>
        <v>PB2</v>
      </c>
      <c r="L318" s="49">
        <f>IF(B318="","",IF(ISNA(VLOOKUP(A318,LongJump!F$5:G$302,2,FALSE)),"",VLOOKUP(A318,LongJump!F$5:G$302,2,FALSE)))</f>
        <v>2.62</v>
      </c>
      <c r="M318" s="49">
        <f>IF(B318="",0,IF(ISNA(_xlfn.XLOOKUP(A318,LongJump!F$5:F$302,LongJump!M$5:M$302)),0,_xlfn.XLOOKUP(A318,LongJump!F$5:F$302,LongJump!M$5:M$302)))</f>
        <v>54</v>
      </c>
      <c r="N318" s="49" t="str">
        <f>IF(B318="","",IF(ISNA(VLOOKUP(A318,LongJump!F$5:K$302,6,FALSE)),0,VLOOKUP(A318,LongJump!F$5:K$302,6,FALSE)))</f>
        <v>PB4</v>
      </c>
      <c r="O318" s="49">
        <f>IF(B318="","",IF(ISNA(VLOOKUP(A318,Vortex!F$5:J$302,2,FALSE)),"",VLOOKUP(A318,Vortex!F$5:J$302,2,FALSE)))</f>
        <v>15.22</v>
      </c>
      <c r="P318" s="49">
        <f>IF(B318="",0,IF(ISNA(_xlfn.XLOOKUP(A318,Vortex!F$5:F$302,Vortex!M$5:M$302)),0,_xlfn.XLOOKUP(A318,Vortex!F$5:F$302,Vortex!M$5:M$302)))</f>
        <v>36</v>
      </c>
      <c r="Q318" s="49">
        <f t="shared" si="27"/>
        <v>220</v>
      </c>
      <c r="R318" s="49" t="str">
        <f t="shared" si="28"/>
        <v/>
      </c>
      <c r="S318" s="49">
        <f t="shared" si="29"/>
        <v>5</v>
      </c>
      <c r="T318" s="49" t="str">
        <f t="shared" si="30"/>
        <v/>
      </c>
      <c r="U318" s="49">
        <f t="shared" si="31"/>
        <v>32</v>
      </c>
    </row>
    <row r="319" spans="1:21">
      <c r="A319" s="49">
        <f>IF(Declarations!B76=0,"",Declarations!B76)</f>
        <v>71</v>
      </c>
      <c r="B319" s="150" t="str">
        <f>IF(ISNA(VLOOKUP(A319,Declarations!B$6:C$185,2,FALSE)),"",IF(VLOOKUP(A319,Declarations!B$6:C$185,2,FALSE)="","",VLOOKUP(A319,Declarations!B$6:C$185,2,FALSE)))</f>
        <v>JESSE MCDONNELL</v>
      </c>
      <c r="C319" s="150" t="str">
        <f>IF(ISNA(VLOOKUP(A319,Declarations!B$6:F$185,5,FALSE)),"",IF(VLOOKUP(A319,Declarations!B$6:F$185,5,FALSE)="","",VLOOKUP(A319,Declarations!B$6:F$185,5,FALSE)))</f>
        <v>Fleet &amp; Crookham AC</v>
      </c>
      <c r="D319" s="150" t="str">
        <f>IF(ISNA(VLOOKUP(A319,Declarations!B$6:F$185,4,FALSE)),"",IF(VLOOKUP(A319,Declarations!B$6:F$185,4,FALSE)="","",VLOOKUP(A319,Declarations!B$6:F$185,4,FALSE)))</f>
        <v>BOYS</v>
      </c>
      <c r="E319" s="150" t="str">
        <f>IF(ISNA(VLOOKUP(A319,Declarations!B$6:D$185,3,FALSE)),"",IF(VLOOKUP(A319,Declarations!B$6:D$185,3,FALSE)="","",VLOOKUP(A319,Declarations!B$6:D$185,3,FALSE)))</f>
        <v>U12</v>
      </c>
      <c r="F319" s="49">
        <f>IF(B319="","",IF(ISNA(VLOOKUP(A319,'75m'!F$5:G$302,2,FALSE)),"",VLOOKUP(A319,'75m'!F$5:G$302,2,FALSE)))</f>
        <v>11.2</v>
      </c>
      <c r="G319" s="49">
        <f>IF(B319="",0,IF(ISNA(_xlfn.XLOOKUP(A319,'75m'!F$5:F$302,'75m'!M$5:M$302)),0,_xlfn.XLOOKUP(A319,'75m'!F$5:F$302,'75m'!M$5:M$302)))</f>
        <v>100</v>
      </c>
      <c r="H319" s="49" t="str">
        <f>IF(B319="","",IF(ISNA(VLOOKUP(A319,'75m'!F$5:K$302,6,FALSE)),"",VLOOKUP(A319,'75m'!F$5:K$302,6,FALSE)))</f>
        <v>PB9</v>
      </c>
      <c r="I319" s="51">
        <f>IF(B319="",0,IF(ISNA(VLOOKUP(A319,'600m'!F$5:J$302,2,FALSE)),0,VLOOKUP(A319,'600m'!F$5:J$302,2,FALSE)))</f>
        <v>1.3368055555555555E-3</v>
      </c>
      <c r="J319" s="49">
        <f>IF(B319="",0,IF(ISNA(_xlfn.XLOOKUP(A319,'600m'!F$5:F$302,'600m'!M$5:M$302)),0,_xlfn.XLOOKUP(A319,'600m'!F$5:F$302,'600m'!M$5:M$302)))</f>
        <v>69</v>
      </c>
      <c r="K319" s="49" t="str">
        <f>IF(B319="","",IF(ISNA(VLOOKUP(A319,'600m'!F$5:K$302,6,FALSE)),"",VLOOKUP(A319,'600m'!F$5:K$302,6,FALSE)))</f>
        <v>PB5</v>
      </c>
      <c r="L319" s="49">
        <f>IF(B319="","",IF(ISNA(VLOOKUP(A319,LongJump!F$5:G$302,2,FALSE)),"",VLOOKUP(A319,LongJump!F$5:G$302,2,FALSE)))</f>
        <v>3.62</v>
      </c>
      <c r="M319" s="49">
        <f>IF(B319="",0,IF(ISNA(_xlfn.XLOOKUP(A319,LongJump!F$5:F$302,LongJump!M$5:M$302)),0,_xlfn.XLOOKUP(A319,LongJump!F$5:F$302,LongJump!M$5:M$302)))</f>
        <v>84</v>
      </c>
      <c r="N319" s="49" t="str">
        <f>IF(B319="","",IF(ISNA(VLOOKUP(A319,LongJump!F$5:K$302,6,FALSE)),0,VLOOKUP(A319,LongJump!F$5:K$302,6,FALSE)))</f>
        <v>PB7</v>
      </c>
      <c r="O319" s="49">
        <f>IF(B319="","",IF(ISNA(VLOOKUP(A319,Vortex!F$5:J$302,2,FALSE)),"",VLOOKUP(A319,Vortex!F$5:J$302,2,FALSE)))</f>
        <v>29.88</v>
      </c>
      <c r="P319" s="49">
        <f>IF(B319="",0,IF(ISNA(_xlfn.XLOOKUP(A319,Vortex!F$5:F$302,Vortex!M$5:M$302)),0,_xlfn.XLOOKUP(A319,Vortex!F$5:F$302,Vortex!M$5:M$302)))</f>
        <v>99</v>
      </c>
      <c r="Q319" s="49">
        <f t="shared" si="27"/>
        <v>352</v>
      </c>
      <c r="R319" s="49" t="str">
        <f t="shared" si="28"/>
        <v/>
      </c>
      <c r="S319" s="49">
        <f t="shared" si="29"/>
        <v>2</v>
      </c>
      <c r="T319" s="49" t="str">
        <f t="shared" si="30"/>
        <v/>
      </c>
      <c r="U319" s="49">
        <f t="shared" si="31"/>
        <v>7</v>
      </c>
    </row>
    <row r="320" spans="1:21">
      <c r="A320" s="49">
        <f>IF(Declarations!B77=0,"",Declarations!B77)</f>
        <v>72</v>
      </c>
      <c r="B320" s="150" t="str">
        <f>IF(ISNA(VLOOKUP(A320,Declarations!B$6:C$185,2,FALSE)),"",IF(VLOOKUP(A320,Declarations!B$6:C$185,2,FALSE)="","",VLOOKUP(A320,Declarations!B$6:C$185,2,FALSE)))</f>
        <v>LEVI KIRWAN</v>
      </c>
      <c r="C320" s="150" t="str">
        <f>IF(ISNA(VLOOKUP(A320,Declarations!B$6:F$185,5,FALSE)),"",IF(VLOOKUP(A320,Declarations!B$6:F$185,5,FALSE)="","",VLOOKUP(A320,Declarations!B$6:F$185,5,FALSE)))</f>
        <v>Fleet &amp; Crookham AC</v>
      </c>
      <c r="D320" s="150" t="str">
        <f>IF(ISNA(VLOOKUP(A320,Declarations!B$6:F$185,4,FALSE)),"",IF(VLOOKUP(A320,Declarations!B$6:F$185,4,FALSE)="","",VLOOKUP(A320,Declarations!B$6:F$185,4,FALSE)))</f>
        <v>BOYS</v>
      </c>
      <c r="E320" s="150" t="str">
        <f>IF(ISNA(VLOOKUP(A320,Declarations!B$6:D$185,3,FALSE)),"",IF(VLOOKUP(A320,Declarations!B$6:D$185,3,FALSE)="","",VLOOKUP(A320,Declarations!B$6:D$185,3,FALSE)))</f>
        <v>U12</v>
      </c>
      <c r="F320" s="49">
        <f>IF(B320="","",IF(ISNA(VLOOKUP(A320,'75m'!F$5:G$302,2,FALSE)),"",VLOOKUP(A320,'75m'!F$5:G$302,2,FALSE)))</f>
        <v>11.5</v>
      </c>
      <c r="G320" s="49">
        <f>IF(B320="",0,IF(ISNA(_xlfn.XLOOKUP(A320,'75m'!F$5:F$302,'75m'!M$5:M$302)),0,_xlfn.XLOOKUP(A320,'75m'!F$5:F$302,'75m'!M$5:M$302)))</f>
        <v>92</v>
      </c>
      <c r="H320" s="49" t="str">
        <f>IF(B320="","",IF(ISNA(VLOOKUP(A320,'75m'!F$5:K$302,6,FALSE)),"",VLOOKUP(A320,'75m'!F$5:K$302,6,FALSE)))</f>
        <v>PB8</v>
      </c>
      <c r="I320" s="51">
        <f>IF(B320="",0,IF(ISNA(VLOOKUP(A320,'600m'!F$5:J$302,2,FALSE)),0,VLOOKUP(A320,'600m'!F$5:J$302,2,FALSE)))</f>
        <v>1.4525462962962964E-3</v>
      </c>
      <c r="J320" s="49">
        <f>IF(B320="",0,IF(ISNA(_xlfn.XLOOKUP(A320,'600m'!F$5:F$302,'600m'!M$5:M$302)),0,_xlfn.XLOOKUP(A320,'600m'!F$5:F$302,'600m'!M$5:M$302)))</f>
        <v>49</v>
      </c>
      <c r="K320" s="49" t="str">
        <f>IF(B320="","",IF(ISNA(VLOOKUP(A320,'600m'!F$5:K$302,6,FALSE)),"",VLOOKUP(A320,'600m'!F$5:K$302,6,FALSE)))</f>
        <v>PB3</v>
      </c>
      <c r="L320" s="49">
        <f>IF(B320="","",IF(ISNA(VLOOKUP(A320,LongJump!F$5:G$302,2,FALSE)),"",VLOOKUP(A320,LongJump!F$5:G$302,2,FALSE)))</f>
        <v>3.01</v>
      </c>
      <c r="M320" s="49">
        <f>IF(B320="",0,IF(ISNA(_xlfn.XLOOKUP(A320,LongJump!F$5:F$302,LongJump!M$5:M$302)),0,_xlfn.XLOOKUP(A320,LongJump!F$5:F$302,LongJump!M$5:M$302)))</f>
        <v>60</v>
      </c>
      <c r="N320" s="49" t="str">
        <f>IF(B320="","",IF(ISNA(VLOOKUP(A320,LongJump!F$5:K$302,6,FALSE)),0,VLOOKUP(A320,LongJump!F$5:K$302,6,FALSE)))</f>
        <v>PB5</v>
      </c>
      <c r="O320" s="49">
        <f>IF(B320="","",IF(ISNA(VLOOKUP(A320,Vortex!F$5:J$302,2,FALSE)),"",VLOOKUP(A320,Vortex!F$5:J$302,2,FALSE)))</f>
        <v>31.64</v>
      </c>
      <c r="P320" s="49">
        <f>IF(B320="",0,IF(ISNA(_xlfn.XLOOKUP(A320,Vortex!F$5:F$302,Vortex!M$5:M$302)),0,_xlfn.XLOOKUP(A320,Vortex!F$5:F$302,Vortex!M$5:M$302)))</f>
        <v>108</v>
      </c>
      <c r="Q320" s="49">
        <f t="shared" si="27"/>
        <v>309</v>
      </c>
      <c r="R320" s="49" t="str">
        <f t="shared" si="28"/>
        <v/>
      </c>
      <c r="S320" s="49">
        <f t="shared" si="29"/>
        <v>3</v>
      </c>
      <c r="T320" s="49" t="str">
        <f t="shared" si="30"/>
        <v/>
      </c>
      <c r="U320" s="49">
        <f t="shared" si="31"/>
        <v>12</v>
      </c>
    </row>
    <row r="321" spans="1:21">
      <c r="A321" s="49">
        <f>IF(Declarations!B78=0,"",Declarations!B78)</f>
        <v>73</v>
      </c>
      <c r="B321" s="150" t="str">
        <f>IF(ISNA(VLOOKUP(A321,Declarations!B$6:C$185,2,FALSE)),"",IF(VLOOKUP(A321,Declarations!B$6:C$185,2,FALSE)="","",VLOOKUP(A321,Declarations!B$6:C$185,2,FALSE)))</f>
        <v>CHARLIE BLACKWELL</v>
      </c>
      <c r="C321" s="150" t="str">
        <f>IF(ISNA(VLOOKUP(A321,Declarations!B$6:F$185,5,FALSE)),"",IF(VLOOKUP(A321,Declarations!B$6:F$185,5,FALSE)="","",VLOOKUP(A321,Declarations!B$6:F$185,5,FALSE)))</f>
        <v>Fleet &amp; Crookham AC</v>
      </c>
      <c r="D321" s="150" t="str">
        <f>IF(ISNA(VLOOKUP(A321,Declarations!B$6:F$185,4,FALSE)),"",IF(VLOOKUP(A321,Declarations!B$6:F$185,4,FALSE)="","",VLOOKUP(A321,Declarations!B$6:F$185,4,FALSE)))</f>
        <v>BOYS</v>
      </c>
      <c r="E321" s="150" t="str">
        <f>IF(ISNA(VLOOKUP(A321,Declarations!B$6:D$185,3,FALSE)),"",IF(VLOOKUP(A321,Declarations!B$6:D$185,3,FALSE)="","",VLOOKUP(A321,Declarations!B$6:D$185,3,FALSE)))</f>
        <v>U12</v>
      </c>
      <c r="F321" s="49">
        <f>IF(B321="","",IF(ISNA(VLOOKUP(A321,'75m'!F$5:G$302,2,FALSE)),"",VLOOKUP(A321,'75m'!F$5:G$302,2,FALSE)))</f>
        <v>10.9</v>
      </c>
      <c r="G321" s="49">
        <f>IF(B321="",0,IF(ISNA(_xlfn.XLOOKUP(A321,'75m'!F$5:F$302,'75m'!M$5:M$302)),0,_xlfn.XLOOKUP(A321,'75m'!F$5:F$302,'75m'!M$5:M$302)))</f>
        <v>107</v>
      </c>
      <c r="H321" s="49" t="str">
        <f>IF(B321="","",IF(ISNA(VLOOKUP(A321,'75m'!F$5:K$302,6,FALSE)),"",VLOOKUP(A321,'75m'!F$5:K$302,6,FALSE)))</f>
        <v>PB9</v>
      </c>
      <c r="I321" s="51">
        <f>IF(B321="",0,IF(ISNA(VLOOKUP(A321,'600m'!F$5:J$302,2,FALSE)),0,VLOOKUP(A321,'600m'!F$5:J$302,2,FALSE)))</f>
        <v>1.4062499999999999E-3</v>
      </c>
      <c r="J321" s="49">
        <f>IF(B321="",0,IF(ISNA(_xlfn.XLOOKUP(A321,'600m'!F$5:F$302,'600m'!M$5:M$302)),0,_xlfn.XLOOKUP(A321,'600m'!F$5:F$302,'600m'!M$5:M$302)))</f>
        <v>57</v>
      </c>
      <c r="K321" s="49" t="str">
        <f>IF(B321="","",IF(ISNA(VLOOKUP(A321,'600m'!F$5:K$302,6,FALSE)),"",VLOOKUP(A321,'600m'!F$5:K$302,6,FALSE)))</f>
        <v>PB4</v>
      </c>
      <c r="L321" s="49">
        <f>IF(B321="","",IF(ISNA(VLOOKUP(A321,LongJump!F$5:G$302,2,FALSE)),"",VLOOKUP(A321,LongJump!F$5:G$302,2,FALSE)))</f>
        <v>3.6</v>
      </c>
      <c r="M321" s="49">
        <f>IF(B321="",0,IF(ISNA(_xlfn.XLOOKUP(A321,LongJump!F$5:F$302,LongJump!M$5:M$302)),0,_xlfn.XLOOKUP(A321,LongJump!F$5:F$302,LongJump!M$5:M$302)))</f>
        <v>83</v>
      </c>
      <c r="N321" s="49" t="str">
        <f>IF(B321="","",IF(ISNA(VLOOKUP(A321,LongJump!F$5:K$302,6,FALSE)),0,VLOOKUP(A321,LongJump!F$5:K$302,6,FALSE)))</f>
        <v>PB7</v>
      </c>
      <c r="O321" s="49">
        <f>IF(B321="","",IF(ISNA(VLOOKUP(A321,Vortex!F$5:J$302,2,FALSE)),"",VLOOKUP(A321,Vortex!F$5:J$302,2,FALSE)))</f>
        <v>32.840000000000003</v>
      </c>
      <c r="P321" s="49">
        <f>IF(B321="",0,IF(ISNA(_xlfn.XLOOKUP(A321,Vortex!F$5:F$302,Vortex!M$5:M$302)),0,_xlfn.XLOOKUP(A321,Vortex!F$5:F$302,Vortex!M$5:M$302)))</f>
        <v>114</v>
      </c>
      <c r="Q321" s="49">
        <f t="shared" si="27"/>
        <v>361</v>
      </c>
      <c r="R321" s="49" t="str">
        <f t="shared" si="28"/>
        <v/>
      </c>
      <c r="S321" s="49">
        <f t="shared" si="29"/>
        <v>1</v>
      </c>
      <c r="T321" s="49" t="str">
        <f t="shared" si="30"/>
        <v/>
      </c>
      <c r="U321" s="49">
        <f t="shared" si="31"/>
        <v>6</v>
      </c>
    </row>
    <row r="322" spans="1:21">
      <c r="A322" s="49">
        <f>IF(Declarations!B79=0,"",Declarations!B79)</f>
        <v>74</v>
      </c>
      <c r="B322" s="150" t="str">
        <f>IF(ISNA(VLOOKUP(A322,Declarations!B$6:C$185,2,FALSE)),"",IF(VLOOKUP(A322,Declarations!B$6:C$185,2,FALSE)="","",VLOOKUP(A322,Declarations!B$6:C$185,2,FALSE)))</f>
        <v>THOMAS MOORE</v>
      </c>
      <c r="C322" s="150" t="str">
        <f>IF(ISNA(VLOOKUP(A322,Declarations!B$6:F$185,5,FALSE)),"",IF(VLOOKUP(A322,Declarations!B$6:F$185,5,FALSE)="","",VLOOKUP(A322,Declarations!B$6:F$185,5,FALSE)))</f>
        <v>Fleet &amp; Crookham AC</v>
      </c>
      <c r="D322" s="150" t="str">
        <f>IF(ISNA(VLOOKUP(A322,Declarations!B$6:F$185,4,FALSE)),"",IF(VLOOKUP(A322,Declarations!B$6:F$185,4,FALSE)="","",VLOOKUP(A322,Declarations!B$6:F$185,4,FALSE)))</f>
        <v>BOYS</v>
      </c>
      <c r="E322" s="150" t="str">
        <f>IF(ISNA(VLOOKUP(A322,Declarations!B$6:D$185,3,FALSE)),"",IF(VLOOKUP(A322,Declarations!B$6:D$185,3,FALSE)="","",VLOOKUP(A322,Declarations!B$6:D$185,3,FALSE)))</f>
        <v>U12</v>
      </c>
      <c r="F322" s="49">
        <f>IF(B322="","",IF(ISNA(VLOOKUP(A322,'75m'!F$5:G$302,2,FALSE)),"",VLOOKUP(A322,'75m'!F$5:G$302,2,FALSE)))</f>
        <v>12.9</v>
      </c>
      <c r="G322" s="49">
        <f>IF(B322="",0,IF(ISNA(_xlfn.XLOOKUP(A322,'75m'!F$5:F$302,'75m'!M$5:M$302)),0,_xlfn.XLOOKUP(A322,'75m'!F$5:F$302,'75m'!M$5:M$302)))</f>
        <v>62</v>
      </c>
      <c r="H322" s="49" t="str">
        <f>IF(B322="","",IF(ISNA(VLOOKUP(A322,'75m'!F$5:K$302,6,FALSE)),"",VLOOKUP(A322,'75m'!F$5:K$302,6,FALSE)))</f>
        <v>PB5</v>
      </c>
      <c r="I322" s="51">
        <f>IF(B322="",0,IF(ISNA(VLOOKUP(A322,'600m'!F$5:J$302,2,FALSE)),0,VLOOKUP(A322,'600m'!F$5:J$302,2,FALSE)))</f>
        <v>1.6666666666666668E-3</v>
      </c>
      <c r="J322" s="49">
        <f>IF(B322="",0,IF(ISNA(_xlfn.XLOOKUP(A322,'600m'!F$5:F$302,'600m'!M$5:M$302)),0,_xlfn.XLOOKUP(A322,'600m'!F$5:F$302,'600m'!M$5:M$302)))</f>
        <v>26</v>
      </c>
      <c r="K322" s="49" t="str">
        <f>IF(B322="","",IF(ISNA(VLOOKUP(A322,'600m'!F$5:K$302,6,FALSE)),"",VLOOKUP(A322,'600m'!F$5:K$302,6,FALSE)))</f>
        <v>PB1</v>
      </c>
      <c r="L322" s="49">
        <f>IF(B322="","",IF(ISNA(VLOOKUP(A322,LongJump!F$5:G$302,2,FALSE)),"",VLOOKUP(A322,LongJump!F$5:G$302,2,FALSE)))</f>
        <v>2.93</v>
      </c>
      <c r="M322" s="49">
        <f>IF(B322="",0,IF(ISNA(_xlfn.XLOOKUP(A322,LongJump!F$5:F$302,LongJump!M$5:M$302)),0,_xlfn.XLOOKUP(A322,LongJump!F$5:F$302,LongJump!M$5:M$302)))</f>
        <v>56</v>
      </c>
      <c r="N322" s="49" t="str">
        <f>IF(B322="","",IF(ISNA(VLOOKUP(A322,LongJump!F$5:K$302,6,FALSE)),0,VLOOKUP(A322,LongJump!F$5:K$302,6,FALSE)))</f>
        <v>PB4</v>
      </c>
      <c r="O322" s="49">
        <f>IF(B322="","",IF(ISNA(VLOOKUP(A322,Vortex!F$5:J$302,2,FALSE)),"",VLOOKUP(A322,Vortex!F$5:J$302,2,FALSE)))</f>
        <v>27.07</v>
      </c>
      <c r="P322" s="49">
        <f>IF(B322="",0,IF(ISNA(_xlfn.XLOOKUP(A322,Vortex!F$5:F$302,Vortex!M$5:M$302)),0,_xlfn.XLOOKUP(A322,Vortex!F$5:F$302,Vortex!M$5:M$302)))</f>
        <v>85</v>
      </c>
      <c r="Q322" s="49">
        <f t="shared" si="27"/>
        <v>229</v>
      </c>
      <c r="R322" s="49" t="str">
        <f t="shared" si="28"/>
        <v/>
      </c>
      <c r="S322" s="49">
        <f t="shared" si="29"/>
        <v>4</v>
      </c>
      <c r="T322" s="49" t="str">
        <f t="shared" si="30"/>
        <v/>
      </c>
      <c r="U322" s="49">
        <f t="shared" si="31"/>
        <v>32</v>
      </c>
    </row>
    <row r="323" spans="1:21">
      <c r="A323" s="49">
        <f>IF(Declarations!B80=0,"",Declarations!B80)</f>
        <v>75</v>
      </c>
      <c r="B323" s="150" t="str">
        <f>IF(ISNA(VLOOKUP(A323,Declarations!B$6:C$185,2,FALSE)),"",IF(VLOOKUP(A323,Declarations!B$6:C$185,2,FALSE)="","",VLOOKUP(A323,Declarations!B$6:C$185,2,FALSE)))</f>
        <v>MURRAY VOADEN</v>
      </c>
      <c r="C323" s="150" t="str">
        <f>IF(ISNA(VLOOKUP(A323,Declarations!B$6:F$185,5,FALSE)),"",IF(VLOOKUP(A323,Declarations!B$6:F$185,5,FALSE)="","",VLOOKUP(A323,Declarations!B$6:F$185,5,FALSE)))</f>
        <v>Fleet &amp; Crookham AC</v>
      </c>
      <c r="D323" s="150" t="str">
        <f>IF(ISNA(VLOOKUP(A323,Declarations!B$6:F$185,4,FALSE)),"",IF(VLOOKUP(A323,Declarations!B$6:F$185,4,FALSE)="","",VLOOKUP(A323,Declarations!B$6:F$185,4,FALSE)))</f>
        <v>BOYS</v>
      </c>
      <c r="E323" s="150" t="str">
        <f>IF(ISNA(VLOOKUP(A323,Declarations!B$6:D$185,3,FALSE)),"",IF(VLOOKUP(A323,Declarations!B$6:D$185,3,FALSE)="","",VLOOKUP(A323,Declarations!B$6:D$185,3,FALSE)))</f>
        <v>U12</v>
      </c>
      <c r="F323" s="49">
        <f>IF(B323="","",IF(ISNA(VLOOKUP(A323,'75m'!F$5:G$302,2,FALSE)),"",VLOOKUP(A323,'75m'!F$5:G$302,2,FALSE)))</f>
        <v>13.4</v>
      </c>
      <c r="G323" s="49">
        <f>IF(B323="",0,IF(ISNA(_xlfn.XLOOKUP(A323,'75m'!F$5:F$302,'75m'!M$5:M$302)),0,_xlfn.XLOOKUP(A323,'75m'!F$5:F$302,'75m'!M$5:M$302)))</f>
        <v>52</v>
      </c>
      <c r="H323" s="49" t="str">
        <f>IF(B323="","",IF(ISNA(VLOOKUP(A323,'75m'!F$5:K$302,6,FALSE)),"",VLOOKUP(A323,'75m'!F$5:K$302,6,FALSE)))</f>
        <v>PB4</v>
      </c>
      <c r="I323" s="51">
        <f>IF(B323="",0,IF(ISNA(VLOOKUP(A323,'600m'!F$5:J$302,2,FALSE)),0,VLOOKUP(A323,'600m'!F$5:J$302,2,FALSE)))</f>
        <v>1.6192129629629629E-3</v>
      </c>
      <c r="J323" s="49">
        <f>IF(B323="",0,IF(ISNA(_xlfn.XLOOKUP(A323,'600m'!F$5:F$302,'600m'!M$5:M$302)),0,_xlfn.XLOOKUP(A323,'600m'!F$5:F$302,'600m'!M$5:M$302)))</f>
        <v>30</v>
      </c>
      <c r="K323" s="49" t="str">
        <f>IF(B323="","",IF(ISNA(VLOOKUP(A323,'600m'!F$5:K$302,6,FALSE)),"",VLOOKUP(A323,'600m'!F$5:K$302,6,FALSE)))</f>
        <v>PB2</v>
      </c>
      <c r="L323" s="49">
        <f>IF(B323="","",IF(ISNA(VLOOKUP(A323,LongJump!F$5:G$302,2,FALSE)),"",VLOOKUP(A323,LongJump!F$5:G$302,2,FALSE)))</f>
        <v>2.92</v>
      </c>
      <c r="M323" s="49">
        <f>IF(B323="",0,IF(ISNA(_xlfn.XLOOKUP(A323,LongJump!F$5:F$302,LongJump!M$5:M$302)),0,_xlfn.XLOOKUP(A323,LongJump!F$5:F$302,LongJump!M$5:M$302)))</f>
        <v>56</v>
      </c>
      <c r="N323" s="49" t="str">
        <f>IF(B323="","",IF(ISNA(VLOOKUP(A323,LongJump!F$5:K$302,6,FALSE)),0,VLOOKUP(A323,LongJump!F$5:K$302,6,FALSE)))</f>
        <v>PB4</v>
      </c>
      <c r="O323" s="49">
        <f>IF(B323="","",IF(ISNA(VLOOKUP(A323,Vortex!F$5:J$302,2,FALSE)),"",VLOOKUP(A323,Vortex!F$5:J$302,2,FALSE)))</f>
        <v>14.88</v>
      </c>
      <c r="P323" s="49">
        <f>IF(B323="",0,IF(ISNA(_xlfn.XLOOKUP(A323,Vortex!F$5:F$302,Vortex!M$5:M$302)),0,_xlfn.XLOOKUP(A323,Vortex!F$5:F$302,Vortex!M$5:M$302)))</f>
        <v>24</v>
      </c>
      <c r="Q323" s="49">
        <f t="shared" si="27"/>
        <v>162</v>
      </c>
      <c r="R323" s="49" t="str">
        <f t="shared" si="28"/>
        <v/>
      </c>
      <c r="S323" s="49">
        <f t="shared" si="29"/>
        <v>6</v>
      </c>
      <c r="T323" s="49" t="str">
        <f t="shared" si="30"/>
        <v/>
      </c>
      <c r="U323" s="49">
        <f t="shared" si="31"/>
        <v>43</v>
      </c>
    </row>
    <row r="324" spans="1:21">
      <c r="A324" s="49">
        <f>IF(Declarations!B81=0,"",Declarations!B81)</f>
        <v>76</v>
      </c>
      <c r="B324" s="150" t="str">
        <f>IF(ISNA(VLOOKUP(A324,Declarations!B$6:C$185,2,FALSE)),"",IF(VLOOKUP(A324,Declarations!B$6:C$185,2,FALSE)="","",VLOOKUP(A324,Declarations!B$6:C$185,2,FALSE)))</f>
        <v>DYLAN MARLEY</v>
      </c>
      <c r="C324" s="150" t="str">
        <f>IF(ISNA(VLOOKUP(A324,Declarations!B$6:F$185,5,FALSE)),"",IF(VLOOKUP(A324,Declarations!B$6:F$185,5,FALSE)="","",VLOOKUP(A324,Declarations!B$6:F$185,5,FALSE)))</f>
        <v>Fleet &amp; Crookham AC</v>
      </c>
      <c r="D324" s="150" t="str">
        <f>IF(ISNA(VLOOKUP(A324,Declarations!B$6:F$185,4,FALSE)),"",IF(VLOOKUP(A324,Declarations!B$6:F$185,4,FALSE)="","",VLOOKUP(A324,Declarations!B$6:F$185,4,FALSE)))</f>
        <v>BOYS</v>
      </c>
      <c r="E324" s="150" t="str">
        <f>IF(ISNA(VLOOKUP(A324,Declarations!B$6:D$185,3,FALSE)),"",IF(VLOOKUP(A324,Declarations!B$6:D$185,3,FALSE)="","",VLOOKUP(A324,Declarations!B$6:D$185,3,FALSE)))</f>
        <v>U12</v>
      </c>
      <c r="F324" s="49">
        <f>IF(B324="","",IF(ISNA(VLOOKUP(A324,'75m'!F$5:G$302,2,FALSE)),"",VLOOKUP(A324,'75m'!F$5:G$302,2,FALSE)))</f>
        <v>12.4</v>
      </c>
      <c r="G324" s="49">
        <f>IF(B324="",0,IF(ISNA(_xlfn.XLOOKUP(A324,'75m'!F$5:F$302,'75m'!M$5:M$302)),0,_xlfn.XLOOKUP(A324,'75m'!F$5:F$302,'75m'!M$5:M$302)))</f>
        <v>72</v>
      </c>
      <c r="H324" s="49" t="str">
        <f>IF(B324="","",IF(ISNA(VLOOKUP(A324,'75m'!F$5:K$302,6,FALSE)),"",VLOOKUP(A324,'75m'!F$5:K$302,6,FALSE)))</f>
        <v>PB6</v>
      </c>
      <c r="I324" s="51">
        <f>IF(B324="",0,IF(ISNA(VLOOKUP(A324,'600m'!F$5:J$302,2,FALSE)),0,VLOOKUP(A324,'600m'!F$5:J$302,2,FALSE)))</f>
        <v>1.7476851851851852E-3</v>
      </c>
      <c r="J324" s="49">
        <f>IF(B324="",0,IF(ISNA(_xlfn.XLOOKUP(A324,'600m'!F$5:F$302,'600m'!M$5:M$302)),0,_xlfn.XLOOKUP(A324,'600m'!F$5:F$302,'600m'!M$5:M$302)))</f>
        <v>19</v>
      </c>
      <c r="K324" s="49" t="str">
        <f>IF(B324="","",IF(ISNA(VLOOKUP(A324,'600m'!F$5:K$302,6,FALSE)),"",VLOOKUP(A324,'600m'!F$5:K$302,6,FALSE)))</f>
        <v/>
      </c>
      <c r="L324" s="49">
        <f>IF(B324="","",IF(ISNA(VLOOKUP(A324,LongJump!F$5:G$302,2,FALSE)),"",VLOOKUP(A324,LongJump!F$5:G$302,2,FALSE)))</f>
        <v>3.62</v>
      </c>
      <c r="M324" s="49">
        <f>IF(B324="",0,IF(ISNA(_xlfn.XLOOKUP(A324,LongJump!F$5:F$302,LongJump!M$5:M$302)),0,_xlfn.XLOOKUP(A324,LongJump!F$5:F$302,LongJump!M$5:M$302)))</f>
        <v>84</v>
      </c>
      <c r="N324" s="49" t="str">
        <f>IF(B324="","",IF(ISNA(VLOOKUP(A324,LongJump!F$5:K$302,6,FALSE)),0,VLOOKUP(A324,LongJump!F$5:K$302,6,FALSE)))</f>
        <v>PB7</v>
      </c>
      <c r="O324" s="49">
        <f>IF(B324="","",IF(ISNA(VLOOKUP(A324,Vortex!F$5:J$302,2,FALSE)),"",VLOOKUP(A324,Vortex!F$5:J$302,2,FALSE)))</f>
        <v>15.47</v>
      </c>
      <c r="P324" s="49">
        <f>IF(B324="",0,IF(ISNA(_xlfn.XLOOKUP(A324,Vortex!F$5:F$302,Vortex!M$5:M$302)),0,_xlfn.XLOOKUP(A324,Vortex!F$5:F$302,Vortex!M$5:M$302)))</f>
        <v>27</v>
      </c>
      <c r="Q324" s="49">
        <f t="shared" si="27"/>
        <v>202</v>
      </c>
      <c r="R324" s="49" t="str">
        <f t="shared" si="28"/>
        <v/>
      </c>
      <c r="S324" s="49">
        <f t="shared" si="29"/>
        <v>5</v>
      </c>
      <c r="T324" s="49" t="str">
        <f t="shared" si="30"/>
        <v/>
      </c>
      <c r="U324" s="49">
        <f t="shared" si="31"/>
        <v>36</v>
      </c>
    </row>
    <row r="325" spans="1:21">
      <c r="A325" s="49">
        <f>IF(Declarations!B82=0,"",Declarations!B82)</f>
        <v>77</v>
      </c>
      <c r="B325" s="150" t="str">
        <f>IF(ISNA(VLOOKUP(A325,Declarations!B$6:C$185,2,FALSE)),"",IF(VLOOKUP(A325,Declarations!B$6:C$185,2,FALSE)="","",VLOOKUP(A325,Declarations!B$6:C$185,2,FALSE)))</f>
        <v/>
      </c>
      <c r="C325" s="150" t="str">
        <f>IF(ISNA(VLOOKUP(A325,Declarations!B$6:F$185,5,FALSE)),"",IF(VLOOKUP(A325,Declarations!B$6:F$185,5,FALSE)="","",VLOOKUP(A325,Declarations!B$6:F$185,5,FALSE)))</f>
        <v>Fleet &amp; Crookham AC</v>
      </c>
      <c r="D325" s="150" t="str">
        <f>IF(ISNA(VLOOKUP(A325,Declarations!B$6:F$185,4,FALSE)),"",IF(VLOOKUP(A325,Declarations!B$6:F$185,4,FALSE)="","",VLOOKUP(A325,Declarations!B$6:F$185,4,FALSE)))</f>
        <v>BOYS</v>
      </c>
      <c r="E325" s="150" t="str">
        <f>IF(ISNA(VLOOKUP(A325,Declarations!B$6:D$185,3,FALSE)),"",IF(VLOOKUP(A325,Declarations!B$6:D$185,3,FALSE)="","",VLOOKUP(A325,Declarations!B$6:D$185,3,FALSE)))</f>
        <v>U12</v>
      </c>
      <c r="F325" s="49" t="str">
        <f>IF(B325="","",IF(ISNA(VLOOKUP(A325,'75m'!F$5:G$302,2,FALSE)),"",VLOOKUP(A325,'75m'!F$5:G$302,2,FALSE)))</f>
        <v/>
      </c>
      <c r="G325" s="49">
        <f>IF(B325="",0,IF(ISNA(_xlfn.XLOOKUP(A325,'75m'!F$5:F$302,'75m'!M$5:M$302)),0,_xlfn.XLOOKUP(A325,'75m'!F$5:F$302,'75m'!M$5:M$302)))</f>
        <v>0</v>
      </c>
      <c r="H325" s="49" t="str">
        <f>IF(B325="","",IF(ISNA(VLOOKUP(A325,'75m'!F$5:K$302,6,FALSE)),"",VLOOKUP(A325,'75m'!F$5:K$302,6,FALSE)))</f>
        <v/>
      </c>
      <c r="I325" s="51">
        <f>IF(B325="",0,IF(ISNA(VLOOKUP(A325,'600m'!F$5:J$302,2,FALSE)),0,VLOOKUP(A325,'600m'!F$5:J$302,2,FALSE)))</f>
        <v>0</v>
      </c>
      <c r="J325" s="49">
        <f>IF(B325="",0,IF(ISNA(_xlfn.XLOOKUP(A325,'600m'!F$5:F$302,'600m'!M$5:M$302)),0,_xlfn.XLOOKUP(A325,'600m'!F$5:F$302,'600m'!M$5:M$302)))</f>
        <v>0</v>
      </c>
      <c r="K325" s="49" t="str">
        <f>IF(B325="","",IF(ISNA(VLOOKUP(A325,'600m'!F$5:K$302,6,FALSE)),"",VLOOKUP(A325,'600m'!F$5:K$302,6,FALSE)))</f>
        <v/>
      </c>
      <c r="L325" s="49" t="str">
        <f>IF(B325="","",IF(ISNA(VLOOKUP(A325,LongJump!F$5:G$302,2,FALSE)),"",VLOOKUP(A325,LongJump!F$5:G$302,2,FALSE)))</f>
        <v/>
      </c>
      <c r="M325" s="49">
        <f>IF(B325="",0,IF(ISNA(_xlfn.XLOOKUP(A325,LongJump!F$5:F$302,LongJump!M$5:M$302)),0,_xlfn.XLOOKUP(A325,LongJump!F$5:F$302,LongJump!M$5:M$302)))</f>
        <v>0</v>
      </c>
      <c r="N325" s="49" t="str">
        <f>IF(B325="","",IF(ISNA(VLOOKUP(A325,LongJump!F$5:K$302,6,FALSE)),0,VLOOKUP(A325,LongJump!F$5:K$302,6,FALSE)))</f>
        <v/>
      </c>
      <c r="O325" s="49" t="str">
        <f>IF(B325="","",IF(ISNA(VLOOKUP(A325,Vortex!F$5:J$302,2,FALSE)),"",VLOOKUP(A325,Vortex!F$5:J$302,2,FALSE)))</f>
        <v/>
      </c>
      <c r="P325" s="49">
        <f>IF(B325="",0,IF(ISNA(_xlfn.XLOOKUP(A325,Vortex!F$5:F$302,Vortex!M$5:M$302)),0,_xlfn.XLOOKUP(A325,Vortex!F$5:F$302,Vortex!M$5:M$302)))</f>
        <v>0</v>
      </c>
      <c r="Q325" s="49">
        <f t="shared" si="27"/>
        <v>0</v>
      </c>
      <c r="R325" s="49" t="str">
        <f t="shared" si="28"/>
        <v/>
      </c>
      <c r="S325" s="49" t="str">
        <f t="shared" si="29"/>
        <v/>
      </c>
      <c r="T325" s="49" t="str">
        <f t="shared" si="30"/>
        <v/>
      </c>
      <c r="U325" s="49" t="str">
        <f t="shared" si="31"/>
        <v/>
      </c>
    </row>
    <row r="326" spans="1:21">
      <c r="A326" s="49">
        <f>IF(Declarations!B83=0,"",Declarations!B83)</f>
        <v>78</v>
      </c>
      <c r="B326" s="150" t="str">
        <f>IF(ISNA(VLOOKUP(A326,Declarations!B$6:C$185,2,FALSE)),"",IF(VLOOKUP(A326,Declarations!B$6:C$185,2,FALSE)="","",VLOOKUP(A326,Declarations!B$6:C$185,2,FALSE)))</f>
        <v/>
      </c>
      <c r="C326" s="150" t="str">
        <f>IF(ISNA(VLOOKUP(A326,Declarations!B$6:F$185,5,FALSE)),"",IF(VLOOKUP(A326,Declarations!B$6:F$185,5,FALSE)="","",VLOOKUP(A326,Declarations!B$6:F$185,5,FALSE)))</f>
        <v>Fleet &amp; Crookham AC</v>
      </c>
      <c r="D326" s="150" t="str">
        <f>IF(ISNA(VLOOKUP(A326,Declarations!B$6:F$185,4,FALSE)),"",IF(VLOOKUP(A326,Declarations!B$6:F$185,4,FALSE)="","",VLOOKUP(A326,Declarations!B$6:F$185,4,FALSE)))</f>
        <v>BOYS</v>
      </c>
      <c r="E326" s="150" t="str">
        <f>IF(ISNA(VLOOKUP(A326,Declarations!B$6:D$185,3,FALSE)),"",IF(VLOOKUP(A326,Declarations!B$6:D$185,3,FALSE)="","",VLOOKUP(A326,Declarations!B$6:D$185,3,FALSE)))</f>
        <v>U12</v>
      </c>
      <c r="F326" s="49" t="str">
        <f>IF(B326="","",IF(ISNA(VLOOKUP(A326,'75m'!F$5:G$302,2,FALSE)),"",VLOOKUP(A326,'75m'!F$5:G$302,2,FALSE)))</f>
        <v/>
      </c>
      <c r="G326" s="49">
        <f>IF(B326="",0,IF(ISNA(_xlfn.XLOOKUP(A326,'75m'!F$5:F$302,'75m'!M$5:M$302)),0,_xlfn.XLOOKUP(A326,'75m'!F$5:F$302,'75m'!M$5:M$302)))</f>
        <v>0</v>
      </c>
      <c r="H326" s="49" t="str">
        <f>IF(B326="","",IF(ISNA(VLOOKUP(A326,'75m'!F$5:K$302,6,FALSE)),"",VLOOKUP(A326,'75m'!F$5:K$302,6,FALSE)))</f>
        <v/>
      </c>
      <c r="I326" s="51">
        <f>IF(B326="",0,IF(ISNA(VLOOKUP(A326,'600m'!F$5:J$302,2,FALSE)),0,VLOOKUP(A326,'600m'!F$5:J$302,2,FALSE)))</f>
        <v>0</v>
      </c>
      <c r="J326" s="49">
        <f>IF(B326="",0,IF(ISNA(_xlfn.XLOOKUP(A326,'600m'!F$5:F$302,'600m'!M$5:M$302)),0,_xlfn.XLOOKUP(A326,'600m'!F$5:F$302,'600m'!M$5:M$302)))</f>
        <v>0</v>
      </c>
      <c r="K326" s="49" t="str">
        <f>IF(B326="","",IF(ISNA(VLOOKUP(A326,'600m'!F$5:K$302,6,FALSE)),"",VLOOKUP(A326,'600m'!F$5:K$302,6,FALSE)))</f>
        <v/>
      </c>
      <c r="L326" s="49" t="str">
        <f>IF(B326="","",IF(ISNA(VLOOKUP(A326,LongJump!F$5:G$302,2,FALSE)),"",VLOOKUP(A326,LongJump!F$5:G$302,2,FALSE)))</f>
        <v/>
      </c>
      <c r="M326" s="49">
        <f>IF(B326="",0,IF(ISNA(_xlfn.XLOOKUP(A326,LongJump!F$5:F$302,LongJump!M$5:M$302)),0,_xlfn.XLOOKUP(A326,LongJump!F$5:F$302,LongJump!M$5:M$302)))</f>
        <v>0</v>
      </c>
      <c r="N326" s="49" t="str">
        <f>IF(B326="","",IF(ISNA(VLOOKUP(A326,LongJump!F$5:K$302,6,FALSE)),0,VLOOKUP(A326,LongJump!F$5:K$302,6,FALSE)))</f>
        <v/>
      </c>
      <c r="O326" s="49" t="str">
        <f>IF(B326="","",IF(ISNA(VLOOKUP(A326,Vortex!F$5:J$302,2,FALSE)),"",VLOOKUP(A326,Vortex!F$5:J$302,2,FALSE)))</f>
        <v/>
      </c>
      <c r="P326" s="49">
        <f>IF(B326="",0,IF(ISNA(_xlfn.XLOOKUP(A326,Vortex!F$5:F$302,Vortex!M$5:M$302)),0,_xlfn.XLOOKUP(A326,Vortex!F$5:F$302,Vortex!M$5:M$302)))</f>
        <v>0</v>
      </c>
      <c r="Q326" s="49">
        <f t="shared" si="27"/>
        <v>0</v>
      </c>
      <c r="R326" s="49" t="str">
        <f t="shared" si="28"/>
        <v/>
      </c>
      <c r="S326" s="49" t="str">
        <f t="shared" si="29"/>
        <v/>
      </c>
      <c r="T326" s="49" t="str">
        <f t="shared" si="30"/>
        <v/>
      </c>
      <c r="U326" s="49" t="str">
        <f t="shared" si="31"/>
        <v/>
      </c>
    </row>
    <row r="327" spans="1:21">
      <c r="A327" s="49">
        <f>IF(Declarations!B84=0,"",Declarations!B84)</f>
        <v>79</v>
      </c>
      <c r="B327" s="150" t="str">
        <f>IF(ISNA(VLOOKUP(A327,Declarations!B$6:C$185,2,FALSE)),"",IF(VLOOKUP(A327,Declarations!B$6:C$185,2,FALSE)="","",VLOOKUP(A327,Declarations!B$6:C$185,2,FALSE)))</f>
        <v/>
      </c>
      <c r="C327" s="150" t="str">
        <f>IF(ISNA(VLOOKUP(A327,Declarations!B$6:F$185,5,FALSE)),"",IF(VLOOKUP(A327,Declarations!B$6:F$185,5,FALSE)="","",VLOOKUP(A327,Declarations!B$6:F$185,5,FALSE)))</f>
        <v>Fleet &amp; Crookham AC</v>
      </c>
      <c r="D327" s="150" t="str">
        <f>IF(ISNA(VLOOKUP(A327,Declarations!B$6:F$185,4,FALSE)),"",IF(VLOOKUP(A327,Declarations!B$6:F$185,4,FALSE)="","",VLOOKUP(A327,Declarations!B$6:F$185,4,FALSE)))</f>
        <v>BOYS</v>
      </c>
      <c r="E327" s="150" t="str">
        <f>IF(ISNA(VLOOKUP(A327,Declarations!B$6:D$185,3,FALSE)),"",IF(VLOOKUP(A327,Declarations!B$6:D$185,3,FALSE)="","",VLOOKUP(A327,Declarations!B$6:D$185,3,FALSE)))</f>
        <v>U12</v>
      </c>
      <c r="F327" s="49" t="str">
        <f>IF(B327="","",IF(ISNA(VLOOKUP(A327,'75m'!F$5:G$302,2,FALSE)),"",VLOOKUP(A327,'75m'!F$5:G$302,2,FALSE)))</f>
        <v/>
      </c>
      <c r="G327" s="49">
        <f>IF(B327="",0,IF(ISNA(_xlfn.XLOOKUP(A327,'75m'!F$5:F$302,'75m'!M$5:M$302)),0,_xlfn.XLOOKUP(A327,'75m'!F$5:F$302,'75m'!M$5:M$302)))</f>
        <v>0</v>
      </c>
      <c r="H327" s="49" t="str">
        <f>IF(B327="","",IF(ISNA(VLOOKUP(A327,'75m'!F$5:K$302,6,FALSE)),"",VLOOKUP(A327,'75m'!F$5:K$302,6,FALSE)))</f>
        <v/>
      </c>
      <c r="I327" s="51">
        <f>IF(B327="",0,IF(ISNA(VLOOKUP(A327,'600m'!F$5:J$302,2,FALSE)),0,VLOOKUP(A327,'600m'!F$5:J$302,2,FALSE)))</f>
        <v>0</v>
      </c>
      <c r="J327" s="49">
        <f>IF(B327="",0,IF(ISNA(_xlfn.XLOOKUP(A327,'600m'!F$5:F$302,'600m'!M$5:M$302)),0,_xlfn.XLOOKUP(A327,'600m'!F$5:F$302,'600m'!M$5:M$302)))</f>
        <v>0</v>
      </c>
      <c r="K327" s="49" t="str">
        <f>IF(B327="","",IF(ISNA(VLOOKUP(A327,'600m'!F$5:K$302,6,FALSE)),"",VLOOKUP(A327,'600m'!F$5:K$302,6,FALSE)))</f>
        <v/>
      </c>
      <c r="L327" s="49" t="str">
        <f>IF(B327="","",IF(ISNA(VLOOKUP(A327,LongJump!F$5:G$302,2,FALSE)),"",VLOOKUP(A327,LongJump!F$5:G$302,2,FALSE)))</f>
        <v/>
      </c>
      <c r="M327" s="49">
        <f>IF(B327="",0,IF(ISNA(_xlfn.XLOOKUP(A327,LongJump!F$5:F$302,LongJump!M$5:M$302)),0,_xlfn.XLOOKUP(A327,LongJump!F$5:F$302,LongJump!M$5:M$302)))</f>
        <v>0</v>
      </c>
      <c r="N327" s="49" t="str">
        <f>IF(B327="","",IF(ISNA(VLOOKUP(A327,LongJump!F$5:K$302,6,FALSE)),0,VLOOKUP(A327,LongJump!F$5:K$302,6,FALSE)))</f>
        <v/>
      </c>
      <c r="O327" s="49" t="str">
        <f>IF(B327="","",IF(ISNA(VLOOKUP(A327,Vortex!F$5:J$302,2,FALSE)),"",VLOOKUP(A327,Vortex!F$5:J$302,2,FALSE)))</f>
        <v/>
      </c>
      <c r="P327" s="49">
        <f>IF(B327="",0,IF(ISNA(_xlfn.XLOOKUP(A327,Vortex!F$5:F$302,Vortex!M$5:M$302)),0,_xlfn.XLOOKUP(A327,Vortex!F$5:F$302,Vortex!M$5:M$302)))</f>
        <v>0</v>
      </c>
      <c r="Q327" s="49">
        <f t="shared" si="27"/>
        <v>0</v>
      </c>
      <c r="R327" s="49" t="str">
        <f t="shared" si="28"/>
        <v/>
      </c>
      <c r="S327" s="49" t="str">
        <f t="shared" si="29"/>
        <v/>
      </c>
      <c r="T327" s="49" t="str">
        <f t="shared" si="30"/>
        <v/>
      </c>
      <c r="U327" s="49" t="str">
        <f t="shared" si="31"/>
        <v/>
      </c>
    </row>
    <row r="328" spans="1:21">
      <c r="A328" s="49">
        <f>IF(Declarations!B85=0,"",Declarations!B85)</f>
        <v>80</v>
      </c>
      <c r="B328" s="150" t="str">
        <f>IF(ISNA(VLOOKUP(A328,Declarations!B$6:C$185,2,FALSE)),"",IF(VLOOKUP(A328,Declarations!B$6:C$185,2,FALSE)="","",VLOOKUP(A328,Declarations!B$6:C$185,2,FALSE)))</f>
        <v/>
      </c>
      <c r="C328" s="150" t="str">
        <f>IF(ISNA(VLOOKUP(A328,Declarations!B$6:F$185,5,FALSE)),"",IF(VLOOKUP(A328,Declarations!B$6:F$185,5,FALSE)="","",VLOOKUP(A328,Declarations!B$6:F$185,5,FALSE)))</f>
        <v>Fleet &amp; Crookham AC</v>
      </c>
      <c r="D328" s="150" t="str">
        <f>IF(ISNA(VLOOKUP(A328,Declarations!B$6:F$185,4,FALSE)),"",IF(VLOOKUP(A328,Declarations!B$6:F$185,4,FALSE)="","",VLOOKUP(A328,Declarations!B$6:F$185,4,FALSE)))</f>
        <v>BOYS</v>
      </c>
      <c r="E328" s="150" t="str">
        <f>IF(ISNA(VLOOKUP(A328,Declarations!B$6:D$185,3,FALSE)),"",IF(VLOOKUP(A328,Declarations!B$6:D$185,3,FALSE)="","",VLOOKUP(A328,Declarations!B$6:D$185,3,FALSE)))</f>
        <v>U12</v>
      </c>
      <c r="F328" s="49" t="str">
        <f>IF(B328="","",IF(ISNA(VLOOKUP(A328,'75m'!F$5:G$302,2,FALSE)),"",VLOOKUP(A328,'75m'!F$5:G$302,2,FALSE)))</f>
        <v/>
      </c>
      <c r="G328" s="49">
        <f>IF(B328="",0,IF(ISNA(_xlfn.XLOOKUP(A328,'75m'!F$5:F$302,'75m'!M$5:M$302)),0,_xlfn.XLOOKUP(A328,'75m'!F$5:F$302,'75m'!M$5:M$302)))</f>
        <v>0</v>
      </c>
      <c r="H328" s="49" t="str">
        <f>IF(B328="","",IF(ISNA(VLOOKUP(A328,'75m'!F$5:K$302,6,FALSE)),"",VLOOKUP(A328,'75m'!F$5:K$302,6,FALSE)))</f>
        <v/>
      </c>
      <c r="I328" s="51">
        <f>IF(B328="",0,IF(ISNA(VLOOKUP(A328,'600m'!F$5:J$302,2,FALSE)),0,VLOOKUP(A328,'600m'!F$5:J$302,2,FALSE)))</f>
        <v>0</v>
      </c>
      <c r="J328" s="49">
        <f>IF(B328="",0,IF(ISNA(_xlfn.XLOOKUP(A328,'600m'!F$5:F$302,'600m'!M$5:M$302)),0,_xlfn.XLOOKUP(A328,'600m'!F$5:F$302,'600m'!M$5:M$302)))</f>
        <v>0</v>
      </c>
      <c r="K328" s="49" t="str">
        <f>IF(B328="","",IF(ISNA(VLOOKUP(A328,'600m'!F$5:K$302,6,FALSE)),"",VLOOKUP(A328,'600m'!F$5:K$302,6,FALSE)))</f>
        <v/>
      </c>
      <c r="L328" s="49" t="str">
        <f>IF(B328="","",IF(ISNA(VLOOKUP(A328,LongJump!F$5:G$302,2,FALSE)),"",VLOOKUP(A328,LongJump!F$5:G$302,2,FALSE)))</f>
        <v/>
      </c>
      <c r="M328" s="49">
        <f>IF(B328="",0,IF(ISNA(_xlfn.XLOOKUP(A328,LongJump!F$5:F$302,LongJump!M$5:M$302)),0,_xlfn.XLOOKUP(A328,LongJump!F$5:F$302,LongJump!M$5:M$302)))</f>
        <v>0</v>
      </c>
      <c r="N328" s="49" t="str">
        <f>IF(B328="","",IF(ISNA(VLOOKUP(A328,LongJump!F$5:K$302,6,FALSE)),0,VLOOKUP(A328,LongJump!F$5:K$302,6,FALSE)))</f>
        <v/>
      </c>
      <c r="O328" s="49" t="str">
        <f>IF(B328="","",IF(ISNA(VLOOKUP(A328,Vortex!F$5:J$302,2,FALSE)),"",VLOOKUP(A328,Vortex!F$5:J$302,2,FALSE)))</f>
        <v/>
      </c>
      <c r="P328" s="49">
        <f>IF(B328="",0,IF(ISNA(_xlfn.XLOOKUP(A328,Vortex!F$5:F$302,Vortex!M$5:M$302)),0,_xlfn.XLOOKUP(A328,Vortex!F$5:F$302,Vortex!M$5:M$302)))</f>
        <v>0</v>
      </c>
      <c r="Q328" s="49">
        <f t="shared" si="27"/>
        <v>0</v>
      </c>
      <c r="R328" s="49" t="str">
        <f t="shared" si="28"/>
        <v/>
      </c>
      <c r="S328" s="49" t="str">
        <f t="shared" si="29"/>
        <v/>
      </c>
      <c r="T328" s="49" t="str">
        <f t="shared" si="30"/>
        <v/>
      </c>
      <c r="U328" s="49" t="str">
        <f t="shared" si="31"/>
        <v/>
      </c>
    </row>
    <row r="329" spans="1:21">
      <c r="A329" s="49">
        <f>IF(Declarations!B86=0,"",Declarations!B86)</f>
        <v>81</v>
      </c>
      <c r="B329" s="150" t="str">
        <f>IF(ISNA(VLOOKUP(A329,Declarations!B$6:C$185,2,FALSE)),"",IF(VLOOKUP(A329,Declarations!B$6:C$185,2,FALSE)="","",VLOOKUP(A329,Declarations!B$6:C$185,2,FALSE)))</f>
        <v>FREYA BURGE</v>
      </c>
      <c r="C329" s="150" t="str">
        <f>IF(ISNA(VLOOKUP(A329,Declarations!B$6:F$185,5,FALSE)),"",IF(VLOOKUP(A329,Declarations!B$6:F$185,5,FALSE)="","",VLOOKUP(A329,Declarations!B$6:F$185,5,FALSE)))</f>
        <v>Waverley Athletics Club</v>
      </c>
      <c r="D329" s="150" t="str">
        <f>IF(ISNA(VLOOKUP(A329,Declarations!B$6:F$185,4,FALSE)),"",IF(VLOOKUP(A329,Declarations!B$6:F$185,4,FALSE)="","",VLOOKUP(A329,Declarations!B$6:F$185,4,FALSE)))</f>
        <v>GIRLS</v>
      </c>
      <c r="E329" s="150" t="str">
        <f>IF(ISNA(VLOOKUP(A329,Declarations!B$6:D$185,3,FALSE)),"",IF(VLOOKUP(A329,Declarations!B$6:D$185,3,FALSE)="","",VLOOKUP(A329,Declarations!B$6:D$185,3,FALSE)))</f>
        <v>U12</v>
      </c>
      <c r="F329" s="49">
        <f>IF(B329="","",IF(ISNA(VLOOKUP(A329,'75m'!F$5:G$302,2,FALSE)),"",VLOOKUP(A329,'75m'!F$5:G$302,2,FALSE)))</f>
        <v>11.8</v>
      </c>
      <c r="G329" s="49">
        <f>IF(B329="",0,IF(ISNA(_xlfn.XLOOKUP(A329,'75m'!F$5:F$302,'75m'!M$5:M$302)),0,_xlfn.XLOOKUP(A329,'75m'!F$5:F$302,'75m'!M$5:M$302)))</f>
        <v>97</v>
      </c>
      <c r="H329" s="49" t="str">
        <f>IF(B329="","",IF(ISNA(VLOOKUP(A329,'75m'!F$5:K$302,6,FALSE)),"",VLOOKUP(A329,'75m'!F$5:K$302,6,FALSE)))</f>
        <v>PB8</v>
      </c>
      <c r="I329" s="51">
        <f>IF(B329="",0,IF(ISNA(VLOOKUP(A329,'600m'!F$5:J$302,2,FALSE)),0,VLOOKUP(A329,'600m'!F$5:J$302,2,FALSE)))</f>
        <v>1.414351851851852E-3</v>
      </c>
      <c r="J329" s="49">
        <f>IF(B329="",0,IF(ISNA(_xlfn.XLOOKUP(A329,'600m'!F$5:F$302,'600m'!M$5:M$302)),0,_xlfn.XLOOKUP(A329,'600m'!F$5:F$302,'600m'!M$5:M$302)))</f>
        <v>75</v>
      </c>
      <c r="K329" s="49" t="str">
        <f>IF(B329="","",IF(ISNA(VLOOKUP(A329,'600m'!F$5:K$302,6,FALSE)),"",VLOOKUP(A329,'600m'!F$5:K$302,6,FALSE)))</f>
        <v>PB5</v>
      </c>
      <c r="L329" s="49">
        <f>IF(B329="","",IF(ISNA(VLOOKUP(A329,LongJump!F$5:G$302,2,FALSE)),"",VLOOKUP(A329,LongJump!F$5:G$302,2,FALSE)))</f>
        <v>3.15</v>
      </c>
      <c r="M329" s="49">
        <f>IF(B329="",0,IF(ISNA(_xlfn.XLOOKUP(A329,LongJump!F$5:F$302,LongJump!M$5:M$302)),0,_xlfn.XLOOKUP(A329,LongJump!F$5:F$302,LongJump!M$5:M$302)))</f>
        <v>75</v>
      </c>
      <c r="N329" s="49" t="str">
        <f>IF(B329="","",IF(ISNA(VLOOKUP(A329,LongJump!F$5:K$302,6,FALSE)),0,VLOOKUP(A329,LongJump!F$5:K$302,6,FALSE)))</f>
        <v>PB6</v>
      </c>
      <c r="O329" s="49">
        <f>IF(B329="","",IF(ISNA(VLOOKUP(A329,Vortex!F$5:J$302,2,FALSE)),"",VLOOKUP(A329,Vortex!F$5:J$302,2,FALSE)))</f>
        <v>14.91</v>
      </c>
      <c r="P329" s="49">
        <f>IF(B329="",0,IF(ISNA(_xlfn.XLOOKUP(A329,Vortex!F$5:F$302,Vortex!M$5:M$302)),0,_xlfn.XLOOKUP(A329,Vortex!F$5:F$302,Vortex!M$5:M$302)))</f>
        <v>34</v>
      </c>
      <c r="Q329" s="49">
        <f t="shared" si="27"/>
        <v>281</v>
      </c>
      <c r="R329" s="49" t="str">
        <f t="shared" si="28"/>
        <v/>
      </c>
      <c r="S329" s="49">
        <f t="shared" si="29"/>
        <v>5</v>
      </c>
      <c r="T329" s="49" t="str">
        <f t="shared" si="30"/>
        <v/>
      </c>
      <c r="U329" s="49">
        <f t="shared" si="31"/>
        <v>14</v>
      </c>
    </row>
    <row r="330" spans="1:21">
      <c r="A330" s="49">
        <f>IF(Declarations!B87=0,"",Declarations!B87)</f>
        <v>82</v>
      </c>
      <c r="B330" s="150" t="str">
        <f>IF(ISNA(VLOOKUP(A330,Declarations!B$6:C$185,2,FALSE)),"",IF(VLOOKUP(A330,Declarations!B$6:C$185,2,FALSE)="","",VLOOKUP(A330,Declarations!B$6:C$185,2,FALSE)))</f>
        <v>MATILDA KEER</v>
      </c>
      <c r="C330" s="150" t="str">
        <f>IF(ISNA(VLOOKUP(A330,Declarations!B$6:F$185,5,FALSE)),"",IF(VLOOKUP(A330,Declarations!B$6:F$185,5,FALSE)="","",VLOOKUP(A330,Declarations!B$6:F$185,5,FALSE)))</f>
        <v>Waverley Athletics Club</v>
      </c>
      <c r="D330" s="150" t="str">
        <f>IF(ISNA(VLOOKUP(A330,Declarations!B$6:F$185,4,FALSE)),"",IF(VLOOKUP(A330,Declarations!B$6:F$185,4,FALSE)="","",VLOOKUP(A330,Declarations!B$6:F$185,4,FALSE)))</f>
        <v>GIRLS</v>
      </c>
      <c r="E330" s="150" t="str">
        <f>IF(ISNA(VLOOKUP(A330,Declarations!B$6:D$185,3,FALSE)),"",IF(VLOOKUP(A330,Declarations!B$6:D$185,3,FALSE)="","",VLOOKUP(A330,Declarations!B$6:D$185,3,FALSE)))</f>
        <v>U12</v>
      </c>
      <c r="F330" s="49">
        <f>IF(B330="","",IF(ISNA(VLOOKUP(A330,'75m'!F$5:G$302,2,FALSE)),"",VLOOKUP(A330,'75m'!F$5:G$302,2,FALSE)))</f>
        <v>11.8</v>
      </c>
      <c r="G330" s="49">
        <f>IF(B330="",0,IF(ISNA(_xlfn.XLOOKUP(A330,'75m'!F$5:F$302,'75m'!M$5:M$302)),0,_xlfn.XLOOKUP(A330,'75m'!F$5:F$302,'75m'!M$5:M$302)))</f>
        <v>97</v>
      </c>
      <c r="H330" s="49" t="str">
        <f>IF(B330="","",IF(ISNA(VLOOKUP(A330,'75m'!F$5:K$302,6,FALSE)),"",VLOOKUP(A330,'75m'!F$5:K$302,6,FALSE)))</f>
        <v>PB8</v>
      </c>
      <c r="I330" s="51">
        <f>IF(B330="",0,IF(ISNA(VLOOKUP(A330,'600m'!F$5:J$302,2,FALSE)),0,VLOOKUP(A330,'600m'!F$5:J$302,2,FALSE)))</f>
        <v>1.4918981481481482E-3</v>
      </c>
      <c r="J330" s="49">
        <f>IF(B330="",0,IF(ISNA(_xlfn.XLOOKUP(A330,'600m'!F$5:F$302,'600m'!M$5:M$302)),0,_xlfn.XLOOKUP(A330,'600m'!F$5:F$302,'600m'!M$5:M$302)))</f>
        <v>62</v>
      </c>
      <c r="K330" s="49" t="str">
        <f>IF(B330="","",IF(ISNA(VLOOKUP(A330,'600m'!F$5:K$302,6,FALSE)),"",VLOOKUP(A330,'600m'!F$5:K$302,6,FALSE)))</f>
        <v>PB4</v>
      </c>
      <c r="L330" s="49">
        <f>IF(B330="","",IF(ISNA(VLOOKUP(A330,LongJump!F$5:G$302,2,FALSE)),"",VLOOKUP(A330,LongJump!F$5:G$302,2,FALSE)))</f>
        <v>3.58</v>
      </c>
      <c r="M330" s="49">
        <f>IF(B330="",0,IF(ISNA(_xlfn.XLOOKUP(A330,LongJump!F$5:F$302,LongJump!M$5:M$302)),0,_xlfn.XLOOKUP(A330,LongJump!F$5:F$302,LongJump!M$5:M$302)))</f>
        <v>92</v>
      </c>
      <c r="N330" s="49" t="str">
        <f>IF(B330="","",IF(ISNA(VLOOKUP(A330,LongJump!F$5:K$302,6,FALSE)),0,VLOOKUP(A330,LongJump!F$5:K$302,6,FALSE)))</f>
        <v>PB8</v>
      </c>
      <c r="O330" s="49">
        <f>IF(B330="","",IF(ISNA(VLOOKUP(A330,Vortex!F$5:J$302,2,FALSE)),"",VLOOKUP(A330,Vortex!F$5:J$302,2,FALSE)))</f>
        <v>17.89</v>
      </c>
      <c r="P330" s="49">
        <f>IF(B330="",0,IF(ISNA(_xlfn.XLOOKUP(A330,Vortex!F$5:F$302,Vortex!M$5:M$302)),0,_xlfn.XLOOKUP(A330,Vortex!F$5:F$302,Vortex!M$5:M$302)))</f>
        <v>49</v>
      </c>
      <c r="Q330" s="49">
        <f t="shared" si="27"/>
        <v>300</v>
      </c>
      <c r="R330" s="49" t="str">
        <f t="shared" si="28"/>
        <v/>
      </c>
      <c r="S330" s="49">
        <f t="shared" si="29"/>
        <v>3</v>
      </c>
      <c r="T330" s="49" t="str">
        <f t="shared" si="30"/>
        <v/>
      </c>
      <c r="U330" s="49">
        <f t="shared" si="31"/>
        <v>12</v>
      </c>
    </row>
    <row r="331" spans="1:21">
      <c r="A331" s="49">
        <f>IF(Declarations!B88=0,"",Declarations!B88)</f>
        <v>83</v>
      </c>
      <c r="B331" s="150" t="str">
        <f>IF(ISNA(VLOOKUP(A331,Declarations!B$6:C$185,2,FALSE)),"",IF(VLOOKUP(A331,Declarations!B$6:C$185,2,FALSE)="","",VLOOKUP(A331,Declarations!B$6:C$185,2,FALSE)))</f>
        <v>ELEANOR OLALEMI</v>
      </c>
      <c r="C331" s="150" t="str">
        <f>IF(ISNA(VLOOKUP(A331,Declarations!B$6:F$185,5,FALSE)),"",IF(VLOOKUP(A331,Declarations!B$6:F$185,5,FALSE)="","",VLOOKUP(A331,Declarations!B$6:F$185,5,FALSE)))</f>
        <v>Waverley Athletics Club</v>
      </c>
      <c r="D331" s="150" t="str">
        <f>IF(ISNA(VLOOKUP(A331,Declarations!B$6:F$185,4,FALSE)),"",IF(VLOOKUP(A331,Declarations!B$6:F$185,4,FALSE)="","",VLOOKUP(A331,Declarations!B$6:F$185,4,FALSE)))</f>
        <v>GIRLS</v>
      </c>
      <c r="E331" s="150" t="str">
        <f>IF(ISNA(VLOOKUP(A331,Declarations!B$6:D$185,3,FALSE)),"",IF(VLOOKUP(A331,Declarations!B$6:D$185,3,FALSE)="","",VLOOKUP(A331,Declarations!B$6:D$185,3,FALSE)))</f>
        <v>U12</v>
      </c>
      <c r="F331" s="49">
        <f>IF(B331="","",IF(ISNA(VLOOKUP(A331,'75m'!F$5:G$302,2,FALSE)),"",VLOOKUP(A331,'75m'!F$5:G$302,2,FALSE)))</f>
        <v>15.2</v>
      </c>
      <c r="G331" s="49">
        <f>IF(B331="",0,IF(ISNA(_xlfn.XLOOKUP(A331,'75m'!F$5:F$302,'75m'!M$5:M$302)),0,_xlfn.XLOOKUP(A331,'75m'!F$5:F$302,'75m'!M$5:M$302)))</f>
        <v>28</v>
      </c>
      <c r="H331" s="49" t="str">
        <f>IF(B331="","",IF(ISNA(VLOOKUP(A331,'75m'!F$5:K$302,6,FALSE)),"",VLOOKUP(A331,'75m'!F$5:K$302,6,FALSE)))</f>
        <v>PB1</v>
      </c>
      <c r="I331" s="51">
        <f>IF(B331="",0,IF(ISNA(VLOOKUP(A331,'600m'!F$5:J$302,2,FALSE)),0,VLOOKUP(A331,'600m'!F$5:J$302,2,FALSE)))</f>
        <v>1.7534722222222222E-3</v>
      </c>
      <c r="J331" s="49">
        <f>IF(B331="",0,IF(ISNA(_xlfn.XLOOKUP(A331,'600m'!F$5:F$302,'600m'!M$5:M$302)),0,_xlfn.XLOOKUP(A331,'600m'!F$5:F$302,'600m'!M$5:M$302)))</f>
        <v>23</v>
      </c>
      <c r="K331" s="49" t="str">
        <f>IF(B331="","",IF(ISNA(VLOOKUP(A331,'600m'!F$5:K$302,6,FALSE)),"",VLOOKUP(A331,'600m'!F$5:K$302,6,FALSE)))</f>
        <v>PB1</v>
      </c>
      <c r="L331" s="49">
        <f>IF(B331="","",IF(ISNA(VLOOKUP(A331,LongJump!F$5:G$302,2,FALSE)),"",VLOOKUP(A331,LongJump!F$5:G$302,2,FALSE)))</f>
        <v>2.34</v>
      </c>
      <c r="M331" s="49">
        <f>IF(B331="",0,IF(ISNA(_xlfn.XLOOKUP(A331,LongJump!F$5:F$302,LongJump!M$5:M$302)),0,_xlfn.XLOOKUP(A331,LongJump!F$5:F$302,LongJump!M$5:M$302)))</f>
        <v>43</v>
      </c>
      <c r="N331" s="49" t="str">
        <f>IF(B331="","",IF(ISNA(VLOOKUP(A331,LongJump!F$5:K$302,6,FALSE)),0,VLOOKUP(A331,LongJump!F$5:K$302,6,FALSE)))</f>
        <v>PB3</v>
      </c>
      <c r="O331" s="49">
        <f>IF(B331="","",IF(ISNA(VLOOKUP(A331,Vortex!F$5:J$302,2,FALSE)),"",VLOOKUP(A331,Vortex!F$5:J$302,2,FALSE)))</f>
        <v>10.25</v>
      </c>
      <c r="P331" s="49">
        <f>IF(B331="",0,IF(ISNA(_xlfn.XLOOKUP(A331,Vortex!F$5:F$302,Vortex!M$5:M$302)),0,_xlfn.XLOOKUP(A331,Vortex!F$5:F$302,Vortex!M$5:M$302)))</f>
        <v>16</v>
      </c>
      <c r="Q331" s="49">
        <f t="shared" si="27"/>
        <v>110</v>
      </c>
      <c r="R331" s="49" t="str">
        <f t="shared" si="28"/>
        <v/>
      </c>
      <c r="S331" s="49">
        <f t="shared" si="29"/>
        <v>6</v>
      </c>
      <c r="T331" s="49" t="str">
        <f t="shared" si="30"/>
        <v/>
      </c>
      <c r="U331" s="49">
        <f t="shared" si="31"/>
        <v>45</v>
      </c>
    </row>
    <row r="332" spans="1:21">
      <c r="A332" s="49">
        <f>IF(Declarations!B89=0,"",Declarations!B89)</f>
        <v>84</v>
      </c>
      <c r="B332" s="150" t="str">
        <f>IF(ISNA(VLOOKUP(A332,Declarations!B$6:C$185,2,FALSE)),"",IF(VLOOKUP(A332,Declarations!B$6:C$185,2,FALSE)="","",VLOOKUP(A332,Declarations!B$6:C$185,2,FALSE)))</f>
        <v>FREYA MCKENZIE</v>
      </c>
      <c r="C332" s="150" t="str">
        <f>IF(ISNA(VLOOKUP(A332,Declarations!B$6:F$185,5,FALSE)),"",IF(VLOOKUP(A332,Declarations!B$6:F$185,5,FALSE)="","",VLOOKUP(A332,Declarations!B$6:F$185,5,FALSE)))</f>
        <v>Waverley Athletics Club</v>
      </c>
      <c r="D332" s="150" t="str">
        <f>IF(ISNA(VLOOKUP(A332,Declarations!B$6:F$185,4,FALSE)),"",IF(VLOOKUP(A332,Declarations!B$6:F$185,4,FALSE)="","",VLOOKUP(A332,Declarations!B$6:F$185,4,FALSE)))</f>
        <v>GIRLS</v>
      </c>
      <c r="E332" s="150" t="str">
        <f>IF(ISNA(VLOOKUP(A332,Declarations!B$6:D$185,3,FALSE)),"",IF(VLOOKUP(A332,Declarations!B$6:D$185,3,FALSE)="","",VLOOKUP(A332,Declarations!B$6:D$185,3,FALSE)))</f>
        <v>U12</v>
      </c>
      <c r="F332" s="49">
        <f>IF(B332="","",IF(ISNA(VLOOKUP(A332,'75m'!F$5:G$302,2,FALSE)),"",VLOOKUP(A332,'75m'!F$5:G$302,2,FALSE)))</f>
        <v>11.3</v>
      </c>
      <c r="G332" s="49">
        <f>IF(B332="",0,IF(ISNA(_xlfn.XLOOKUP(A332,'75m'!F$5:F$302,'75m'!M$5:M$302)),0,_xlfn.XLOOKUP(A332,'75m'!F$5:F$302,'75m'!M$5:M$302)))</f>
        <v>108</v>
      </c>
      <c r="H332" s="49" t="str">
        <f>IF(B332="","",IF(ISNA(VLOOKUP(A332,'75m'!F$5:K$302,6,FALSE)),"",VLOOKUP(A332,'75m'!F$5:K$302,6,FALSE)))</f>
        <v>PB9</v>
      </c>
      <c r="I332" s="51">
        <f>IF(B332="",0,IF(ISNA(VLOOKUP(A332,'600m'!F$5:J$302,2,FALSE)),0,VLOOKUP(A332,'600m'!F$5:J$302,2,FALSE)))</f>
        <v>1.6111111111111109E-3</v>
      </c>
      <c r="J332" s="49">
        <f>IF(B332="",0,IF(ISNA(_xlfn.XLOOKUP(A332,'600m'!F$5:F$302,'600m'!M$5:M$302)),0,_xlfn.XLOOKUP(A332,'600m'!F$5:F$302,'600m'!M$5:M$302)))</f>
        <v>41</v>
      </c>
      <c r="K332" s="49" t="str">
        <f>IF(B332="","",IF(ISNA(VLOOKUP(A332,'600m'!F$5:K$302,6,FALSE)),"",VLOOKUP(A332,'600m'!F$5:K$302,6,FALSE)))</f>
        <v>PB2</v>
      </c>
      <c r="L332" s="49">
        <f>IF(B332="","",IF(ISNA(VLOOKUP(A332,LongJump!F$5:G$302,2,FALSE)),"",VLOOKUP(A332,LongJump!F$5:G$302,2,FALSE)))</f>
        <v>3.63</v>
      </c>
      <c r="M332" s="49">
        <f>IF(B332="",0,IF(ISNA(_xlfn.XLOOKUP(A332,LongJump!F$5:F$302,LongJump!M$5:M$302)),0,_xlfn.XLOOKUP(A332,LongJump!F$5:F$302,LongJump!M$5:M$302)))</f>
        <v>94</v>
      </c>
      <c r="N332" s="49" t="str">
        <f>IF(B332="","",IF(ISNA(VLOOKUP(A332,LongJump!F$5:K$302,6,FALSE)),0,VLOOKUP(A332,LongJump!F$5:K$302,6,FALSE)))</f>
        <v>PB8</v>
      </c>
      <c r="O332" s="49">
        <f>IF(B332="","",IF(ISNA(VLOOKUP(A332,Vortex!F$5:J$302,2,FALSE)),"",VLOOKUP(A332,Vortex!F$5:J$302,2,FALSE)))</f>
        <v>22.77</v>
      </c>
      <c r="P332" s="49">
        <f>IF(B332="",0,IF(ISNA(_xlfn.XLOOKUP(A332,Vortex!F$5:F$302,Vortex!M$5:M$302)),0,_xlfn.XLOOKUP(A332,Vortex!F$5:F$302,Vortex!M$5:M$302)))</f>
        <v>73</v>
      </c>
      <c r="Q332" s="49">
        <f t="shared" si="27"/>
        <v>316</v>
      </c>
      <c r="R332" s="49" t="str">
        <f t="shared" si="28"/>
        <v/>
      </c>
      <c r="S332" s="49">
        <f t="shared" si="29"/>
        <v>2</v>
      </c>
      <c r="T332" s="49" t="str">
        <f t="shared" si="30"/>
        <v/>
      </c>
      <c r="U332" s="49">
        <f t="shared" si="31"/>
        <v>10</v>
      </c>
    </row>
    <row r="333" spans="1:21">
      <c r="A333" s="49">
        <f>IF(Declarations!B90=0,"",Declarations!B90)</f>
        <v>85</v>
      </c>
      <c r="B333" s="150" t="str">
        <f>IF(ISNA(VLOOKUP(A333,Declarations!B$6:C$185,2,FALSE)),"",IF(VLOOKUP(A333,Declarations!B$6:C$185,2,FALSE)="","",VLOOKUP(A333,Declarations!B$6:C$185,2,FALSE)))</f>
        <v>SOPHIE HALL</v>
      </c>
      <c r="C333" s="150" t="str">
        <f>IF(ISNA(VLOOKUP(A333,Declarations!B$6:F$185,5,FALSE)),"",IF(VLOOKUP(A333,Declarations!B$6:F$185,5,FALSE)="","",VLOOKUP(A333,Declarations!B$6:F$185,5,FALSE)))</f>
        <v>Waverley Athletics Club</v>
      </c>
      <c r="D333" s="150" t="str">
        <f>IF(ISNA(VLOOKUP(A333,Declarations!B$6:F$185,4,FALSE)),"",IF(VLOOKUP(A333,Declarations!B$6:F$185,4,FALSE)="","",VLOOKUP(A333,Declarations!B$6:F$185,4,FALSE)))</f>
        <v>GIRLS</v>
      </c>
      <c r="E333" s="150" t="str">
        <f>IF(ISNA(VLOOKUP(A333,Declarations!B$6:D$185,3,FALSE)),"",IF(VLOOKUP(A333,Declarations!B$6:D$185,3,FALSE)="","",VLOOKUP(A333,Declarations!B$6:D$185,3,FALSE)))</f>
        <v>U12</v>
      </c>
      <c r="F333" s="49">
        <f>IF(B333="","",IF(ISNA(VLOOKUP(A333,'75m'!F$5:G$302,2,FALSE)),"",VLOOKUP(A333,'75m'!F$5:G$302,2,FALSE)))</f>
        <v>11.1</v>
      </c>
      <c r="G333" s="49">
        <f>IF(B333="",0,IF(ISNA(_xlfn.XLOOKUP(A333,'75m'!F$5:F$302,'75m'!M$5:M$302)),0,_xlfn.XLOOKUP(A333,'75m'!F$5:F$302,'75m'!M$5:M$302)))</f>
        <v>112</v>
      </c>
      <c r="H333" s="49" t="str">
        <f>IF(B333="","",IF(ISNA(VLOOKUP(A333,'75m'!F$5:K$302,6,FALSE)),"",VLOOKUP(A333,'75m'!F$5:K$302,6,FALSE)))</f>
        <v>PB9</v>
      </c>
      <c r="I333" s="51">
        <f>IF(B333="",0,IF(ISNA(VLOOKUP(A333,'600m'!F$5:J$302,2,FALSE)),0,VLOOKUP(A333,'600m'!F$5:J$302,2,FALSE)))</f>
        <v>1.3298611111111111E-3</v>
      </c>
      <c r="J333" s="49">
        <f>IF(B333="",0,IF(ISNA(_xlfn.XLOOKUP(A333,'600m'!F$5:F$302,'600m'!M$5:M$302)),0,_xlfn.XLOOKUP(A333,'600m'!F$5:F$302,'600m'!M$5:M$302)))</f>
        <v>90</v>
      </c>
      <c r="K333" s="49" t="str">
        <f>IF(B333="","",IF(ISNA(VLOOKUP(A333,'600m'!F$5:K$302,6,FALSE)),"",VLOOKUP(A333,'600m'!F$5:K$302,6,FALSE)))</f>
        <v>PB7</v>
      </c>
      <c r="L333" s="49">
        <f>IF(B333="","",IF(ISNA(VLOOKUP(A333,LongJump!F$5:G$302,2,FALSE)),"",VLOOKUP(A333,LongJump!F$5:G$302,2,FALSE)))</f>
        <v>3.48</v>
      </c>
      <c r="M333" s="49">
        <f>IF(B333="",0,IF(ISNA(_xlfn.XLOOKUP(A333,LongJump!F$5:F$302,LongJump!M$5:M$302)),0,_xlfn.XLOOKUP(A333,LongJump!F$5:F$302,LongJump!M$5:M$302)))</f>
        <v>89</v>
      </c>
      <c r="N333" s="49" t="str">
        <f>IF(B333="","",IF(ISNA(VLOOKUP(A333,LongJump!F$5:K$302,6,FALSE)),0,VLOOKUP(A333,LongJump!F$5:K$302,6,FALSE)))</f>
        <v>PB7</v>
      </c>
      <c r="O333" s="49">
        <f>IF(B333="","",IF(ISNA(VLOOKUP(A333,Vortex!F$5:J$302,2,FALSE)),"",VLOOKUP(A333,Vortex!F$5:J$302,2,FALSE)))</f>
        <v>19.14</v>
      </c>
      <c r="P333" s="49">
        <f>IF(B333="",0,IF(ISNA(_xlfn.XLOOKUP(A333,Vortex!F$5:F$302,Vortex!M$5:M$302)),0,_xlfn.XLOOKUP(A333,Vortex!F$5:F$302,Vortex!M$5:M$302)))</f>
        <v>55</v>
      </c>
      <c r="Q333" s="49">
        <f t="shared" si="27"/>
        <v>346</v>
      </c>
      <c r="R333" s="49" t="str">
        <f t="shared" si="28"/>
        <v/>
      </c>
      <c r="S333" s="49">
        <f t="shared" si="29"/>
        <v>1</v>
      </c>
      <c r="T333" s="49" t="str">
        <f t="shared" si="30"/>
        <v/>
      </c>
      <c r="U333" s="49">
        <f t="shared" si="31"/>
        <v>4</v>
      </c>
    </row>
    <row r="334" spans="1:21">
      <c r="A334" s="49">
        <f>IF(Declarations!B91=0,"",Declarations!B91)</f>
        <v>86</v>
      </c>
      <c r="B334" s="150" t="str">
        <f>IF(ISNA(VLOOKUP(A334,Declarations!B$6:C$185,2,FALSE)),"",IF(VLOOKUP(A334,Declarations!B$6:C$185,2,FALSE)="","",VLOOKUP(A334,Declarations!B$6:C$185,2,FALSE)))</f>
        <v>EMILY HANAK</v>
      </c>
      <c r="C334" s="150" t="str">
        <f>IF(ISNA(VLOOKUP(A334,Declarations!B$6:F$185,5,FALSE)),"",IF(VLOOKUP(A334,Declarations!B$6:F$185,5,FALSE)="","",VLOOKUP(A334,Declarations!B$6:F$185,5,FALSE)))</f>
        <v>Waverley Athletics Club</v>
      </c>
      <c r="D334" s="150" t="str">
        <f>IF(ISNA(VLOOKUP(A334,Declarations!B$6:F$185,4,FALSE)),"",IF(VLOOKUP(A334,Declarations!B$6:F$185,4,FALSE)="","",VLOOKUP(A334,Declarations!B$6:F$185,4,FALSE)))</f>
        <v>GIRLS</v>
      </c>
      <c r="E334" s="150" t="str">
        <f>IF(ISNA(VLOOKUP(A334,Declarations!B$6:D$185,3,FALSE)),"",IF(VLOOKUP(A334,Declarations!B$6:D$185,3,FALSE)="","",VLOOKUP(A334,Declarations!B$6:D$185,3,FALSE)))</f>
        <v>U12</v>
      </c>
      <c r="F334" s="49">
        <f>IF(B334="","",IF(ISNA(VLOOKUP(A334,'75m'!F$5:G$302,2,FALSE)),"",VLOOKUP(A334,'75m'!F$5:G$302,2,FALSE)))</f>
        <v>11.8</v>
      </c>
      <c r="G334" s="49">
        <f>IF(B334="",0,IF(ISNA(_xlfn.XLOOKUP(A334,'75m'!F$5:F$302,'75m'!M$5:M$302)),0,_xlfn.XLOOKUP(A334,'75m'!F$5:F$302,'75m'!M$5:M$302)))</f>
        <v>97</v>
      </c>
      <c r="H334" s="49" t="str">
        <f>IF(B334="","",IF(ISNA(VLOOKUP(A334,'75m'!F$5:K$302,6,FALSE)),"",VLOOKUP(A334,'75m'!F$5:K$302,6,FALSE)))</f>
        <v>PB8</v>
      </c>
      <c r="I334" s="51">
        <f>IF(B334="",0,IF(ISNA(VLOOKUP(A334,'600m'!F$5:J$302,2,FALSE)),0,VLOOKUP(A334,'600m'!F$5:J$302,2,FALSE)))</f>
        <v>1.4942129629629628E-3</v>
      </c>
      <c r="J334" s="49">
        <f>IF(B334="",0,IF(ISNA(_xlfn.XLOOKUP(A334,'600m'!F$5:F$302,'600m'!M$5:M$302)),0,_xlfn.XLOOKUP(A334,'600m'!F$5:F$302,'600m'!M$5:M$302)))</f>
        <v>61</v>
      </c>
      <c r="K334" s="49" t="str">
        <f>IF(B334="","",IF(ISNA(VLOOKUP(A334,'600m'!F$5:K$302,6,FALSE)),"",VLOOKUP(A334,'600m'!F$5:K$302,6,FALSE)))</f>
        <v>PB4</v>
      </c>
      <c r="L334" s="49">
        <f>IF(B334="","",IF(ISNA(VLOOKUP(A334,LongJump!F$5:G$302,2,FALSE)),"",VLOOKUP(A334,LongJump!F$5:G$302,2,FALSE)))</f>
        <v>3.24</v>
      </c>
      <c r="M334" s="49">
        <f>IF(B334="",0,IF(ISNA(_xlfn.XLOOKUP(A334,LongJump!F$5:F$302,LongJump!M$5:M$302)),0,_xlfn.XLOOKUP(A334,LongJump!F$5:F$302,LongJump!M$5:M$302)))</f>
        <v>79</v>
      </c>
      <c r="N334" s="49" t="str">
        <f>IF(B334="","",IF(ISNA(VLOOKUP(A334,LongJump!F$5:K$302,6,FALSE)),0,VLOOKUP(A334,LongJump!F$5:K$302,6,FALSE)))</f>
        <v>PB6</v>
      </c>
      <c r="O334" s="49">
        <f>IF(B334="","",IF(ISNA(VLOOKUP(A334,Vortex!F$5:J$302,2,FALSE)),"",VLOOKUP(A334,Vortex!F$5:J$302,2,FALSE)))</f>
        <v>20.6</v>
      </c>
      <c r="P334" s="49">
        <f>IF(B334="",0,IF(ISNA(_xlfn.XLOOKUP(A334,Vortex!F$5:F$302,Vortex!M$5:M$302)),0,_xlfn.XLOOKUP(A334,Vortex!F$5:F$302,Vortex!M$5:M$302)))</f>
        <v>63</v>
      </c>
      <c r="Q334" s="49">
        <f t="shared" si="27"/>
        <v>300</v>
      </c>
      <c r="R334" s="49" t="str">
        <f t="shared" si="28"/>
        <v/>
      </c>
      <c r="S334" s="49">
        <f t="shared" si="29"/>
        <v>3</v>
      </c>
      <c r="T334" s="49" t="str">
        <f t="shared" si="30"/>
        <v/>
      </c>
      <c r="U334" s="49">
        <f t="shared" si="31"/>
        <v>12</v>
      </c>
    </row>
    <row r="335" spans="1:21">
      <c r="A335" s="49">
        <f>IF(Declarations!B92=0,"",Declarations!B92)</f>
        <v>87</v>
      </c>
      <c r="B335" s="150" t="str">
        <f>IF(ISNA(VLOOKUP(A335,Declarations!B$6:C$185,2,FALSE)),"",IF(VLOOKUP(A335,Declarations!B$6:C$185,2,FALSE)="","",VLOOKUP(A335,Declarations!B$6:C$185,2,FALSE)))</f>
        <v/>
      </c>
      <c r="C335" s="150" t="str">
        <f>IF(ISNA(VLOOKUP(A335,Declarations!B$6:F$185,5,FALSE)),"",IF(VLOOKUP(A335,Declarations!B$6:F$185,5,FALSE)="","",VLOOKUP(A335,Declarations!B$6:F$185,5,FALSE)))</f>
        <v>Waverley Athletics Club</v>
      </c>
      <c r="D335" s="150" t="str">
        <f>IF(ISNA(VLOOKUP(A335,Declarations!B$6:F$185,4,FALSE)),"",IF(VLOOKUP(A335,Declarations!B$6:F$185,4,FALSE)="","",VLOOKUP(A335,Declarations!B$6:F$185,4,FALSE)))</f>
        <v>GIRLS</v>
      </c>
      <c r="E335" s="150" t="str">
        <f>IF(ISNA(VLOOKUP(A335,Declarations!B$6:D$185,3,FALSE)),"",IF(VLOOKUP(A335,Declarations!B$6:D$185,3,FALSE)="","",VLOOKUP(A335,Declarations!B$6:D$185,3,FALSE)))</f>
        <v>U12</v>
      </c>
      <c r="F335" s="49" t="str">
        <f>IF(B335="","",IF(ISNA(VLOOKUP(A335,'75m'!F$5:G$302,2,FALSE)),"",VLOOKUP(A335,'75m'!F$5:G$302,2,FALSE)))</f>
        <v/>
      </c>
      <c r="G335" s="49">
        <f>IF(B335="",0,IF(ISNA(_xlfn.XLOOKUP(A335,'75m'!F$5:F$302,'75m'!M$5:M$302)),0,_xlfn.XLOOKUP(A335,'75m'!F$5:F$302,'75m'!M$5:M$302)))</f>
        <v>0</v>
      </c>
      <c r="H335" s="49" t="str">
        <f>IF(B335="","",IF(ISNA(VLOOKUP(A335,'75m'!F$5:K$302,6,FALSE)),"",VLOOKUP(A335,'75m'!F$5:K$302,6,FALSE)))</f>
        <v/>
      </c>
      <c r="I335" s="51">
        <f>IF(B335="",0,IF(ISNA(VLOOKUP(A335,'600m'!F$5:J$302,2,FALSE)),0,VLOOKUP(A335,'600m'!F$5:J$302,2,FALSE)))</f>
        <v>0</v>
      </c>
      <c r="J335" s="49">
        <f>IF(B335="",0,IF(ISNA(_xlfn.XLOOKUP(A335,'600m'!F$5:F$302,'600m'!M$5:M$302)),0,_xlfn.XLOOKUP(A335,'600m'!F$5:F$302,'600m'!M$5:M$302)))</f>
        <v>0</v>
      </c>
      <c r="K335" s="49" t="str">
        <f>IF(B335="","",IF(ISNA(VLOOKUP(A335,'600m'!F$5:K$302,6,FALSE)),"",VLOOKUP(A335,'600m'!F$5:K$302,6,FALSE)))</f>
        <v/>
      </c>
      <c r="L335" s="49" t="str">
        <f>IF(B335="","",IF(ISNA(VLOOKUP(A335,LongJump!F$5:G$302,2,FALSE)),"",VLOOKUP(A335,LongJump!F$5:G$302,2,FALSE)))</f>
        <v/>
      </c>
      <c r="M335" s="49">
        <f>IF(B335="",0,IF(ISNA(_xlfn.XLOOKUP(A335,LongJump!F$5:F$302,LongJump!M$5:M$302)),0,_xlfn.XLOOKUP(A335,LongJump!F$5:F$302,LongJump!M$5:M$302)))</f>
        <v>0</v>
      </c>
      <c r="N335" s="49" t="str">
        <f>IF(B335="","",IF(ISNA(VLOOKUP(A335,LongJump!F$5:K$302,6,FALSE)),0,VLOOKUP(A335,LongJump!F$5:K$302,6,FALSE)))</f>
        <v/>
      </c>
      <c r="O335" s="49" t="str">
        <f>IF(B335="","",IF(ISNA(VLOOKUP(A335,Vortex!F$5:J$302,2,FALSE)),"",VLOOKUP(A335,Vortex!F$5:J$302,2,FALSE)))</f>
        <v/>
      </c>
      <c r="P335" s="49">
        <f>IF(B335="",0,IF(ISNA(_xlfn.XLOOKUP(A335,Vortex!F$5:F$302,Vortex!M$5:M$302)),0,_xlfn.XLOOKUP(A335,Vortex!F$5:F$302,Vortex!M$5:M$302)))</f>
        <v>0</v>
      </c>
      <c r="Q335" s="49">
        <f t="shared" si="27"/>
        <v>0</v>
      </c>
      <c r="R335" s="49" t="str">
        <f t="shared" si="28"/>
        <v/>
      </c>
      <c r="S335" s="49" t="str">
        <f t="shared" si="29"/>
        <v/>
      </c>
      <c r="T335" s="49" t="str">
        <f t="shared" si="30"/>
        <v/>
      </c>
      <c r="U335" s="49" t="str">
        <f t="shared" si="31"/>
        <v/>
      </c>
    </row>
    <row r="336" spans="1:21">
      <c r="A336" s="49">
        <f>IF(Declarations!B93=0,"",Declarations!B93)</f>
        <v>88</v>
      </c>
      <c r="B336" s="150" t="str">
        <f>IF(ISNA(VLOOKUP(A336,Declarations!B$6:C$185,2,FALSE)),"",IF(VLOOKUP(A336,Declarations!B$6:C$185,2,FALSE)="","",VLOOKUP(A336,Declarations!B$6:C$185,2,FALSE)))</f>
        <v/>
      </c>
      <c r="C336" s="150" t="str">
        <f>IF(ISNA(VLOOKUP(A336,Declarations!B$6:F$185,5,FALSE)),"",IF(VLOOKUP(A336,Declarations!B$6:F$185,5,FALSE)="","",VLOOKUP(A336,Declarations!B$6:F$185,5,FALSE)))</f>
        <v>Waverley Athletics Club</v>
      </c>
      <c r="D336" s="150" t="str">
        <f>IF(ISNA(VLOOKUP(A336,Declarations!B$6:F$185,4,FALSE)),"",IF(VLOOKUP(A336,Declarations!B$6:F$185,4,FALSE)="","",VLOOKUP(A336,Declarations!B$6:F$185,4,FALSE)))</f>
        <v>GIRLS</v>
      </c>
      <c r="E336" s="150" t="str">
        <f>IF(ISNA(VLOOKUP(A336,Declarations!B$6:D$185,3,FALSE)),"",IF(VLOOKUP(A336,Declarations!B$6:D$185,3,FALSE)="","",VLOOKUP(A336,Declarations!B$6:D$185,3,FALSE)))</f>
        <v>U12</v>
      </c>
      <c r="F336" s="49" t="str">
        <f>IF(B336="","",IF(ISNA(VLOOKUP(A336,'75m'!F$5:G$302,2,FALSE)),"",VLOOKUP(A336,'75m'!F$5:G$302,2,FALSE)))</f>
        <v/>
      </c>
      <c r="G336" s="49">
        <f>IF(B336="",0,IF(ISNA(_xlfn.XLOOKUP(A336,'75m'!F$5:F$302,'75m'!M$5:M$302)),0,_xlfn.XLOOKUP(A336,'75m'!F$5:F$302,'75m'!M$5:M$302)))</f>
        <v>0</v>
      </c>
      <c r="H336" s="49" t="str">
        <f>IF(B336="","",IF(ISNA(VLOOKUP(A336,'75m'!F$5:K$302,6,FALSE)),"",VLOOKUP(A336,'75m'!F$5:K$302,6,FALSE)))</f>
        <v/>
      </c>
      <c r="I336" s="51">
        <f>IF(B336="",0,IF(ISNA(VLOOKUP(A336,'600m'!F$5:J$302,2,FALSE)),0,VLOOKUP(A336,'600m'!F$5:J$302,2,FALSE)))</f>
        <v>0</v>
      </c>
      <c r="J336" s="49">
        <f>IF(B336="",0,IF(ISNA(_xlfn.XLOOKUP(A336,'600m'!F$5:F$302,'600m'!M$5:M$302)),0,_xlfn.XLOOKUP(A336,'600m'!F$5:F$302,'600m'!M$5:M$302)))</f>
        <v>0</v>
      </c>
      <c r="K336" s="49" t="str">
        <f>IF(B336="","",IF(ISNA(VLOOKUP(A336,'600m'!F$5:K$302,6,FALSE)),"",VLOOKUP(A336,'600m'!F$5:K$302,6,FALSE)))</f>
        <v/>
      </c>
      <c r="L336" s="49" t="str">
        <f>IF(B336="","",IF(ISNA(VLOOKUP(A336,LongJump!F$5:G$302,2,FALSE)),"",VLOOKUP(A336,LongJump!F$5:G$302,2,FALSE)))</f>
        <v/>
      </c>
      <c r="M336" s="49">
        <f>IF(B336="",0,IF(ISNA(_xlfn.XLOOKUP(A336,LongJump!F$5:F$302,LongJump!M$5:M$302)),0,_xlfn.XLOOKUP(A336,LongJump!F$5:F$302,LongJump!M$5:M$302)))</f>
        <v>0</v>
      </c>
      <c r="N336" s="49" t="str">
        <f>IF(B336="","",IF(ISNA(VLOOKUP(A336,LongJump!F$5:K$302,6,FALSE)),0,VLOOKUP(A336,LongJump!F$5:K$302,6,FALSE)))</f>
        <v/>
      </c>
      <c r="O336" s="49" t="str">
        <f>IF(B336="","",IF(ISNA(VLOOKUP(A336,Vortex!F$5:J$302,2,FALSE)),"",VLOOKUP(A336,Vortex!F$5:J$302,2,FALSE)))</f>
        <v/>
      </c>
      <c r="P336" s="49">
        <f>IF(B336="",0,IF(ISNA(_xlfn.XLOOKUP(A336,Vortex!F$5:F$302,Vortex!M$5:M$302)),0,_xlfn.XLOOKUP(A336,Vortex!F$5:F$302,Vortex!M$5:M$302)))</f>
        <v>0</v>
      </c>
      <c r="Q336" s="49">
        <f t="shared" si="27"/>
        <v>0</v>
      </c>
      <c r="R336" s="49" t="str">
        <f t="shared" si="28"/>
        <v/>
      </c>
      <c r="S336" s="49" t="str">
        <f t="shared" si="29"/>
        <v/>
      </c>
      <c r="T336" s="49" t="str">
        <f t="shared" si="30"/>
        <v/>
      </c>
      <c r="U336" s="49" t="str">
        <f t="shared" si="31"/>
        <v/>
      </c>
    </row>
    <row r="337" spans="1:21">
      <c r="A337" s="49">
        <f>IF(Declarations!B94=0,"",Declarations!B94)</f>
        <v>89</v>
      </c>
      <c r="B337" s="150" t="str">
        <f>IF(ISNA(VLOOKUP(A337,Declarations!B$6:C$185,2,FALSE)),"",IF(VLOOKUP(A337,Declarations!B$6:C$185,2,FALSE)="","",VLOOKUP(A337,Declarations!B$6:C$185,2,FALSE)))</f>
        <v/>
      </c>
      <c r="C337" s="150" t="str">
        <f>IF(ISNA(VLOOKUP(A337,Declarations!B$6:F$185,5,FALSE)),"",IF(VLOOKUP(A337,Declarations!B$6:F$185,5,FALSE)="","",VLOOKUP(A337,Declarations!B$6:F$185,5,FALSE)))</f>
        <v>Waverley Athletics Club</v>
      </c>
      <c r="D337" s="150" t="str">
        <f>IF(ISNA(VLOOKUP(A337,Declarations!B$6:F$185,4,FALSE)),"",IF(VLOOKUP(A337,Declarations!B$6:F$185,4,FALSE)="","",VLOOKUP(A337,Declarations!B$6:F$185,4,FALSE)))</f>
        <v>GIRLS</v>
      </c>
      <c r="E337" s="150" t="str">
        <f>IF(ISNA(VLOOKUP(A337,Declarations!B$6:D$185,3,FALSE)),"",IF(VLOOKUP(A337,Declarations!B$6:D$185,3,FALSE)="","",VLOOKUP(A337,Declarations!B$6:D$185,3,FALSE)))</f>
        <v>U12</v>
      </c>
      <c r="F337" s="49" t="str">
        <f>IF(B337="","",IF(ISNA(VLOOKUP(A337,'75m'!F$5:G$302,2,FALSE)),"",VLOOKUP(A337,'75m'!F$5:G$302,2,FALSE)))</f>
        <v/>
      </c>
      <c r="G337" s="49">
        <f>IF(B337="",0,IF(ISNA(_xlfn.XLOOKUP(A337,'75m'!F$5:F$302,'75m'!M$5:M$302)),0,_xlfn.XLOOKUP(A337,'75m'!F$5:F$302,'75m'!M$5:M$302)))</f>
        <v>0</v>
      </c>
      <c r="H337" s="49" t="str">
        <f>IF(B337="","",IF(ISNA(VLOOKUP(A337,'75m'!F$5:K$302,6,FALSE)),"",VLOOKUP(A337,'75m'!F$5:K$302,6,FALSE)))</f>
        <v/>
      </c>
      <c r="I337" s="51">
        <f>IF(B337="",0,IF(ISNA(VLOOKUP(A337,'600m'!F$5:J$302,2,FALSE)),0,VLOOKUP(A337,'600m'!F$5:J$302,2,FALSE)))</f>
        <v>0</v>
      </c>
      <c r="J337" s="49">
        <f>IF(B337="",0,IF(ISNA(_xlfn.XLOOKUP(A337,'600m'!F$5:F$302,'600m'!M$5:M$302)),0,_xlfn.XLOOKUP(A337,'600m'!F$5:F$302,'600m'!M$5:M$302)))</f>
        <v>0</v>
      </c>
      <c r="K337" s="49" t="str">
        <f>IF(B337="","",IF(ISNA(VLOOKUP(A337,'600m'!F$5:K$302,6,FALSE)),"",VLOOKUP(A337,'600m'!F$5:K$302,6,FALSE)))</f>
        <v/>
      </c>
      <c r="L337" s="49" t="str">
        <f>IF(B337="","",IF(ISNA(VLOOKUP(A337,LongJump!F$5:G$302,2,FALSE)),"",VLOOKUP(A337,LongJump!F$5:G$302,2,FALSE)))</f>
        <v/>
      </c>
      <c r="M337" s="49">
        <f>IF(B337="",0,IF(ISNA(_xlfn.XLOOKUP(A337,LongJump!F$5:F$302,LongJump!M$5:M$302)),0,_xlfn.XLOOKUP(A337,LongJump!F$5:F$302,LongJump!M$5:M$302)))</f>
        <v>0</v>
      </c>
      <c r="N337" s="49" t="str">
        <f>IF(B337="","",IF(ISNA(VLOOKUP(A337,LongJump!F$5:K$302,6,FALSE)),0,VLOOKUP(A337,LongJump!F$5:K$302,6,FALSE)))</f>
        <v/>
      </c>
      <c r="O337" s="49" t="str">
        <f>IF(B337="","",IF(ISNA(VLOOKUP(A337,Vortex!F$5:J$302,2,FALSE)),"",VLOOKUP(A337,Vortex!F$5:J$302,2,FALSE)))</f>
        <v/>
      </c>
      <c r="P337" s="49">
        <f>IF(B337="",0,IF(ISNA(_xlfn.XLOOKUP(A337,Vortex!F$5:F$302,Vortex!M$5:M$302)),0,_xlfn.XLOOKUP(A337,Vortex!F$5:F$302,Vortex!M$5:M$302)))</f>
        <v>0</v>
      </c>
      <c r="Q337" s="49">
        <f t="shared" si="27"/>
        <v>0</v>
      </c>
      <c r="R337" s="49" t="str">
        <f t="shared" si="28"/>
        <v/>
      </c>
      <c r="S337" s="49" t="str">
        <f t="shared" si="29"/>
        <v/>
      </c>
      <c r="T337" s="49" t="str">
        <f t="shared" si="30"/>
        <v/>
      </c>
      <c r="U337" s="49" t="str">
        <f t="shared" si="31"/>
        <v/>
      </c>
    </row>
    <row r="338" spans="1:21">
      <c r="A338" s="49">
        <f>IF(Declarations!B95=0,"",Declarations!B95)</f>
        <v>90</v>
      </c>
      <c r="B338" s="150" t="str">
        <f>IF(ISNA(VLOOKUP(A338,Declarations!B$6:C$185,2,FALSE)),"",IF(VLOOKUP(A338,Declarations!B$6:C$185,2,FALSE)="","",VLOOKUP(A338,Declarations!B$6:C$185,2,FALSE)))</f>
        <v/>
      </c>
      <c r="C338" s="150" t="str">
        <f>IF(ISNA(VLOOKUP(A338,Declarations!B$6:F$185,5,FALSE)),"",IF(VLOOKUP(A338,Declarations!B$6:F$185,5,FALSE)="","",VLOOKUP(A338,Declarations!B$6:F$185,5,FALSE)))</f>
        <v>Waverley Athletics Club</v>
      </c>
      <c r="D338" s="150" t="str">
        <f>IF(ISNA(VLOOKUP(A338,Declarations!B$6:F$185,4,FALSE)),"",IF(VLOOKUP(A338,Declarations!B$6:F$185,4,FALSE)="","",VLOOKUP(A338,Declarations!B$6:F$185,4,FALSE)))</f>
        <v>GIRLS</v>
      </c>
      <c r="E338" s="150" t="str">
        <f>IF(ISNA(VLOOKUP(A338,Declarations!B$6:D$185,3,FALSE)),"",IF(VLOOKUP(A338,Declarations!B$6:D$185,3,FALSE)="","",VLOOKUP(A338,Declarations!B$6:D$185,3,FALSE)))</f>
        <v>U12</v>
      </c>
      <c r="F338" s="49" t="str">
        <f>IF(B338="","",IF(ISNA(VLOOKUP(A338,'75m'!F$5:G$302,2,FALSE)),"",VLOOKUP(A338,'75m'!F$5:G$302,2,FALSE)))</f>
        <v/>
      </c>
      <c r="G338" s="49">
        <f>IF(B338="",0,IF(ISNA(_xlfn.XLOOKUP(A338,'75m'!F$5:F$302,'75m'!M$5:M$302)),0,_xlfn.XLOOKUP(A338,'75m'!F$5:F$302,'75m'!M$5:M$302)))</f>
        <v>0</v>
      </c>
      <c r="H338" s="49" t="str">
        <f>IF(B338="","",IF(ISNA(VLOOKUP(A338,'75m'!F$5:K$302,6,FALSE)),"",VLOOKUP(A338,'75m'!F$5:K$302,6,FALSE)))</f>
        <v/>
      </c>
      <c r="I338" s="51">
        <f>IF(B338="",0,IF(ISNA(VLOOKUP(A338,'600m'!F$5:J$302,2,FALSE)),0,VLOOKUP(A338,'600m'!F$5:J$302,2,FALSE)))</f>
        <v>0</v>
      </c>
      <c r="J338" s="49">
        <f>IF(B338="",0,IF(ISNA(_xlfn.XLOOKUP(A338,'600m'!F$5:F$302,'600m'!M$5:M$302)),0,_xlfn.XLOOKUP(A338,'600m'!F$5:F$302,'600m'!M$5:M$302)))</f>
        <v>0</v>
      </c>
      <c r="K338" s="49" t="str">
        <f>IF(B338="","",IF(ISNA(VLOOKUP(A338,'600m'!F$5:K$302,6,FALSE)),"",VLOOKUP(A338,'600m'!F$5:K$302,6,FALSE)))</f>
        <v/>
      </c>
      <c r="L338" s="49" t="str">
        <f>IF(B338="","",IF(ISNA(VLOOKUP(A338,LongJump!F$5:G$302,2,FALSE)),"",VLOOKUP(A338,LongJump!F$5:G$302,2,FALSE)))</f>
        <v/>
      </c>
      <c r="M338" s="49">
        <f>IF(B338="",0,IF(ISNA(_xlfn.XLOOKUP(A338,LongJump!F$5:F$302,LongJump!M$5:M$302)),0,_xlfn.XLOOKUP(A338,LongJump!F$5:F$302,LongJump!M$5:M$302)))</f>
        <v>0</v>
      </c>
      <c r="N338" s="49" t="str">
        <f>IF(B338="","",IF(ISNA(VLOOKUP(A338,LongJump!F$5:K$302,6,FALSE)),0,VLOOKUP(A338,LongJump!F$5:K$302,6,FALSE)))</f>
        <v/>
      </c>
      <c r="O338" s="49" t="str">
        <f>IF(B338="","",IF(ISNA(VLOOKUP(A338,Vortex!F$5:J$302,2,FALSE)),"",VLOOKUP(A338,Vortex!F$5:J$302,2,FALSE)))</f>
        <v/>
      </c>
      <c r="P338" s="49">
        <f>IF(B338="",0,IF(ISNA(_xlfn.XLOOKUP(A338,Vortex!F$5:F$302,Vortex!M$5:M$302)),0,_xlfn.XLOOKUP(A338,Vortex!F$5:F$302,Vortex!M$5:M$302)))</f>
        <v>0</v>
      </c>
      <c r="Q338" s="49">
        <f t="shared" si="27"/>
        <v>0</v>
      </c>
      <c r="R338" s="49" t="str">
        <f t="shared" si="28"/>
        <v/>
      </c>
      <c r="S338" s="49" t="str">
        <f t="shared" si="29"/>
        <v/>
      </c>
      <c r="T338" s="49" t="str">
        <f t="shared" si="30"/>
        <v/>
      </c>
      <c r="U338" s="49" t="str">
        <f t="shared" si="31"/>
        <v/>
      </c>
    </row>
    <row r="339" spans="1:21">
      <c r="A339" s="49">
        <f>IF(Declarations!B96=0,"",Declarations!B96)</f>
        <v>91</v>
      </c>
      <c r="B339" s="150" t="str">
        <f>IF(ISNA(VLOOKUP(A339,Declarations!B$6:C$185,2,FALSE)),"",IF(VLOOKUP(A339,Declarations!B$6:C$185,2,FALSE)="","",VLOOKUP(A339,Declarations!B$6:C$185,2,FALSE)))</f>
        <v>NOAH BARKER</v>
      </c>
      <c r="C339" s="150" t="str">
        <f>IF(ISNA(VLOOKUP(A339,Declarations!B$6:F$185,5,FALSE)),"",IF(VLOOKUP(A339,Declarations!B$6:F$185,5,FALSE)="","",VLOOKUP(A339,Declarations!B$6:F$185,5,FALSE)))</f>
        <v>Waverley Athletics Club</v>
      </c>
      <c r="D339" s="150" t="str">
        <f>IF(ISNA(VLOOKUP(A339,Declarations!B$6:F$185,4,FALSE)),"",IF(VLOOKUP(A339,Declarations!B$6:F$185,4,FALSE)="","",VLOOKUP(A339,Declarations!B$6:F$185,4,FALSE)))</f>
        <v>BOYS</v>
      </c>
      <c r="E339" s="150" t="str">
        <f>IF(ISNA(VLOOKUP(A339,Declarations!B$6:D$185,3,FALSE)),"",IF(VLOOKUP(A339,Declarations!B$6:D$185,3,FALSE)="","",VLOOKUP(A339,Declarations!B$6:D$185,3,FALSE)))</f>
        <v>U12</v>
      </c>
      <c r="F339" s="49">
        <f>IF(B339="","",IF(ISNA(VLOOKUP(A339,'75m'!F$5:G$302,2,FALSE)),"",VLOOKUP(A339,'75m'!F$5:G$302,2,FALSE)))</f>
        <v>10.8</v>
      </c>
      <c r="G339" s="49">
        <f>IF(B339="",0,IF(ISNA(_xlfn.XLOOKUP(A339,'75m'!F$5:F$302,'75m'!M$5:M$302)),0,_xlfn.XLOOKUP(A339,'75m'!F$5:F$302,'75m'!M$5:M$302)))</f>
        <v>110</v>
      </c>
      <c r="H339" s="49" t="str">
        <f>IF(B339="","",IF(ISNA(VLOOKUP(A339,'75m'!F$5:K$302,6,FALSE)),"",VLOOKUP(A339,'75m'!F$5:K$302,6,FALSE)))</f>
        <v>PB9</v>
      </c>
      <c r="I339" s="51">
        <f>IF(B339="",0,IF(ISNA(VLOOKUP(A339,'600m'!F$5:J$302,2,FALSE)),0,VLOOKUP(A339,'600m'!F$5:J$302,2,FALSE)))</f>
        <v>0</v>
      </c>
      <c r="J339" s="49">
        <f>IF(B339="",0,IF(ISNA(_xlfn.XLOOKUP(A339,'600m'!F$5:F$302,'600m'!M$5:M$302)),0,_xlfn.XLOOKUP(A339,'600m'!F$5:F$302,'600m'!M$5:M$302)))</f>
        <v>0</v>
      </c>
      <c r="K339" s="49" t="str">
        <f>IF(B339="","",IF(ISNA(VLOOKUP(A339,'600m'!F$5:K$302,6,FALSE)),"",VLOOKUP(A339,'600m'!F$5:K$302,6,FALSE)))</f>
        <v/>
      </c>
      <c r="L339" s="49">
        <f>IF(B339="","",IF(ISNA(VLOOKUP(A339,LongJump!F$5:G$302,2,FALSE)),"",VLOOKUP(A339,LongJump!F$5:G$302,2,FALSE)))</f>
        <v>3.82</v>
      </c>
      <c r="M339" s="49">
        <f>IF(B339="",0,IF(ISNA(_xlfn.XLOOKUP(A339,LongJump!F$5:F$302,LongJump!M$5:M$302)),0,_xlfn.XLOOKUP(A339,LongJump!F$5:F$302,LongJump!M$5:M$302)))</f>
        <v>92</v>
      </c>
      <c r="N339" s="49" t="str">
        <f>IF(B339="","",IF(ISNA(VLOOKUP(A339,LongJump!F$5:K$302,6,FALSE)),0,VLOOKUP(A339,LongJump!F$5:K$302,6,FALSE)))</f>
        <v>PB8</v>
      </c>
      <c r="O339" s="49">
        <f>IF(B339="","",IF(ISNA(VLOOKUP(A339,Vortex!F$5:J$302,2,FALSE)),"",VLOOKUP(A339,Vortex!F$5:J$302,2,FALSE)))</f>
        <v>25.72</v>
      </c>
      <c r="P339" s="49">
        <f>IF(B339="",0,IF(ISNA(_xlfn.XLOOKUP(A339,Vortex!F$5:F$302,Vortex!M$5:M$302)),0,_xlfn.XLOOKUP(A339,Vortex!F$5:F$302,Vortex!M$5:M$302)))</f>
        <v>78</v>
      </c>
      <c r="Q339" s="49">
        <f t="shared" si="27"/>
        <v>280</v>
      </c>
      <c r="R339" s="49" t="str">
        <f t="shared" si="28"/>
        <v/>
      </c>
      <c r="S339" s="49">
        <f t="shared" si="29"/>
        <v>1</v>
      </c>
      <c r="T339" s="49" t="str">
        <f t="shared" si="30"/>
        <v/>
      </c>
      <c r="U339" s="49">
        <f t="shared" si="31"/>
        <v>18</v>
      </c>
    </row>
    <row r="340" spans="1:21">
      <c r="A340" s="49">
        <f>IF(Declarations!B97=0,"",Declarations!B97)</f>
        <v>92</v>
      </c>
      <c r="B340" s="150" t="str">
        <f>IF(ISNA(VLOOKUP(A340,Declarations!B$6:C$185,2,FALSE)),"",IF(VLOOKUP(A340,Declarations!B$6:C$185,2,FALSE)="","",VLOOKUP(A340,Declarations!B$6:C$185,2,FALSE)))</f>
        <v>BLAKE BARNES</v>
      </c>
      <c r="C340" s="150" t="str">
        <f>IF(ISNA(VLOOKUP(A340,Declarations!B$6:F$185,5,FALSE)),"",IF(VLOOKUP(A340,Declarations!B$6:F$185,5,FALSE)="","",VLOOKUP(A340,Declarations!B$6:F$185,5,FALSE)))</f>
        <v>Waverley Athletics Club</v>
      </c>
      <c r="D340" s="150" t="str">
        <f>IF(ISNA(VLOOKUP(A340,Declarations!B$6:F$185,4,FALSE)),"",IF(VLOOKUP(A340,Declarations!B$6:F$185,4,FALSE)="","",VLOOKUP(A340,Declarations!B$6:F$185,4,FALSE)))</f>
        <v>BOYS</v>
      </c>
      <c r="E340" s="150" t="str">
        <f>IF(ISNA(VLOOKUP(A340,Declarations!B$6:D$185,3,FALSE)),"",IF(VLOOKUP(A340,Declarations!B$6:D$185,3,FALSE)="","",VLOOKUP(A340,Declarations!B$6:D$185,3,FALSE)))</f>
        <v>U12</v>
      </c>
      <c r="F340" s="49">
        <f>IF(B340="","",IF(ISNA(VLOOKUP(A340,'75m'!F$5:G$302,2,FALSE)),"",VLOOKUP(A340,'75m'!F$5:G$302,2,FALSE)))</f>
        <v>12</v>
      </c>
      <c r="G340" s="49">
        <f>IF(B340="",0,IF(ISNA(_xlfn.XLOOKUP(A340,'75m'!F$5:F$302,'75m'!M$5:M$302)),0,_xlfn.XLOOKUP(A340,'75m'!F$5:F$302,'75m'!M$5:M$302)))</f>
        <v>80</v>
      </c>
      <c r="H340" s="49" t="str">
        <f>IF(B340="","",IF(ISNA(VLOOKUP(A340,'75m'!F$5:K$302,6,FALSE)),"",VLOOKUP(A340,'75m'!F$5:K$302,6,FALSE)))</f>
        <v>PB7</v>
      </c>
      <c r="I340" s="51">
        <f>IF(B340="",0,IF(ISNA(VLOOKUP(A340,'600m'!F$5:J$302,2,FALSE)),0,VLOOKUP(A340,'600m'!F$5:J$302,2,FALSE)))</f>
        <v>1.4756944444444444E-3</v>
      </c>
      <c r="J340" s="49">
        <f>IF(B340="",0,IF(ISNA(_xlfn.XLOOKUP(A340,'600m'!F$5:F$302,'600m'!M$5:M$302)),0,_xlfn.XLOOKUP(A340,'600m'!F$5:F$302,'600m'!M$5:M$302)))</f>
        <v>45</v>
      </c>
      <c r="K340" s="49" t="str">
        <f>IF(B340="","",IF(ISNA(VLOOKUP(A340,'600m'!F$5:K$302,6,FALSE)),"",VLOOKUP(A340,'600m'!F$5:K$302,6,FALSE)))</f>
        <v>PB3</v>
      </c>
      <c r="L340" s="49">
        <f>IF(B340="","",IF(ISNA(VLOOKUP(A340,LongJump!F$5:G$302,2,FALSE)),"",VLOOKUP(A340,LongJump!F$5:G$302,2,FALSE)))</f>
        <v>3.29</v>
      </c>
      <c r="M340" s="49">
        <f>IF(B340="",0,IF(ISNA(_xlfn.XLOOKUP(A340,LongJump!F$5:F$302,LongJump!M$5:M$302)),0,_xlfn.XLOOKUP(A340,LongJump!F$5:F$302,LongJump!M$5:M$302)))</f>
        <v>71</v>
      </c>
      <c r="N340" s="49" t="str">
        <f>IF(B340="","",IF(ISNA(VLOOKUP(A340,LongJump!F$5:K$302,6,FALSE)),0,VLOOKUP(A340,LongJump!F$5:K$302,6,FALSE)))</f>
        <v>PB6</v>
      </c>
      <c r="O340" s="49">
        <f>IF(B340="","",IF(ISNA(VLOOKUP(A340,Vortex!F$5:J$302,2,FALSE)),"",VLOOKUP(A340,Vortex!F$5:J$302,2,FALSE)))</f>
        <v>24.46</v>
      </c>
      <c r="P340" s="49">
        <f>IF(B340="",0,IF(ISNA(_xlfn.XLOOKUP(A340,Vortex!F$5:F$302,Vortex!M$5:M$302)),0,_xlfn.XLOOKUP(A340,Vortex!F$5:F$302,Vortex!M$5:M$302)))</f>
        <v>72</v>
      </c>
      <c r="Q340" s="49">
        <f t="shared" si="27"/>
        <v>268</v>
      </c>
      <c r="R340" s="49" t="str">
        <f t="shared" si="28"/>
        <v/>
      </c>
      <c r="S340" s="49">
        <f t="shared" si="29"/>
        <v>2</v>
      </c>
      <c r="T340" s="49" t="str">
        <f t="shared" si="30"/>
        <v/>
      </c>
      <c r="U340" s="49">
        <f t="shared" si="31"/>
        <v>23</v>
      </c>
    </row>
    <row r="341" spans="1:21">
      <c r="A341" s="49">
        <f>IF(Declarations!B98=0,"",Declarations!B98)</f>
        <v>93</v>
      </c>
      <c r="B341" s="150" t="str">
        <f>IF(ISNA(VLOOKUP(A341,Declarations!B$6:C$185,2,FALSE)),"",IF(VLOOKUP(A341,Declarations!B$6:C$185,2,FALSE)="","",VLOOKUP(A341,Declarations!B$6:C$185,2,FALSE)))</f>
        <v>BEN QUICK</v>
      </c>
      <c r="C341" s="150" t="str">
        <f>IF(ISNA(VLOOKUP(A341,Declarations!B$6:F$185,5,FALSE)),"",IF(VLOOKUP(A341,Declarations!B$6:F$185,5,FALSE)="","",VLOOKUP(A341,Declarations!B$6:F$185,5,FALSE)))</f>
        <v>Waverley Athletics Club</v>
      </c>
      <c r="D341" s="150" t="str">
        <f>IF(ISNA(VLOOKUP(A341,Declarations!B$6:F$185,4,FALSE)),"",IF(VLOOKUP(A341,Declarations!B$6:F$185,4,FALSE)="","",VLOOKUP(A341,Declarations!B$6:F$185,4,FALSE)))</f>
        <v>BOYS</v>
      </c>
      <c r="E341" s="150" t="str">
        <f>IF(ISNA(VLOOKUP(A341,Declarations!B$6:D$185,3,FALSE)),"",IF(VLOOKUP(A341,Declarations!B$6:D$185,3,FALSE)="","",VLOOKUP(A341,Declarations!B$6:D$185,3,FALSE)))</f>
        <v>U12</v>
      </c>
      <c r="F341" s="49">
        <f>IF(B341="","",IF(ISNA(VLOOKUP(A341,'75m'!F$5:G$302,2,FALSE)),"",VLOOKUP(A341,'75m'!F$5:G$302,2,FALSE)))</f>
        <v>12.8</v>
      </c>
      <c r="G341" s="49">
        <f>IF(B341="",0,IF(ISNA(_xlfn.XLOOKUP(A341,'75m'!F$5:F$302,'75m'!M$5:M$302)),0,_xlfn.XLOOKUP(A341,'75m'!F$5:F$302,'75m'!M$5:M$302)))</f>
        <v>64</v>
      </c>
      <c r="H341" s="49" t="str">
        <f>IF(B341="","",IF(ISNA(VLOOKUP(A341,'75m'!F$5:K$302,6,FALSE)),"",VLOOKUP(A341,'75m'!F$5:K$302,6,FALSE)))</f>
        <v>PB5</v>
      </c>
      <c r="I341" s="51">
        <f>IF(B341="",0,IF(ISNA(VLOOKUP(A341,'600m'!F$5:J$302,2,FALSE)),0,VLOOKUP(A341,'600m'!F$5:J$302,2,FALSE)))</f>
        <v>1.6932870370370372E-3</v>
      </c>
      <c r="J341" s="49">
        <f>IF(B341="",0,IF(ISNA(_xlfn.XLOOKUP(A341,'600m'!F$5:F$302,'600m'!M$5:M$302)),0,_xlfn.XLOOKUP(A341,'600m'!F$5:F$302,'600m'!M$5:M$302)))</f>
        <v>23</v>
      </c>
      <c r="K341" s="49" t="str">
        <f>IF(B341="","",IF(ISNA(VLOOKUP(A341,'600m'!F$5:K$302,6,FALSE)),"",VLOOKUP(A341,'600m'!F$5:K$302,6,FALSE)))</f>
        <v>PB1</v>
      </c>
      <c r="L341" s="49">
        <f>IF(B341="","",IF(ISNA(VLOOKUP(A341,LongJump!F$5:G$302,2,FALSE)),"",VLOOKUP(A341,LongJump!F$5:G$302,2,FALSE)))</f>
        <v>1.76</v>
      </c>
      <c r="M341" s="49">
        <f>IF(B341="",0,IF(ISNA(_xlfn.XLOOKUP(A341,LongJump!F$5:F$302,LongJump!M$5:M$302)),0,_xlfn.XLOOKUP(A341,LongJump!F$5:F$302,LongJump!M$5:M$302)))</f>
        <v>12</v>
      </c>
      <c r="N341" s="49" t="str">
        <f>IF(B341="","",IF(ISNA(VLOOKUP(A341,LongJump!F$5:K$302,6,FALSE)),0,VLOOKUP(A341,LongJump!F$5:K$302,6,FALSE)))</f>
        <v/>
      </c>
      <c r="O341" s="49">
        <f>IF(B341="","",IF(ISNA(VLOOKUP(A341,Vortex!F$5:J$302,2,FALSE)),"",VLOOKUP(A341,Vortex!F$5:J$302,2,FALSE)))</f>
        <v>24.15</v>
      </c>
      <c r="P341" s="49">
        <f>IF(B341="",0,IF(ISNA(_xlfn.XLOOKUP(A341,Vortex!F$5:F$302,Vortex!M$5:M$302)),0,_xlfn.XLOOKUP(A341,Vortex!F$5:F$302,Vortex!M$5:M$302)))</f>
        <v>70</v>
      </c>
      <c r="Q341" s="49">
        <f t="shared" si="27"/>
        <v>169</v>
      </c>
      <c r="R341" s="49" t="str">
        <f t="shared" si="28"/>
        <v/>
      </c>
      <c r="S341" s="49">
        <f t="shared" si="29"/>
        <v>3</v>
      </c>
      <c r="T341" s="49" t="str">
        <f t="shared" si="30"/>
        <v/>
      </c>
      <c r="U341" s="49">
        <f t="shared" si="31"/>
        <v>41</v>
      </c>
    </row>
    <row r="342" spans="1:21">
      <c r="A342" s="49">
        <f>IF(Declarations!B99=0,"",Declarations!B99)</f>
        <v>94</v>
      </c>
      <c r="B342" s="150" t="str">
        <f>IF(ISNA(VLOOKUP(A342,Declarations!B$6:C$185,2,FALSE)),"",IF(VLOOKUP(A342,Declarations!B$6:C$185,2,FALSE)="","",VLOOKUP(A342,Declarations!B$6:C$185,2,FALSE)))</f>
        <v>DANIEL BURKE</v>
      </c>
      <c r="C342" s="150" t="str">
        <f>IF(ISNA(VLOOKUP(A342,Declarations!B$6:F$185,5,FALSE)),"",IF(VLOOKUP(A342,Declarations!B$6:F$185,5,FALSE)="","",VLOOKUP(A342,Declarations!B$6:F$185,5,FALSE)))</f>
        <v>Waverley Athletics Club</v>
      </c>
      <c r="D342" s="150" t="str">
        <f>IF(ISNA(VLOOKUP(A342,Declarations!B$6:F$185,4,FALSE)),"",IF(VLOOKUP(A342,Declarations!B$6:F$185,4,FALSE)="","",VLOOKUP(A342,Declarations!B$6:F$185,4,FALSE)))</f>
        <v>BOYS</v>
      </c>
      <c r="E342" s="150" t="str">
        <f>IF(ISNA(VLOOKUP(A342,Declarations!B$6:D$185,3,FALSE)),"",IF(VLOOKUP(A342,Declarations!B$6:D$185,3,FALSE)="","",VLOOKUP(A342,Declarations!B$6:D$185,3,FALSE)))</f>
        <v>U12</v>
      </c>
      <c r="F342" s="49" t="str">
        <f>IF(B342="","",IF(ISNA(VLOOKUP(A342,'75m'!F$5:G$302,2,FALSE)),"",VLOOKUP(A342,'75m'!F$5:G$302,2,FALSE)))</f>
        <v/>
      </c>
      <c r="G342" s="49">
        <f>IF(B342="",0,IF(ISNA(_xlfn.XLOOKUP(A342,'75m'!F$5:F$302,'75m'!M$5:M$302)),0,_xlfn.XLOOKUP(A342,'75m'!F$5:F$302,'75m'!M$5:M$302)))</f>
        <v>0</v>
      </c>
      <c r="H342" s="49" t="str">
        <f>IF(B342="","",IF(ISNA(VLOOKUP(A342,'75m'!F$5:K$302,6,FALSE)),"",VLOOKUP(A342,'75m'!F$5:K$302,6,FALSE)))</f>
        <v/>
      </c>
      <c r="I342" s="51">
        <f>IF(B342="",0,IF(ISNA(VLOOKUP(A342,'600m'!F$5:J$302,2,FALSE)),0,VLOOKUP(A342,'600m'!F$5:J$302,2,FALSE)))</f>
        <v>0</v>
      </c>
      <c r="J342" s="49">
        <f>IF(B342="",0,IF(ISNA(_xlfn.XLOOKUP(A342,'600m'!F$5:F$302,'600m'!M$5:M$302)),0,_xlfn.XLOOKUP(A342,'600m'!F$5:F$302,'600m'!M$5:M$302)))</f>
        <v>0</v>
      </c>
      <c r="K342" s="49" t="str">
        <f>IF(B342="","",IF(ISNA(VLOOKUP(A342,'600m'!F$5:K$302,6,FALSE)),"",VLOOKUP(A342,'600m'!F$5:K$302,6,FALSE)))</f>
        <v/>
      </c>
      <c r="L342" s="49">
        <f>IF(B342="","",IF(ISNA(VLOOKUP(A342,LongJump!F$5:G$302,2,FALSE)),"",VLOOKUP(A342,LongJump!F$5:G$302,2,FALSE)))</f>
        <v>0</v>
      </c>
      <c r="M342" s="49">
        <f>IF(B342="",0,IF(ISNA(_xlfn.XLOOKUP(A342,LongJump!F$5:F$302,LongJump!M$5:M$302)),0,_xlfn.XLOOKUP(A342,LongJump!F$5:F$302,LongJump!M$5:M$302)))</f>
        <v>0</v>
      </c>
      <c r="N342" s="49" t="str">
        <f>IF(B342="","",IF(ISNA(VLOOKUP(A342,LongJump!F$5:K$302,6,FALSE)),0,VLOOKUP(A342,LongJump!F$5:K$302,6,FALSE)))</f>
        <v/>
      </c>
      <c r="O342" s="49">
        <f>IF(B342="","",IF(ISNA(VLOOKUP(A342,Vortex!F$5:J$302,2,FALSE)),"",VLOOKUP(A342,Vortex!F$5:J$302,2,FALSE)))</f>
        <v>0</v>
      </c>
      <c r="P342" s="49">
        <f>IF(B342="",0,IF(ISNA(_xlfn.XLOOKUP(A342,Vortex!F$5:F$302,Vortex!M$5:M$302)),0,_xlfn.XLOOKUP(A342,Vortex!F$5:F$302,Vortex!M$5:M$302)))</f>
        <v>0</v>
      </c>
      <c r="Q342" s="49">
        <f t="shared" si="27"/>
        <v>0</v>
      </c>
      <c r="R342" s="49" t="str">
        <f t="shared" si="28"/>
        <v/>
      </c>
      <c r="S342" s="49" t="str">
        <f t="shared" si="29"/>
        <v/>
      </c>
      <c r="T342" s="49" t="str">
        <f t="shared" si="30"/>
        <v/>
      </c>
      <c r="U342" s="49" t="str">
        <f t="shared" si="31"/>
        <v/>
      </c>
    </row>
    <row r="343" spans="1:21">
      <c r="A343" s="49">
        <f>IF(Declarations!B100=0,"",Declarations!B100)</f>
        <v>95</v>
      </c>
      <c r="B343" s="150" t="str">
        <f>IF(ISNA(VLOOKUP(A343,Declarations!B$6:C$185,2,FALSE)),"",IF(VLOOKUP(A343,Declarations!B$6:C$185,2,FALSE)="","",VLOOKUP(A343,Declarations!B$6:C$185,2,FALSE)))</f>
        <v>LEONARDO OLALEMI</v>
      </c>
      <c r="C343" s="150" t="str">
        <f>IF(ISNA(VLOOKUP(A343,Declarations!B$6:F$185,5,FALSE)),"",IF(VLOOKUP(A343,Declarations!B$6:F$185,5,FALSE)="","",VLOOKUP(A343,Declarations!B$6:F$185,5,FALSE)))</f>
        <v>Waverley Athletics Club</v>
      </c>
      <c r="D343" s="150" t="str">
        <f>IF(ISNA(VLOOKUP(A343,Declarations!B$6:F$185,4,FALSE)),"",IF(VLOOKUP(A343,Declarations!B$6:F$185,4,FALSE)="","",VLOOKUP(A343,Declarations!B$6:F$185,4,FALSE)))</f>
        <v>BOYS</v>
      </c>
      <c r="E343" s="150" t="str">
        <f>IF(ISNA(VLOOKUP(A343,Declarations!B$6:D$185,3,FALSE)),"",IF(VLOOKUP(A343,Declarations!B$6:D$185,3,FALSE)="","",VLOOKUP(A343,Declarations!B$6:D$185,3,FALSE)))</f>
        <v>U12</v>
      </c>
      <c r="F343" s="49" t="str">
        <f>IF(B343="","",IF(ISNA(VLOOKUP(A343,'75m'!F$5:G$302,2,FALSE)),"",VLOOKUP(A343,'75m'!F$5:G$302,2,FALSE)))</f>
        <v/>
      </c>
      <c r="G343" s="49">
        <f>IF(B343="",0,IF(ISNA(_xlfn.XLOOKUP(A343,'75m'!F$5:F$302,'75m'!M$5:M$302)),0,_xlfn.XLOOKUP(A343,'75m'!F$5:F$302,'75m'!M$5:M$302)))</f>
        <v>0</v>
      </c>
      <c r="H343" s="49" t="str">
        <f>IF(B343="","",IF(ISNA(VLOOKUP(A343,'75m'!F$5:K$302,6,FALSE)),"",VLOOKUP(A343,'75m'!F$5:K$302,6,FALSE)))</f>
        <v/>
      </c>
      <c r="I343" s="51">
        <f>IF(B343="",0,IF(ISNA(VLOOKUP(A343,'600m'!F$5:J$302,2,FALSE)),0,VLOOKUP(A343,'600m'!F$5:J$302,2,FALSE)))</f>
        <v>0</v>
      </c>
      <c r="J343" s="49">
        <f>IF(B343="",0,IF(ISNA(_xlfn.XLOOKUP(A343,'600m'!F$5:F$302,'600m'!M$5:M$302)),0,_xlfn.XLOOKUP(A343,'600m'!F$5:F$302,'600m'!M$5:M$302)))</f>
        <v>0</v>
      </c>
      <c r="K343" s="49" t="str">
        <f>IF(B343="","",IF(ISNA(VLOOKUP(A343,'600m'!F$5:K$302,6,FALSE)),"",VLOOKUP(A343,'600m'!F$5:K$302,6,FALSE)))</f>
        <v/>
      </c>
      <c r="L343" s="49">
        <f>IF(B343="","",IF(ISNA(VLOOKUP(A343,LongJump!F$5:G$302,2,FALSE)),"",VLOOKUP(A343,LongJump!F$5:G$302,2,FALSE)))</f>
        <v>2.29</v>
      </c>
      <c r="M343" s="49">
        <f>IF(B343="",0,IF(ISNA(_xlfn.XLOOKUP(A343,LongJump!F$5:F$302,LongJump!M$5:M$302)),0,_xlfn.XLOOKUP(A343,LongJump!F$5:F$302,LongJump!M$5:M$302)))</f>
        <v>31</v>
      </c>
      <c r="N343" s="49" t="str">
        <f>IF(B343="","",IF(ISNA(VLOOKUP(A343,LongJump!F$5:K$302,6,FALSE)),0,VLOOKUP(A343,LongJump!F$5:K$302,6,FALSE)))</f>
        <v>PB2</v>
      </c>
      <c r="O343" s="49">
        <f>IF(B343="","",IF(ISNA(VLOOKUP(A343,Vortex!F$5:J$302,2,FALSE)),"",VLOOKUP(A343,Vortex!F$5:J$302,2,FALSE)))</f>
        <v>36.99</v>
      </c>
      <c r="P343" s="49">
        <f>IF(B343="",0,IF(ISNA(_xlfn.XLOOKUP(A343,Vortex!F$5:F$302,Vortex!M$5:M$302)),0,_xlfn.XLOOKUP(A343,Vortex!F$5:F$302,Vortex!M$5:M$302)))</f>
        <v>125</v>
      </c>
      <c r="Q343" s="49">
        <f t="shared" si="27"/>
        <v>156</v>
      </c>
      <c r="R343" s="49" t="str">
        <f t="shared" si="28"/>
        <v/>
      </c>
      <c r="S343" s="49">
        <f t="shared" si="29"/>
        <v>4</v>
      </c>
      <c r="T343" s="49" t="str">
        <f t="shared" si="30"/>
        <v/>
      </c>
      <c r="U343" s="49">
        <f t="shared" si="31"/>
        <v>44</v>
      </c>
    </row>
    <row r="344" spans="1:21">
      <c r="A344" s="49">
        <f>IF(Declarations!B101=0,"",Declarations!B101)</f>
        <v>96</v>
      </c>
      <c r="B344" s="150" t="str">
        <f>IF(ISNA(VLOOKUP(A344,Declarations!B$6:C$185,2,FALSE)),"",IF(VLOOKUP(A344,Declarations!B$6:C$185,2,FALSE)="","",VLOOKUP(A344,Declarations!B$6:C$185,2,FALSE)))</f>
        <v>TADHG WATSON</v>
      </c>
      <c r="C344" s="150" t="str">
        <f>IF(ISNA(VLOOKUP(A344,Declarations!B$6:F$185,5,FALSE)),"",IF(VLOOKUP(A344,Declarations!B$6:F$185,5,FALSE)="","",VLOOKUP(A344,Declarations!B$6:F$185,5,FALSE)))</f>
        <v>Waverley Athletics Club</v>
      </c>
      <c r="D344" s="150" t="str">
        <f>IF(ISNA(VLOOKUP(A344,Declarations!B$6:F$185,4,FALSE)),"",IF(VLOOKUP(A344,Declarations!B$6:F$185,4,FALSE)="","",VLOOKUP(A344,Declarations!B$6:F$185,4,FALSE)))</f>
        <v>BOYS</v>
      </c>
      <c r="E344" s="150" t="str">
        <f>IF(ISNA(VLOOKUP(A344,Declarations!B$6:D$185,3,FALSE)),"",IF(VLOOKUP(A344,Declarations!B$6:D$185,3,FALSE)="","",VLOOKUP(A344,Declarations!B$6:D$185,3,FALSE)))</f>
        <v>U12</v>
      </c>
      <c r="F344" s="49" t="str">
        <f>IF(B344="","",IF(ISNA(VLOOKUP(A344,'75m'!F$5:G$302,2,FALSE)),"",VLOOKUP(A344,'75m'!F$5:G$302,2,FALSE)))</f>
        <v/>
      </c>
      <c r="G344" s="49">
        <f>IF(B344="",0,IF(ISNA(_xlfn.XLOOKUP(A344,'75m'!F$5:F$302,'75m'!M$5:M$302)),0,_xlfn.XLOOKUP(A344,'75m'!F$5:F$302,'75m'!M$5:M$302)))</f>
        <v>0</v>
      </c>
      <c r="H344" s="49" t="str">
        <f>IF(B344="","",IF(ISNA(VLOOKUP(A344,'75m'!F$5:K$302,6,FALSE)),"",VLOOKUP(A344,'75m'!F$5:K$302,6,FALSE)))</f>
        <v/>
      </c>
      <c r="I344" s="51">
        <f>IF(B344="",0,IF(ISNA(VLOOKUP(A344,'600m'!F$5:J$302,2,FALSE)),0,VLOOKUP(A344,'600m'!F$5:J$302,2,FALSE)))</f>
        <v>1.5312500000000001E-3</v>
      </c>
      <c r="J344" s="49">
        <f>IF(B344="",0,IF(ISNA(_xlfn.XLOOKUP(A344,'600m'!F$5:F$302,'600m'!M$5:M$302)),0,_xlfn.XLOOKUP(A344,'600m'!F$5:F$302,'600m'!M$5:M$302)))</f>
        <v>37</v>
      </c>
      <c r="K344" s="49" t="str">
        <f>IF(B344="","",IF(ISNA(VLOOKUP(A344,'600m'!F$5:K$302,6,FALSE)),"",VLOOKUP(A344,'600m'!F$5:K$302,6,FALSE)))</f>
        <v>PB2</v>
      </c>
      <c r="L344" s="49">
        <f>IF(B344="","",IF(ISNA(VLOOKUP(A344,LongJump!F$5:G$302,2,FALSE)),"",VLOOKUP(A344,LongJump!F$5:G$302,2,FALSE)))</f>
        <v>2.92</v>
      </c>
      <c r="M344" s="49">
        <f>IF(B344="",0,IF(ISNA(_xlfn.XLOOKUP(A344,LongJump!F$5:F$302,LongJump!M$5:M$302)),0,_xlfn.XLOOKUP(A344,LongJump!F$5:F$302,LongJump!M$5:M$302)))</f>
        <v>56</v>
      </c>
      <c r="N344" s="49" t="str">
        <f>IF(B344="","",IF(ISNA(VLOOKUP(A344,LongJump!F$5:K$302,6,FALSE)),0,VLOOKUP(A344,LongJump!F$5:K$302,6,FALSE)))</f>
        <v>PB4</v>
      </c>
      <c r="O344" s="49">
        <f>IF(B344="","",IF(ISNA(VLOOKUP(A344,Vortex!F$5:J$302,2,FALSE)),"",VLOOKUP(A344,Vortex!F$5:J$302,2,FALSE)))</f>
        <v>0</v>
      </c>
      <c r="P344" s="49">
        <f>IF(B344="",0,IF(ISNA(_xlfn.XLOOKUP(A344,Vortex!F$5:F$302,Vortex!M$5:M$302)),0,_xlfn.XLOOKUP(A344,Vortex!F$5:F$302,Vortex!M$5:M$302)))</f>
        <v>0</v>
      </c>
      <c r="Q344" s="49">
        <f t="shared" si="27"/>
        <v>93</v>
      </c>
      <c r="R344" s="49" t="str">
        <f t="shared" si="28"/>
        <v/>
      </c>
      <c r="S344" s="49">
        <f t="shared" si="29"/>
        <v>5</v>
      </c>
      <c r="T344" s="49" t="str">
        <f t="shared" si="30"/>
        <v/>
      </c>
      <c r="U344" s="49">
        <f t="shared" si="31"/>
        <v>47</v>
      </c>
    </row>
    <row r="345" spans="1:21">
      <c r="A345" s="49">
        <f>IF(Declarations!B102=0,"",Declarations!B102)</f>
        <v>97</v>
      </c>
      <c r="B345" s="150" t="str">
        <f>IF(ISNA(VLOOKUP(A345,Declarations!B$6:C$185,2,FALSE)),"",IF(VLOOKUP(A345,Declarations!B$6:C$185,2,FALSE)="","",VLOOKUP(A345,Declarations!B$6:C$185,2,FALSE)))</f>
        <v>STAN CLIPSHAM</v>
      </c>
      <c r="C345" s="150" t="str">
        <f>IF(ISNA(VLOOKUP(A345,Declarations!B$6:F$185,5,FALSE)),"",IF(VLOOKUP(A345,Declarations!B$6:F$185,5,FALSE)="","",VLOOKUP(A345,Declarations!B$6:F$185,5,FALSE)))</f>
        <v>Waverley Athletics Club</v>
      </c>
      <c r="D345" s="150" t="str">
        <f>IF(ISNA(VLOOKUP(A345,Declarations!B$6:F$185,4,FALSE)),"",IF(VLOOKUP(A345,Declarations!B$6:F$185,4,FALSE)="","",VLOOKUP(A345,Declarations!B$6:F$185,4,FALSE)))</f>
        <v>BOYS</v>
      </c>
      <c r="E345" s="150" t="str">
        <f>IF(ISNA(VLOOKUP(A345,Declarations!B$6:D$185,3,FALSE)),"",IF(VLOOKUP(A345,Declarations!B$6:D$185,3,FALSE)="","",VLOOKUP(A345,Declarations!B$6:D$185,3,FALSE)))</f>
        <v>U12</v>
      </c>
      <c r="F345" s="49" t="str">
        <f>IF(B345="","",IF(ISNA(VLOOKUP(A345,'75m'!F$5:G$302,2,FALSE)),"",VLOOKUP(A345,'75m'!F$5:G$302,2,FALSE)))</f>
        <v/>
      </c>
      <c r="G345" s="49">
        <f>IF(B345="",0,IF(ISNA(_xlfn.XLOOKUP(A345,'75m'!F$5:F$302,'75m'!M$5:M$302)),0,_xlfn.XLOOKUP(A345,'75m'!F$5:F$302,'75m'!M$5:M$302)))</f>
        <v>0</v>
      </c>
      <c r="H345" s="49" t="str">
        <f>IF(B345="","",IF(ISNA(VLOOKUP(A345,'75m'!F$5:K$302,6,FALSE)),"",VLOOKUP(A345,'75m'!F$5:K$302,6,FALSE)))</f>
        <v/>
      </c>
      <c r="I345" s="51">
        <f>IF(B345="",0,IF(ISNA(VLOOKUP(A345,'600m'!F$5:J$302,2,FALSE)),0,VLOOKUP(A345,'600m'!F$5:J$302,2,FALSE)))</f>
        <v>0</v>
      </c>
      <c r="J345" s="49">
        <f>IF(B345="",0,IF(ISNA(_xlfn.XLOOKUP(A345,'600m'!F$5:F$302,'600m'!M$5:M$302)),0,_xlfn.XLOOKUP(A345,'600m'!F$5:F$302,'600m'!M$5:M$302)))</f>
        <v>0</v>
      </c>
      <c r="K345" s="49" t="str">
        <f>IF(B345="","",IF(ISNA(VLOOKUP(A345,'600m'!F$5:K$302,6,FALSE)),"",VLOOKUP(A345,'600m'!F$5:K$302,6,FALSE)))</f>
        <v/>
      </c>
      <c r="L345" s="49">
        <f>IF(B345="","",IF(ISNA(VLOOKUP(A345,LongJump!F$5:G$302,2,FALSE)),"",VLOOKUP(A345,LongJump!F$5:G$302,2,FALSE)))</f>
        <v>0</v>
      </c>
      <c r="M345" s="49">
        <f>IF(B345="",0,IF(ISNA(_xlfn.XLOOKUP(A345,LongJump!F$5:F$302,LongJump!M$5:M$302)),0,_xlfn.XLOOKUP(A345,LongJump!F$5:F$302,LongJump!M$5:M$302)))</f>
        <v>0</v>
      </c>
      <c r="N345" s="49" t="str">
        <f>IF(B345="","",IF(ISNA(VLOOKUP(A345,LongJump!F$5:K$302,6,FALSE)),0,VLOOKUP(A345,LongJump!F$5:K$302,6,FALSE)))</f>
        <v/>
      </c>
      <c r="O345" s="49">
        <f>IF(B345="","",IF(ISNA(VLOOKUP(A345,Vortex!F$5:J$302,2,FALSE)),"",VLOOKUP(A345,Vortex!F$5:J$302,2,FALSE)))</f>
        <v>0</v>
      </c>
      <c r="P345" s="49">
        <f>IF(B345="",0,IF(ISNA(_xlfn.XLOOKUP(A345,Vortex!F$5:F$302,Vortex!M$5:M$302)),0,_xlfn.XLOOKUP(A345,Vortex!F$5:F$302,Vortex!M$5:M$302)))</f>
        <v>0</v>
      </c>
      <c r="Q345" s="49">
        <f t="shared" si="27"/>
        <v>0</v>
      </c>
      <c r="R345" s="49" t="str">
        <f t="shared" si="28"/>
        <v/>
      </c>
      <c r="S345" s="49" t="str">
        <f t="shared" si="29"/>
        <v/>
      </c>
      <c r="T345" s="49" t="str">
        <f t="shared" si="30"/>
        <v/>
      </c>
      <c r="U345" s="49" t="str">
        <f t="shared" si="31"/>
        <v/>
      </c>
    </row>
    <row r="346" spans="1:21">
      <c r="A346" s="49">
        <f>IF(Declarations!B103=0,"",Declarations!B103)</f>
        <v>98</v>
      </c>
      <c r="B346" s="150" t="str">
        <f>IF(ISNA(VLOOKUP(A346,Declarations!B$6:C$185,2,FALSE)),"",IF(VLOOKUP(A346,Declarations!B$6:C$185,2,FALSE)="","",VLOOKUP(A346,Declarations!B$6:C$185,2,FALSE)))</f>
        <v/>
      </c>
      <c r="C346" s="150" t="str">
        <f>IF(ISNA(VLOOKUP(A346,Declarations!B$6:F$185,5,FALSE)),"",IF(VLOOKUP(A346,Declarations!B$6:F$185,5,FALSE)="","",VLOOKUP(A346,Declarations!B$6:F$185,5,FALSE)))</f>
        <v>Waverley Athletics Club</v>
      </c>
      <c r="D346" s="150" t="str">
        <f>IF(ISNA(VLOOKUP(A346,Declarations!B$6:F$185,4,FALSE)),"",IF(VLOOKUP(A346,Declarations!B$6:F$185,4,FALSE)="","",VLOOKUP(A346,Declarations!B$6:F$185,4,FALSE)))</f>
        <v>BOYS</v>
      </c>
      <c r="E346" s="150" t="str">
        <f>IF(ISNA(VLOOKUP(A346,Declarations!B$6:D$185,3,FALSE)),"",IF(VLOOKUP(A346,Declarations!B$6:D$185,3,FALSE)="","",VLOOKUP(A346,Declarations!B$6:D$185,3,FALSE)))</f>
        <v>U12</v>
      </c>
      <c r="F346" s="49" t="str">
        <f>IF(B346="","",IF(ISNA(VLOOKUP(A346,'75m'!F$5:G$302,2,FALSE)),"",VLOOKUP(A346,'75m'!F$5:G$302,2,FALSE)))</f>
        <v/>
      </c>
      <c r="G346" s="49">
        <f>IF(B346="",0,IF(ISNA(_xlfn.XLOOKUP(A346,'75m'!F$5:F$302,'75m'!M$5:M$302)),0,_xlfn.XLOOKUP(A346,'75m'!F$5:F$302,'75m'!M$5:M$302)))</f>
        <v>0</v>
      </c>
      <c r="H346" s="49" t="str">
        <f>IF(B346="","",IF(ISNA(VLOOKUP(A346,'75m'!F$5:K$302,6,FALSE)),"",VLOOKUP(A346,'75m'!F$5:K$302,6,FALSE)))</f>
        <v/>
      </c>
      <c r="I346" s="51">
        <f>IF(B346="",0,IF(ISNA(VLOOKUP(A346,'600m'!F$5:J$302,2,FALSE)),0,VLOOKUP(A346,'600m'!F$5:J$302,2,FALSE)))</f>
        <v>0</v>
      </c>
      <c r="J346" s="49">
        <f>IF(B346="",0,IF(ISNA(_xlfn.XLOOKUP(A346,'600m'!F$5:F$302,'600m'!M$5:M$302)),0,_xlfn.XLOOKUP(A346,'600m'!F$5:F$302,'600m'!M$5:M$302)))</f>
        <v>0</v>
      </c>
      <c r="K346" s="49" t="str">
        <f>IF(B346="","",IF(ISNA(VLOOKUP(A346,'600m'!F$5:K$302,6,FALSE)),"",VLOOKUP(A346,'600m'!F$5:K$302,6,FALSE)))</f>
        <v/>
      </c>
      <c r="L346" s="49" t="str">
        <f>IF(B346="","",IF(ISNA(VLOOKUP(A346,LongJump!F$5:G$302,2,FALSE)),"",VLOOKUP(A346,LongJump!F$5:G$302,2,FALSE)))</f>
        <v/>
      </c>
      <c r="M346" s="49">
        <f>IF(B346="",0,IF(ISNA(_xlfn.XLOOKUP(A346,LongJump!F$5:F$302,LongJump!M$5:M$302)),0,_xlfn.XLOOKUP(A346,LongJump!F$5:F$302,LongJump!M$5:M$302)))</f>
        <v>0</v>
      </c>
      <c r="N346" s="49" t="str">
        <f>IF(B346="","",IF(ISNA(VLOOKUP(A346,LongJump!F$5:K$302,6,FALSE)),0,VLOOKUP(A346,LongJump!F$5:K$302,6,FALSE)))</f>
        <v/>
      </c>
      <c r="O346" s="49" t="str">
        <f>IF(B346="","",IF(ISNA(VLOOKUP(A346,Vortex!F$5:J$302,2,FALSE)),"",VLOOKUP(A346,Vortex!F$5:J$302,2,FALSE)))</f>
        <v/>
      </c>
      <c r="P346" s="49">
        <f>IF(B346="",0,IF(ISNA(_xlfn.XLOOKUP(A346,Vortex!F$5:F$302,Vortex!M$5:M$302)),0,_xlfn.XLOOKUP(A346,Vortex!F$5:F$302,Vortex!M$5:M$302)))</f>
        <v>0</v>
      </c>
      <c r="Q346" s="49">
        <f t="shared" si="27"/>
        <v>0</v>
      </c>
      <c r="R346" s="49" t="str">
        <f t="shared" si="28"/>
        <v/>
      </c>
      <c r="S346" s="49" t="str">
        <f t="shared" si="29"/>
        <v/>
      </c>
      <c r="T346" s="49" t="str">
        <f t="shared" si="30"/>
        <v/>
      </c>
      <c r="U346" s="49" t="str">
        <f t="shared" si="31"/>
        <v/>
      </c>
    </row>
    <row r="347" spans="1:21">
      <c r="A347" s="49">
        <f>IF(Declarations!B104=0,"",Declarations!B104)</f>
        <v>99</v>
      </c>
      <c r="B347" s="150" t="str">
        <f>IF(ISNA(VLOOKUP(A347,Declarations!B$6:C$185,2,FALSE)),"",IF(VLOOKUP(A347,Declarations!B$6:C$185,2,FALSE)="","",VLOOKUP(A347,Declarations!B$6:C$185,2,FALSE)))</f>
        <v/>
      </c>
      <c r="C347" s="150" t="str">
        <f>IF(ISNA(VLOOKUP(A347,Declarations!B$6:F$185,5,FALSE)),"",IF(VLOOKUP(A347,Declarations!B$6:F$185,5,FALSE)="","",VLOOKUP(A347,Declarations!B$6:F$185,5,FALSE)))</f>
        <v>Waverley Athletics Club</v>
      </c>
      <c r="D347" s="150" t="str">
        <f>IF(ISNA(VLOOKUP(A347,Declarations!B$6:F$185,4,FALSE)),"",IF(VLOOKUP(A347,Declarations!B$6:F$185,4,FALSE)="","",VLOOKUP(A347,Declarations!B$6:F$185,4,FALSE)))</f>
        <v>BOYS</v>
      </c>
      <c r="E347" s="150" t="str">
        <f>IF(ISNA(VLOOKUP(A347,Declarations!B$6:D$185,3,FALSE)),"",IF(VLOOKUP(A347,Declarations!B$6:D$185,3,FALSE)="","",VLOOKUP(A347,Declarations!B$6:D$185,3,FALSE)))</f>
        <v>U12</v>
      </c>
      <c r="F347" s="49" t="str">
        <f>IF(B347="","",IF(ISNA(VLOOKUP(A347,'75m'!F$5:G$302,2,FALSE)),"",VLOOKUP(A347,'75m'!F$5:G$302,2,FALSE)))</f>
        <v/>
      </c>
      <c r="G347" s="49">
        <f>IF(B347="",0,IF(ISNA(_xlfn.XLOOKUP(A347,'75m'!F$5:F$302,'75m'!M$5:M$302)),0,_xlfn.XLOOKUP(A347,'75m'!F$5:F$302,'75m'!M$5:M$302)))</f>
        <v>0</v>
      </c>
      <c r="H347" s="49" t="str">
        <f>IF(B347="","",IF(ISNA(VLOOKUP(A347,'75m'!F$5:K$302,6,FALSE)),"",VLOOKUP(A347,'75m'!F$5:K$302,6,FALSE)))</f>
        <v/>
      </c>
      <c r="I347" s="51">
        <f>IF(B347="",0,IF(ISNA(VLOOKUP(A347,'600m'!F$5:J$302,2,FALSE)),0,VLOOKUP(A347,'600m'!F$5:J$302,2,FALSE)))</f>
        <v>0</v>
      </c>
      <c r="J347" s="49">
        <f>IF(B347="",0,IF(ISNA(_xlfn.XLOOKUP(A347,'600m'!F$5:F$302,'600m'!M$5:M$302)),0,_xlfn.XLOOKUP(A347,'600m'!F$5:F$302,'600m'!M$5:M$302)))</f>
        <v>0</v>
      </c>
      <c r="K347" s="49" t="str">
        <f>IF(B347="","",IF(ISNA(VLOOKUP(A347,'600m'!F$5:K$302,6,FALSE)),"",VLOOKUP(A347,'600m'!F$5:K$302,6,FALSE)))</f>
        <v/>
      </c>
      <c r="L347" s="49" t="str">
        <f>IF(B347="","",IF(ISNA(VLOOKUP(A347,LongJump!F$5:G$302,2,FALSE)),"",VLOOKUP(A347,LongJump!F$5:G$302,2,FALSE)))</f>
        <v/>
      </c>
      <c r="M347" s="49">
        <f>IF(B347="",0,IF(ISNA(_xlfn.XLOOKUP(A347,LongJump!F$5:F$302,LongJump!M$5:M$302)),0,_xlfn.XLOOKUP(A347,LongJump!F$5:F$302,LongJump!M$5:M$302)))</f>
        <v>0</v>
      </c>
      <c r="N347" s="49" t="str">
        <f>IF(B347="","",IF(ISNA(VLOOKUP(A347,LongJump!F$5:K$302,6,FALSE)),0,VLOOKUP(A347,LongJump!F$5:K$302,6,FALSE)))</f>
        <v/>
      </c>
      <c r="O347" s="49" t="str">
        <f>IF(B347="","",IF(ISNA(VLOOKUP(A347,Vortex!F$5:J$302,2,FALSE)),"",VLOOKUP(A347,Vortex!F$5:J$302,2,FALSE)))</f>
        <v/>
      </c>
      <c r="P347" s="49">
        <f>IF(B347="",0,IF(ISNA(_xlfn.XLOOKUP(A347,Vortex!F$5:F$302,Vortex!M$5:M$302)),0,_xlfn.XLOOKUP(A347,Vortex!F$5:F$302,Vortex!M$5:M$302)))</f>
        <v>0</v>
      </c>
      <c r="Q347" s="49">
        <f t="shared" si="27"/>
        <v>0</v>
      </c>
      <c r="R347" s="49" t="str">
        <f t="shared" si="28"/>
        <v/>
      </c>
      <c r="S347" s="49" t="str">
        <f t="shared" si="29"/>
        <v/>
      </c>
      <c r="T347" s="49" t="str">
        <f t="shared" si="30"/>
        <v/>
      </c>
      <c r="U347" s="49" t="str">
        <f t="shared" si="31"/>
        <v/>
      </c>
    </row>
    <row r="348" spans="1:21">
      <c r="A348" s="49">
        <f>IF(Declarations!B105=0,"",Declarations!B105)</f>
        <v>100</v>
      </c>
      <c r="B348" s="150" t="str">
        <f>IF(ISNA(VLOOKUP(A348,Declarations!B$6:C$185,2,FALSE)),"",IF(VLOOKUP(A348,Declarations!B$6:C$185,2,FALSE)="","",VLOOKUP(A348,Declarations!B$6:C$185,2,FALSE)))</f>
        <v/>
      </c>
      <c r="C348" s="150" t="str">
        <f>IF(ISNA(VLOOKUP(A348,Declarations!B$6:F$185,5,FALSE)),"",IF(VLOOKUP(A348,Declarations!B$6:F$185,5,FALSE)="","",VLOOKUP(A348,Declarations!B$6:F$185,5,FALSE)))</f>
        <v>Waverley Athletics Club</v>
      </c>
      <c r="D348" s="150" t="str">
        <f>IF(ISNA(VLOOKUP(A348,Declarations!B$6:F$185,4,FALSE)),"",IF(VLOOKUP(A348,Declarations!B$6:F$185,4,FALSE)="","",VLOOKUP(A348,Declarations!B$6:F$185,4,FALSE)))</f>
        <v>BOYS</v>
      </c>
      <c r="E348" s="150" t="str">
        <f>IF(ISNA(VLOOKUP(A348,Declarations!B$6:D$185,3,FALSE)),"",IF(VLOOKUP(A348,Declarations!B$6:D$185,3,FALSE)="","",VLOOKUP(A348,Declarations!B$6:D$185,3,FALSE)))</f>
        <v>U12</v>
      </c>
      <c r="F348" s="49" t="str">
        <f>IF(B348="","",IF(ISNA(VLOOKUP(A348,'75m'!F$5:G$302,2,FALSE)),"",VLOOKUP(A348,'75m'!F$5:G$302,2,FALSE)))</f>
        <v/>
      </c>
      <c r="G348" s="49">
        <f>IF(B348="",0,IF(ISNA(_xlfn.XLOOKUP(A348,'75m'!F$5:F$302,'75m'!M$5:M$302)),0,_xlfn.XLOOKUP(A348,'75m'!F$5:F$302,'75m'!M$5:M$302)))</f>
        <v>0</v>
      </c>
      <c r="H348" s="49" t="str">
        <f>IF(B348="","",IF(ISNA(VLOOKUP(A348,'75m'!F$5:K$302,6,FALSE)),"",VLOOKUP(A348,'75m'!F$5:K$302,6,FALSE)))</f>
        <v/>
      </c>
      <c r="I348" s="51">
        <f>IF(B348="",0,IF(ISNA(VLOOKUP(A348,'600m'!F$5:J$302,2,FALSE)),0,VLOOKUP(A348,'600m'!F$5:J$302,2,FALSE)))</f>
        <v>0</v>
      </c>
      <c r="J348" s="49">
        <f>IF(B348="",0,IF(ISNA(_xlfn.XLOOKUP(A348,'600m'!F$5:F$302,'600m'!M$5:M$302)),0,_xlfn.XLOOKUP(A348,'600m'!F$5:F$302,'600m'!M$5:M$302)))</f>
        <v>0</v>
      </c>
      <c r="K348" s="49" t="str">
        <f>IF(B348="","",IF(ISNA(VLOOKUP(A348,'600m'!F$5:K$302,6,FALSE)),"",VLOOKUP(A348,'600m'!F$5:K$302,6,FALSE)))</f>
        <v/>
      </c>
      <c r="L348" s="49" t="str">
        <f>IF(B348="","",IF(ISNA(VLOOKUP(A348,LongJump!F$5:G$302,2,FALSE)),"",VLOOKUP(A348,LongJump!F$5:G$302,2,FALSE)))</f>
        <v/>
      </c>
      <c r="M348" s="49">
        <f>IF(B348="",0,IF(ISNA(_xlfn.XLOOKUP(A348,LongJump!F$5:F$302,LongJump!M$5:M$302)),0,_xlfn.XLOOKUP(A348,LongJump!F$5:F$302,LongJump!M$5:M$302)))</f>
        <v>0</v>
      </c>
      <c r="N348" s="49" t="str">
        <f>IF(B348="","",IF(ISNA(VLOOKUP(A348,LongJump!F$5:K$302,6,FALSE)),0,VLOOKUP(A348,LongJump!F$5:K$302,6,FALSE)))</f>
        <v/>
      </c>
      <c r="O348" s="49" t="str">
        <f>IF(B348="","",IF(ISNA(VLOOKUP(A348,Vortex!F$5:J$302,2,FALSE)),"",VLOOKUP(A348,Vortex!F$5:J$302,2,FALSE)))</f>
        <v/>
      </c>
      <c r="P348" s="49">
        <f>IF(B348="",0,IF(ISNA(_xlfn.XLOOKUP(A348,Vortex!F$5:F$302,Vortex!M$5:M$302)),0,_xlfn.XLOOKUP(A348,Vortex!F$5:F$302,Vortex!M$5:M$302)))</f>
        <v>0</v>
      </c>
      <c r="Q348" s="49">
        <f t="shared" si="27"/>
        <v>0</v>
      </c>
      <c r="R348" s="49" t="str">
        <f t="shared" si="28"/>
        <v/>
      </c>
      <c r="S348" s="49" t="str">
        <f t="shared" si="29"/>
        <v/>
      </c>
      <c r="T348" s="49" t="str">
        <f t="shared" si="30"/>
        <v/>
      </c>
      <c r="U348" s="49" t="str">
        <f t="shared" si="31"/>
        <v/>
      </c>
    </row>
    <row r="349" spans="1:21">
      <c r="A349" s="49">
        <f>IF(Declarations!B106=0,"",Declarations!B106)</f>
        <v>101</v>
      </c>
      <c r="B349" s="150" t="str">
        <f>IF(ISNA(VLOOKUP(A349,Declarations!B$6:C$185,2,FALSE)),"",IF(VLOOKUP(A349,Declarations!B$6:C$185,2,FALSE)="","",VLOOKUP(A349,Declarations!B$6:C$185,2,FALSE)))</f>
        <v>LYRA JINKS</v>
      </c>
      <c r="C349" s="150" t="str">
        <f>IF(ISNA(VLOOKUP(A349,Declarations!B$6:F$185,5,FALSE)),"",IF(VLOOKUP(A349,Declarations!B$6:F$185,5,FALSE)="","",VLOOKUP(A349,Declarations!B$6:F$185,5,FALSE)))</f>
        <v>Basingstoke &amp; Mid Hants AC</v>
      </c>
      <c r="D349" s="150" t="str">
        <f>IF(ISNA(VLOOKUP(A349,Declarations!B$6:F$185,4,FALSE)),"",IF(VLOOKUP(A349,Declarations!B$6:F$185,4,FALSE)="","",VLOOKUP(A349,Declarations!B$6:F$185,4,FALSE)))</f>
        <v>GIRLS</v>
      </c>
      <c r="E349" s="150" t="str">
        <f>IF(ISNA(VLOOKUP(A349,Declarations!B$6:D$185,3,FALSE)),"",IF(VLOOKUP(A349,Declarations!B$6:D$185,3,FALSE)="","",VLOOKUP(A349,Declarations!B$6:D$185,3,FALSE)))</f>
        <v>U12</v>
      </c>
      <c r="F349" s="49">
        <f>IF(B349="","",IF(ISNA(VLOOKUP(A349,'75m'!F$5:G$302,2,FALSE)),"",VLOOKUP(A349,'75m'!F$5:G$302,2,FALSE)))</f>
        <v>12.7</v>
      </c>
      <c r="G349" s="49">
        <f>IF(B349="",0,IF(ISNA(_xlfn.XLOOKUP(A349,'75m'!F$5:F$302,'75m'!M$5:M$302)),0,_xlfn.XLOOKUP(A349,'75m'!F$5:F$302,'75m'!M$5:M$302)))</f>
        <v>76</v>
      </c>
      <c r="H349" s="49" t="str">
        <f>IF(B349="","",IF(ISNA(VLOOKUP(A349,'75m'!F$5:K$302,6,FALSE)),"",VLOOKUP(A349,'75m'!F$5:K$302,6,FALSE)))</f>
        <v>PB6</v>
      </c>
      <c r="I349" s="51">
        <f>IF(B349="",0,IF(ISNA(VLOOKUP(A349,'600m'!F$5:J$302,2,FALSE)),0,VLOOKUP(A349,'600m'!F$5:J$302,2,FALSE)))</f>
        <v>1.5798611111111111E-3</v>
      </c>
      <c r="J349" s="49">
        <f>IF(B349="",0,IF(ISNA(_xlfn.XLOOKUP(A349,'600m'!F$5:F$302,'600m'!M$5:M$302)),0,_xlfn.XLOOKUP(A349,'600m'!F$5:F$302,'600m'!M$5:M$302)))</f>
        <v>47</v>
      </c>
      <c r="K349" s="49" t="str">
        <f>IF(B349="","",IF(ISNA(VLOOKUP(A349,'600m'!F$5:K$302,6,FALSE)),"",VLOOKUP(A349,'600m'!F$5:K$302,6,FALSE)))</f>
        <v>PB2</v>
      </c>
      <c r="L349" s="49">
        <f>IF(B349="","",IF(ISNA(VLOOKUP(A349,LongJump!F$5:G$302,2,FALSE)),"",VLOOKUP(A349,LongJump!F$5:G$302,2,FALSE)))</f>
        <v>2.88</v>
      </c>
      <c r="M349" s="49">
        <f>IF(B349="",0,IF(ISNA(_xlfn.XLOOKUP(A349,LongJump!F$5:F$302,LongJump!M$5:M$302)),0,_xlfn.XLOOKUP(A349,LongJump!F$5:F$302,LongJump!M$5:M$302)))</f>
        <v>64</v>
      </c>
      <c r="N349" s="49" t="str">
        <f>IF(B349="","",IF(ISNA(VLOOKUP(A349,LongJump!F$5:K$302,6,FALSE)),0,VLOOKUP(A349,LongJump!F$5:K$302,6,FALSE)))</f>
        <v>PB5</v>
      </c>
      <c r="O349" s="49">
        <f>IF(B349="","",IF(ISNA(VLOOKUP(A349,Vortex!F$5:J$302,2,FALSE)),"",VLOOKUP(A349,Vortex!F$5:J$302,2,FALSE)))</f>
        <v>11.46</v>
      </c>
      <c r="P349" s="49">
        <f>IF(B349="",0,IF(ISNA(_xlfn.XLOOKUP(A349,Vortex!F$5:F$302,Vortex!M$5:M$302)),0,_xlfn.XLOOKUP(A349,Vortex!F$5:F$302,Vortex!M$5:M$302)))</f>
        <v>18</v>
      </c>
      <c r="Q349" s="49">
        <f t="shared" si="27"/>
        <v>205</v>
      </c>
      <c r="R349" s="49" t="str">
        <f t="shared" si="28"/>
        <v/>
      </c>
      <c r="S349" s="49">
        <f t="shared" si="29"/>
        <v>5</v>
      </c>
      <c r="T349" s="49" t="str">
        <f t="shared" si="30"/>
        <v/>
      </c>
      <c r="U349" s="49">
        <f t="shared" si="31"/>
        <v>36</v>
      </c>
    </row>
    <row r="350" spans="1:21">
      <c r="A350" s="49">
        <f>IF(Declarations!B107=0,"",Declarations!B107)</f>
        <v>102</v>
      </c>
      <c r="B350" s="150" t="str">
        <f>IF(ISNA(VLOOKUP(A350,Declarations!B$6:C$185,2,FALSE)),"",IF(VLOOKUP(A350,Declarations!B$6:C$185,2,FALSE)="","",VLOOKUP(A350,Declarations!B$6:C$185,2,FALSE)))</f>
        <v>NORA POFF</v>
      </c>
      <c r="C350" s="150" t="str">
        <f>IF(ISNA(VLOOKUP(A350,Declarations!B$6:F$185,5,FALSE)),"",IF(VLOOKUP(A350,Declarations!B$6:F$185,5,FALSE)="","",VLOOKUP(A350,Declarations!B$6:F$185,5,FALSE)))</f>
        <v>Basingstoke &amp; Mid Hants AC</v>
      </c>
      <c r="D350" s="150" t="str">
        <f>IF(ISNA(VLOOKUP(A350,Declarations!B$6:F$185,4,FALSE)),"",IF(VLOOKUP(A350,Declarations!B$6:F$185,4,FALSE)="","",VLOOKUP(A350,Declarations!B$6:F$185,4,FALSE)))</f>
        <v>GIRLS</v>
      </c>
      <c r="E350" s="150" t="str">
        <f>IF(ISNA(VLOOKUP(A350,Declarations!B$6:D$185,3,FALSE)),"",IF(VLOOKUP(A350,Declarations!B$6:D$185,3,FALSE)="","",VLOOKUP(A350,Declarations!B$6:D$185,3,FALSE)))</f>
        <v>U12</v>
      </c>
      <c r="F350" s="49">
        <f>IF(B350="","",IF(ISNA(VLOOKUP(A350,'75m'!F$5:G$302,2,FALSE)),"",VLOOKUP(A350,'75m'!F$5:G$302,2,FALSE)))</f>
        <v>12.5</v>
      </c>
      <c r="G350" s="49">
        <f>IF(B350="",0,IF(ISNA(_xlfn.XLOOKUP(A350,'75m'!F$5:F$302,'75m'!M$5:M$302)),0,_xlfn.XLOOKUP(A350,'75m'!F$5:F$302,'75m'!M$5:M$302)))</f>
        <v>80</v>
      </c>
      <c r="H350" s="49" t="str">
        <f>IF(B350="","",IF(ISNA(VLOOKUP(A350,'75m'!F$5:K$302,6,FALSE)),"",VLOOKUP(A350,'75m'!F$5:K$302,6,FALSE)))</f>
        <v>PB7</v>
      </c>
      <c r="I350" s="51">
        <f>IF(B350="",0,IF(ISNA(VLOOKUP(A350,'600m'!F$5:J$302,2,FALSE)),0,VLOOKUP(A350,'600m'!F$5:J$302,2,FALSE)))</f>
        <v>1.5312500000000001E-3</v>
      </c>
      <c r="J350" s="49">
        <f>IF(B350="",0,IF(ISNA(_xlfn.XLOOKUP(A350,'600m'!F$5:F$302,'600m'!M$5:M$302)),0,_xlfn.XLOOKUP(A350,'600m'!F$5:F$302,'600m'!M$5:M$302)))</f>
        <v>55</v>
      </c>
      <c r="K350" s="49" t="str">
        <f>IF(B350="","",IF(ISNA(VLOOKUP(A350,'600m'!F$5:K$302,6,FALSE)),"",VLOOKUP(A350,'600m'!F$5:K$302,6,FALSE)))</f>
        <v>PB3</v>
      </c>
      <c r="L350" s="49">
        <f>IF(B350="","",IF(ISNA(VLOOKUP(A350,LongJump!F$5:G$302,2,FALSE)),"",VLOOKUP(A350,LongJump!F$5:G$302,2,FALSE)))</f>
        <v>2.87</v>
      </c>
      <c r="M350" s="49">
        <f>IF(B350="",0,IF(ISNA(_xlfn.XLOOKUP(A350,LongJump!F$5:F$302,LongJump!M$5:M$302)),0,_xlfn.XLOOKUP(A350,LongJump!F$5:F$302,LongJump!M$5:M$302)))</f>
        <v>64</v>
      </c>
      <c r="N350" s="49" t="str">
        <f>IF(B350="","",IF(ISNA(VLOOKUP(A350,LongJump!F$5:K$302,6,FALSE)),0,VLOOKUP(A350,LongJump!F$5:K$302,6,FALSE)))</f>
        <v>PB5</v>
      </c>
      <c r="O350" s="49">
        <f>IF(B350="","",IF(ISNA(VLOOKUP(A350,Vortex!F$5:J$302,2,FALSE)),"",VLOOKUP(A350,Vortex!F$5:J$302,2,FALSE)))</f>
        <v>15.4</v>
      </c>
      <c r="P350" s="49">
        <f>IF(B350="",0,IF(ISNA(_xlfn.XLOOKUP(A350,Vortex!F$5:F$302,Vortex!M$5:M$302)),0,_xlfn.XLOOKUP(A350,Vortex!F$5:F$302,Vortex!M$5:M$302)))</f>
        <v>37</v>
      </c>
      <c r="Q350" s="49">
        <f t="shared" si="27"/>
        <v>236</v>
      </c>
      <c r="R350" s="49" t="str">
        <f t="shared" si="28"/>
        <v/>
      </c>
      <c r="S350" s="49">
        <f t="shared" si="29"/>
        <v>2</v>
      </c>
      <c r="T350" s="49" t="str">
        <f t="shared" si="30"/>
        <v/>
      </c>
      <c r="U350" s="49">
        <f t="shared" si="31"/>
        <v>27</v>
      </c>
    </row>
    <row r="351" spans="1:21">
      <c r="A351" s="49">
        <f>IF(Declarations!B108=0,"",Declarations!B108)</f>
        <v>103</v>
      </c>
      <c r="B351" s="150" t="str">
        <f>IF(ISNA(VLOOKUP(A351,Declarations!B$6:C$185,2,FALSE)),"",IF(VLOOKUP(A351,Declarations!B$6:C$185,2,FALSE)="","",VLOOKUP(A351,Declarations!B$6:C$185,2,FALSE)))</f>
        <v>ISLA HOBBINS</v>
      </c>
      <c r="C351" s="150" t="str">
        <f>IF(ISNA(VLOOKUP(A351,Declarations!B$6:F$185,5,FALSE)),"",IF(VLOOKUP(A351,Declarations!B$6:F$185,5,FALSE)="","",VLOOKUP(A351,Declarations!B$6:F$185,5,FALSE)))</f>
        <v>Basingstoke &amp; Mid Hants AC</v>
      </c>
      <c r="D351" s="150" t="str">
        <f>IF(ISNA(VLOOKUP(A351,Declarations!B$6:F$185,4,FALSE)),"",IF(VLOOKUP(A351,Declarations!B$6:F$185,4,FALSE)="","",VLOOKUP(A351,Declarations!B$6:F$185,4,FALSE)))</f>
        <v>GIRLS</v>
      </c>
      <c r="E351" s="150" t="str">
        <f>IF(ISNA(VLOOKUP(A351,Declarations!B$6:D$185,3,FALSE)),"",IF(VLOOKUP(A351,Declarations!B$6:D$185,3,FALSE)="","",VLOOKUP(A351,Declarations!B$6:D$185,3,FALSE)))</f>
        <v>U12</v>
      </c>
      <c r="F351" s="49">
        <f>IF(B351="","",IF(ISNA(VLOOKUP(A351,'75m'!F$5:G$302,2,FALSE)),"",VLOOKUP(A351,'75m'!F$5:G$302,2,FALSE)))</f>
        <v>12.6</v>
      </c>
      <c r="G351" s="49">
        <f>IF(B351="",0,IF(ISNA(_xlfn.XLOOKUP(A351,'75m'!F$5:F$302,'75m'!M$5:M$302)),0,_xlfn.XLOOKUP(A351,'75m'!F$5:F$302,'75m'!M$5:M$302)))</f>
        <v>78</v>
      </c>
      <c r="H351" s="49" t="str">
        <f>IF(B351="","",IF(ISNA(VLOOKUP(A351,'75m'!F$5:K$302,6,FALSE)),"",VLOOKUP(A351,'75m'!F$5:K$302,6,FALSE)))</f>
        <v>PB6</v>
      </c>
      <c r="I351" s="51">
        <f>IF(B351="",0,IF(ISNA(VLOOKUP(A351,'600m'!F$5:J$302,2,FALSE)),0,VLOOKUP(A351,'600m'!F$5:J$302,2,FALSE)))</f>
        <v>1.5879629629629629E-3</v>
      </c>
      <c r="J351" s="49">
        <f>IF(B351="",0,IF(ISNA(_xlfn.XLOOKUP(A351,'600m'!F$5:F$302,'600m'!M$5:M$302)),0,_xlfn.XLOOKUP(A351,'600m'!F$5:F$302,'600m'!M$5:M$302)))</f>
        <v>45</v>
      </c>
      <c r="K351" s="49" t="str">
        <f>IF(B351="","",IF(ISNA(VLOOKUP(A351,'600m'!F$5:K$302,6,FALSE)),"",VLOOKUP(A351,'600m'!F$5:K$302,6,FALSE)))</f>
        <v>PB2</v>
      </c>
      <c r="L351" s="49">
        <f>IF(B351="","",IF(ISNA(VLOOKUP(A351,LongJump!F$5:G$302,2,FALSE)),"",VLOOKUP(A351,LongJump!F$5:G$302,2,FALSE)))</f>
        <v>2.83</v>
      </c>
      <c r="M351" s="49">
        <f>IF(B351="",0,IF(ISNA(_xlfn.XLOOKUP(A351,LongJump!F$5:F$302,LongJump!M$5:M$302)),0,_xlfn.XLOOKUP(A351,LongJump!F$5:F$302,LongJump!M$5:M$302)))</f>
        <v>62</v>
      </c>
      <c r="N351" s="49" t="str">
        <f>IF(B351="","",IF(ISNA(VLOOKUP(A351,LongJump!F$5:K$302,6,FALSE)),0,VLOOKUP(A351,LongJump!F$5:K$302,6,FALSE)))</f>
        <v>PB5</v>
      </c>
      <c r="O351" s="49">
        <f>IF(B351="","",IF(ISNA(VLOOKUP(A351,Vortex!F$5:J$302,2,FALSE)),"",VLOOKUP(A351,Vortex!F$5:J$302,2,FALSE)))</f>
        <v>17.350000000000001</v>
      </c>
      <c r="P351" s="49">
        <f>IF(B351="",0,IF(ISNA(_xlfn.XLOOKUP(A351,Vortex!F$5:F$302,Vortex!M$5:M$302)),0,_xlfn.XLOOKUP(A351,Vortex!F$5:F$302,Vortex!M$5:M$302)))</f>
        <v>46</v>
      </c>
      <c r="Q351" s="49">
        <f t="shared" si="27"/>
        <v>231</v>
      </c>
      <c r="R351" s="49" t="str">
        <f t="shared" si="28"/>
        <v/>
      </c>
      <c r="S351" s="49">
        <f t="shared" si="29"/>
        <v>3</v>
      </c>
      <c r="T351" s="49" t="str">
        <f t="shared" si="30"/>
        <v/>
      </c>
      <c r="U351" s="49">
        <f t="shared" si="31"/>
        <v>29</v>
      </c>
    </row>
    <row r="352" spans="1:21">
      <c r="A352" s="49">
        <f>IF(Declarations!B109=0,"",Declarations!B109)</f>
        <v>104</v>
      </c>
      <c r="B352" s="150" t="str">
        <f>IF(ISNA(VLOOKUP(A352,Declarations!B$6:C$185,2,FALSE)),"",IF(VLOOKUP(A352,Declarations!B$6:C$185,2,FALSE)="","",VLOOKUP(A352,Declarations!B$6:C$185,2,FALSE)))</f>
        <v>BEATRICE MONCAD</v>
      </c>
      <c r="C352" s="150" t="str">
        <f>IF(ISNA(VLOOKUP(A352,Declarations!B$6:F$185,5,FALSE)),"",IF(VLOOKUP(A352,Declarations!B$6:F$185,5,FALSE)="","",VLOOKUP(A352,Declarations!B$6:F$185,5,FALSE)))</f>
        <v>Basingstoke &amp; Mid Hants AC</v>
      </c>
      <c r="D352" s="150" t="str">
        <f>IF(ISNA(VLOOKUP(A352,Declarations!B$6:F$185,4,FALSE)),"",IF(VLOOKUP(A352,Declarations!B$6:F$185,4,FALSE)="","",VLOOKUP(A352,Declarations!B$6:F$185,4,FALSE)))</f>
        <v>GIRLS</v>
      </c>
      <c r="E352" s="150" t="str">
        <f>IF(ISNA(VLOOKUP(A352,Declarations!B$6:D$185,3,FALSE)),"",IF(VLOOKUP(A352,Declarations!B$6:D$185,3,FALSE)="","",VLOOKUP(A352,Declarations!B$6:D$185,3,FALSE)))</f>
        <v>U12</v>
      </c>
      <c r="F352" s="49">
        <f>IF(B352="","",IF(ISNA(VLOOKUP(A352,'75m'!F$5:G$302,2,FALSE)),"",VLOOKUP(A352,'75m'!F$5:G$302,2,FALSE)))</f>
        <v>12.4</v>
      </c>
      <c r="G352" s="49">
        <f>IF(B352="",0,IF(ISNA(_xlfn.XLOOKUP(A352,'75m'!F$5:F$302,'75m'!M$5:M$302)),0,_xlfn.XLOOKUP(A352,'75m'!F$5:F$302,'75m'!M$5:M$302)))</f>
        <v>82</v>
      </c>
      <c r="H352" s="49" t="str">
        <f>IF(B352="","",IF(ISNA(VLOOKUP(A352,'75m'!F$5:K$302,6,FALSE)),"",VLOOKUP(A352,'75m'!F$5:K$302,6,FALSE)))</f>
        <v>PB7</v>
      </c>
      <c r="I352" s="51">
        <f>IF(B352="",0,IF(ISNA(VLOOKUP(A352,'600m'!F$5:J$302,2,FALSE)),0,VLOOKUP(A352,'600m'!F$5:J$302,2,FALSE)))</f>
        <v>1.5405092592592593E-3</v>
      </c>
      <c r="J352" s="49">
        <f>IF(B352="",0,IF(ISNA(_xlfn.XLOOKUP(A352,'600m'!F$5:F$302,'600m'!M$5:M$302)),0,_xlfn.XLOOKUP(A352,'600m'!F$5:F$302,'600m'!M$5:M$302)))</f>
        <v>53</v>
      </c>
      <c r="K352" s="49" t="str">
        <f>IF(B352="","",IF(ISNA(VLOOKUP(A352,'600m'!F$5:K$302,6,FALSE)),"",VLOOKUP(A352,'600m'!F$5:K$302,6,FALSE)))</f>
        <v>PB3</v>
      </c>
      <c r="L352" s="49">
        <f>IF(B352="","",IF(ISNA(VLOOKUP(A352,LongJump!F$5:G$302,2,FALSE)),"",VLOOKUP(A352,LongJump!F$5:G$302,2,FALSE)))</f>
        <v>2.5499999999999998</v>
      </c>
      <c r="M352" s="49">
        <f>IF(B352="",0,IF(ISNA(_xlfn.XLOOKUP(A352,LongJump!F$5:F$302,LongJump!M$5:M$302)),0,_xlfn.XLOOKUP(A352,LongJump!F$5:F$302,LongJump!M$5:M$302)))</f>
        <v>51</v>
      </c>
      <c r="N352" s="49" t="str">
        <f>IF(B352="","",IF(ISNA(VLOOKUP(A352,LongJump!F$5:K$302,6,FALSE)),0,VLOOKUP(A352,LongJump!F$5:K$302,6,FALSE)))</f>
        <v>PB4</v>
      </c>
      <c r="O352" s="49">
        <f>IF(B352="","",IF(ISNA(VLOOKUP(A352,Vortex!F$5:J$302,2,FALSE)),"",VLOOKUP(A352,Vortex!F$5:J$302,2,FALSE)))</f>
        <v>14.13</v>
      </c>
      <c r="P352" s="49">
        <f>IF(B352="",0,IF(ISNA(_xlfn.XLOOKUP(A352,Vortex!F$5:F$302,Vortex!M$5:M$302)),0,_xlfn.XLOOKUP(A352,Vortex!F$5:F$302,Vortex!M$5:M$302)))</f>
        <v>30</v>
      </c>
      <c r="Q352" s="49">
        <f t="shared" si="27"/>
        <v>216</v>
      </c>
      <c r="R352" s="49" t="str">
        <f t="shared" si="28"/>
        <v/>
      </c>
      <c r="S352" s="49">
        <f t="shared" si="29"/>
        <v>4</v>
      </c>
      <c r="T352" s="49" t="str">
        <f t="shared" si="30"/>
        <v/>
      </c>
      <c r="U352" s="49">
        <f t="shared" si="31"/>
        <v>33</v>
      </c>
    </row>
    <row r="353" spans="1:21">
      <c r="A353" s="49">
        <f>IF(Declarations!B110=0,"",Declarations!B110)</f>
        <v>105</v>
      </c>
      <c r="B353" s="150" t="str">
        <f>IF(ISNA(VLOOKUP(A353,Declarations!B$6:C$185,2,FALSE)),"",IF(VLOOKUP(A353,Declarations!B$6:C$185,2,FALSE)="","",VLOOKUP(A353,Declarations!B$6:C$185,2,FALSE)))</f>
        <v>BETH BOLE</v>
      </c>
      <c r="C353" s="150" t="str">
        <f>IF(ISNA(VLOOKUP(A353,Declarations!B$6:F$185,5,FALSE)),"",IF(VLOOKUP(A353,Declarations!B$6:F$185,5,FALSE)="","",VLOOKUP(A353,Declarations!B$6:F$185,5,FALSE)))</f>
        <v>Basingstoke &amp; Mid Hants AC</v>
      </c>
      <c r="D353" s="150" t="str">
        <f>IF(ISNA(VLOOKUP(A353,Declarations!B$6:F$185,4,FALSE)),"",IF(VLOOKUP(A353,Declarations!B$6:F$185,4,FALSE)="","",VLOOKUP(A353,Declarations!B$6:F$185,4,FALSE)))</f>
        <v>GIRLS</v>
      </c>
      <c r="E353" s="150" t="str">
        <f>IF(ISNA(VLOOKUP(A353,Declarations!B$6:D$185,3,FALSE)),"",IF(VLOOKUP(A353,Declarations!B$6:D$185,3,FALSE)="","",VLOOKUP(A353,Declarations!B$6:D$185,3,FALSE)))</f>
        <v>U12</v>
      </c>
      <c r="F353" s="49">
        <f>IF(B353="","",IF(ISNA(VLOOKUP(A353,'75m'!F$5:G$302,2,FALSE)),"",VLOOKUP(A353,'75m'!F$5:G$302,2,FALSE)))</f>
        <v>13.5</v>
      </c>
      <c r="G353" s="49">
        <f>IF(B353="",0,IF(ISNA(_xlfn.XLOOKUP(A353,'75m'!F$5:F$302,'75m'!M$5:M$302)),0,_xlfn.XLOOKUP(A353,'75m'!F$5:F$302,'75m'!M$5:M$302)))</f>
        <v>60</v>
      </c>
      <c r="H353" s="49" t="str">
        <f>IF(B353="","",IF(ISNA(VLOOKUP(A353,'75m'!F$5:K$302,6,FALSE)),"",VLOOKUP(A353,'75m'!F$5:K$302,6,FALSE)))</f>
        <v>PB5</v>
      </c>
      <c r="I353" s="51">
        <f>IF(B353="",0,IF(ISNA(VLOOKUP(A353,'600m'!F$5:J$302,2,FALSE)),0,VLOOKUP(A353,'600m'!F$5:J$302,2,FALSE)))</f>
        <v>1.6932870370370372E-3</v>
      </c>
      <c r="J353" s="49">
        <f>IF(B353="",0,IF(ISNA(_xlfn.XLOOKUP(A353,'600m'!F$5:F$302,'600m'!M$5:M$302)),0,_xlfn.XLOOKUP(A353,'600m'!F$5:F$302,'600m'!M$5:M$302)))</f>
        <v>28</v>
      </c>
      <c r="K353" s="49" t="str">
        <f>IF(B353="","",IF(ISNA(VLOOKUP(A353,'600m'!F$5:K$302,6,FALSE)),"",VLOOKUP(A353,'600m'!F$5:K$302,6,FALSE)))</f>
        <v>PB1</v>
      </c>
      <c r="L353" s="49">
        <f>IF(B353="","",IF(ISNA(VLOOKUP(A353,LongJump!F$5:G$302,2,FALSE)),"",VLOOKUP(A353,LongJump!F$5:G$302,2,FALSE)))</f>
        <v>2.83</v>
      </c>
      <c r="M353" s="49">
        <f>IF(B353="",0,IF(ISNA(_xlfn.XLOOKUP(A353,LongJump!F$5:F$302,LongJump!M$5:M$302)),0,_xlfn.XLOOKUP(A353,LongJump!F$5:F$302,LongJump!M$5:M$302)))</f>
        <v>62</v>
      </c>
      <c r="N353" s="49" t="str">
        <f>IF(B353="","",IF(ISNA(VLOOKUP(A353,LongJump!F$5:K$302,6,FALSE)),0,VLOOKUP(A353,LongJump!F$5:K$302,6,FALSE)))</f>
        <v>PB5</v>
      </c>
      <c r="O353" s="49">
        <f>IF(B353="","",IF(ISNA(VLOOKUP(A353,Vortex!F$5:J$302,2,FALSE)),"",VLOOKUP(A353,Vortex!F$5:J$302,2,FALSE)))</f>
        <v>16.2</v>
      </c>
      <c r="P353" s="49">
        <f>IF(B353="",0,IF(ISNA(_xlfn.XLOOKUP(A353,Vortex!F$5:F$302,Vortex!M$5:M$302)),0,_xlfn.XLOOKUP(A353,Vortex!F$5:F$302,Vortex!M$5:M$302)))</f>
        <v>41</v>
      </c>
      <c r="Q353" s="49">
        <f t="shared" si="27"/>
        <v>191</v>
      </c>
      <c r="R353" s="49" t="str">
        <f t="shared" si="28"/>
        <v/>
      </c>
      <c r="S353" s="49">
        <f t="shared" si="29"/>
        <v>6</v>
      </c>
      <c r="T353" s="49" t="str">
        <f t="shared" si="30"/>
        <v/>
      </c>
      <c r="U353" s="49">
        <f t="shared" si="31"/>
        <v>40</v>
      </c>
    </row>
    <row r="354" spans="1:21">
      <c r="A354" s="49">
        <f>IF(Declarations!B111=0,"",Declarations!B111)</f>
        <v>106</v>
      </c>
      <c r="B354" s="150" t="str">
        <f>IF(ISNA(VLOOKUP(A354,Declarations!B$6:C$185,2,FALSE)),"",IF(VLOOKUP(A354,Declarations!B$6:C$185,2,FALSE)="","",VLOOKUP(A354,Declarations!B$6:C$185,2,FALSE)))</f>
        <v>KLEMANTINE PATA</v>
      </c>
      <c r="C354" s="150" t="str">
        <f>IF(ISNA(VLOOKUP(A354,Declarations!B$6:F$185,5,FALSE)),"",IF(VLOOKUP(A354,Declarations!B$6:F$185,5,FALSE)="","",VLOOKUP(A354,Declarations!B$6:F$185,5,FALSE)))</f>
        <v>Basingstoke &amp; Mid Hants AC</v>
      </c>
      <c r="D354" s="150" t="str">
        <f>IF(ISNA(VLOOKUP(A354,Declarations!B$6:F$185,4,FALSE)),"",IF(VLOOKUP(A354,Declarations!B$6:F$185,4,FALSE)="","",VLOOKUP(A354,Declarations!B$6:F$185,4,FALSE)))</f>
        <v>GIRLS</v>
      </c>
      <c r="E354" s="150" t="str">
        <f>IF(ISNA(VLOOKUP(A354,Declarations!B$6:D$185,3,FALSE)),"",IF(VLOOKUP(A354,Declarations!B$6:D$185,3,FALSE)="","",VLOOKUP(A354,Declarations!B$6:D$185,3,FALSE)))</f>
        <v>U12</v>
      </c>
      <c r="F354" s="49">
        <f>IF(B354="","",IF(ISNA(VLOOKUP(A354,'75m'!F$5:G$302,2,FALSE)),"",VLOOKUP(A354,'75m'!F$5:G$302,2,FALSE)))</f>
        <v>12.3</v>
      </c>
      <c r="G354" s="49">
        <f>IF(B354="",0,IF(ISNA(_xlfn.XLOOKUP(A354,'75m'!F$5:F$302,'75m'!M$5:M$302)),0,_xlfn.XLOOKUP(A354,'75m'!F$5:F$302,'75m'!M$5:M$302)))</f>
        <v>85</v>
      </c>
      <c r="H354" s="49" t="str">
        <f>IF(B354="","",IF(ISNA(VLOOKUP(A354,'75m'!F$5:K$302,6,FALSE)),"",VLOOKUP(A354,'75m'!F$5:K$302,6,FALSE)))</f>
        <v>PB7</v>
      </c>
      <c r="I354" s="51">
        <f>IF(B354="",0,IF(ISNA(VLOOKUP(A354,'600m'!F$5:J$302,2,FALSE)),0,VLOOKUP(A354,'600m'!F$5:J$302,2,FALSE)))</f>
        <v>1.5706018518518517E-3</v>
      </c>
      <c r="J354" s="49">
        <f>IF(B354="",0,IF(ISNA(_xlfn.XLOOKUP(A354,'600m'!F$5:F$302,'600m'!M$5:M$302)),0,_xlfn.XLOOKUP(A354,'600m'!F$5:F$302,'600m'!M$5:M$302)))</f>
        <v>48</v>
      </c>
      <c r="K354" s="49" t="str">
        <f>IF(B354="","",IF(ISNA(VLOOKUP(A354,'600m'!F$5:K$302,6,FALSE)),"",VLOOKUP(A354,'600m'!F$5:K$302,6,FALSE)))</f>
        <v>PB2</v>
      </c>
      <c r="L354" s="49">
        <f>IF(B354="","",IF(ISNA(VLOOKUP(A354,LongJump!F$5:G$302,2,FALSE)),"",VLOOKUP(A354,LongJump!F$5:G$302,2,FALSE)))</f>
        <v>3.23</v>
      </c>
      <c r="M354" s="49">
        <f>IF(B354="",0,IF(ISNA(_xlfn.XLOOKUP(A354,LongJump!F$5:F$302,LongJump!M$5:M$302)),0,_xlfn.XLOOKUP(A354,LongJump!F$5:F$302,LongJump!M$5:M$302)))</f>
        <v>79</v>
      </c>
      <c r="N354" s="49" t="str">
        <f>IF(B354="","",IF(ISNA(VLOOKUP(A354,LongJump!F$5:K$302,6,FALSE)),0,VLOOKUP(A354,LongJump!F$5:K$302,6,FALSE)))</f>
        <v>PB6</v>
      </c>
      <c r="O354" s="49">
        <f>IF(B354="","",IF(ISNA(VLOOKUP(A354,Vortex!F$5:J$302,2,FALSE)),"",VLOOKUP(A354,Vortex!F$5:J$302,2,FALSE)))</f>
        <v>16.68</v>
      </c>
      <c r="P354" s="49">
        <f>IF(B354="",0,IF(ISNA(_xlfn.XLOOKUP(A354,Vortex!F$5:F$302,Vortex!M$5:M$302)),0,_xlfn.XLOOKUP(A354,Vortex!F$5:F$302,Vortex!M$5:M$302)))</f>
        <v>43</v>
      </c>
      <c r="Q354" s="49">
        <f t="shared" si="27"/>
        <v>255</v>
      </c>
      <c r="R354" s="49" t="str">
        <f t="shared" si="28"/>
        <v/>
      </c>
      <c r="S354" s="49">
        <f t="shared" si="29"/>
        <v>1</v>
      </c>
      <c r="T354" s="49" t="str">
        <f t="shared" si="30"/>
        <v/>
      </c>
      <c r="U354" s="49">
        <f t="shared" si="31"/>
        <v>21</v>
      </c>
    </row>
    <row r="355" spans="1:21">
      <c r="A355" s="49">
        <f>IF(Declarations!B112=0,"",Declarations!B112)</f>
        <v>107</v>
      </c>
      <c r="B355" s="150" t="str">
        <f>IF(ISNA(VLOOKUP(A355,Declarations!B$6:C$185,2,FALSE)),"",IF(VLOOKUP(A355,Declarations!B$6:C$185,2,FALSE)="","",VLOOKUP(A355,Declarations!B$6:C$185,2,FALSE)))</f>
        <v/>
      </c>
      <c r="C355" s="150" t="str">
        <f>IF(ISNA(VLOOKUP(A355,Declarations!B$6:F$185,5,FALSE)),"",IF(VLOOKUP(A355,Declarations!B$6:F$185,5,FALSE)="","",VLOOKUP(A355,Declarations!B$6:F$185,5,FALSE)))</f>
        <v>Basingstoke &amp; Mid Hants AC</v>
      </c>
      <c r="D355" s="150" t="str">
        <f>IF(ISNA(VLOOKUP(A355,Declarations!B$6:F$185,4,FALSE)),"",IF(VLOOKUP(A355,Declarations!B$6:F$185,4,FALSE)="","",VLOOKUP(A355,Declarations!B$6:F$185,4,FALSE)))</f>
        <v>GIRLS</v>
      </c>
      <c r="E355" s="150" t="str">
        <f>IF(ISNA(VLOOKUP(A355,Declarations!B$6:D$185,3,FALSE)),"",IF(VLOOKUP(A355,Declarations!B$6:D$185,3,FALSE)="","",VLOOKUP(A355,Declarations!B$6:D$185,3,FALSE)))</f>
        <v>U12</v>
      </c>
      <c r="F355" s="49" t="str">
        <f>IF(B355="","",IF(ISNA(VLOOKUP(A355,'75m'!F$5:G$302,2,FALSE)),"",VLOOKUP(A355,'75m'!F$5:G$302,2,FALSE)))</f>
        <v/>
      </c>
      <c r="G355" s="49">
        <f>IF(B355="",0,IF(ISNA(_xlfn.XLOOKUP(A355,'75m'!F$5:F$302,'75m'!M$5:M$302)),0,_xlfn.XLOOKUP(A355,'75m'!F$5:F$302,'75m'!M$5:M$302)))</f>
        <v>0</v>
      </c>
      <c r="H355" s="49" t="str">
        <f>IF(B355="","",IF(ISNA(VLOOKUP(A355,'75m'!F$5:K$302,6,FALSE)),"",VLOOKUP(A355,'75m'!F$5:K$302,6,FALSE)))</f>
        <v/>
      </c>
      <c r="I355" s="51">
        <f>IF(B355="",0,IF(ISNA(VLOOKUP(A355,'600m'!F$5:J$302,2,FALSE)),0,VLOOKUP(A355,'600m'!F$5:J$302,2,FALSE)))</f>
        <v>0</v>
      </c>
      <c r="J355" s="49">
        <f>IF(B355="",0,IF(ISNA(_xlfn.XLOOKUP(A355,'600m'!F$5:F$302,'600m'!M$5:M$302)),0,_xlfn.XLOOKUP(A355,'600m'!F$5:F$302,'600m'!M$5:M$302)))</f>
        <v>0</v>
      </c>
      <c r="K355" s="49" t="str">
        <f>IF(B355="","",IF(ISNA(VLOOKUP(A355,'600m'!F$5:K$302,6,FALSE)),"",VLOOKUP(A355,'600m'!F$5:K$302,6,FALSE)))</f>
        <v/>
      </c>
      <c r="L355" s="49" t="str">
        <f>IF(B355="","",IF(ISNA(VLOOKUP(A355,LongJump!F$5:G$302,2,FALSE)),"",VLOOKUP(A355,LongJump!F$5:G$302,2,FALSE)))</f>
        <v/>
      </c>
      <c r="M355" s="49">
        <f>IF(B355="",0,IF(ISNA(_xlfn.XLOOKUP(A355,LongJump!F$5:F$302,LongJump!M$5:M$302)),0,_xlfn.XLOOKUP(A355,LongJump!F$5:F$302,LongJump!M$5:M$302)))</f>
        <v>0</v>
      </c>
      <c r="N355" s="49" t="str">
        <f>IF(B355="","",IF(ISNA(VLOOKUP(A355,LongJump!F$5:K$302,6,FALSE)),0,VLOOKUP(A355,LongJump!F$5:K$302,6,FALSE)))</f>
        <v/>
      </c>
      <c r="O355" s="49" t="str">
        <f>IF(B355="","",IF(ISNA(VLOOKUP(A355,Vortex!F$5:J$302,2,FALSE)),"",VLOOKUP(A355,Vortex!F$5:J$302,2,FALSE)))</f>
        <v/>
      </c>
      <c r="P355" s="49">
        <f>IF(B355="",0,IF(ISNA(_xlfn.XLOOKUP(A355,Vortex!F$5:F$302,Vortex!M$5:M$302)),0,_xlfn.XLOOKUP(A355,Vortex!F$5:F$302,Vortex!M$5:M$302)))</f>
        <v>0</v>
      </c>
      <c r="Q355" s="49">
        <f t="shared" si="27"/>
        <v>0</v>
      </c>
      <c r="R355" s="49" t="str">
        <f t="shared" si="28"/>
        <v/>
      </c>
      <c r="S355" s="49" t="str">
        <f t="shared" si="29"/>
        <v/>
      </c>
      <c r="T355" s="49" t="str">
        <f t="shared" si="30"/>
        <v/>
      </c>
      <c r="U355" s="49" t="str">
        <f t="shared" si="31"/>
        <v/>
      </c>
    </row>
    <row r="356" spans="1:21">
      <c r="A356" s="49">
        <f>IF(Declarations!B113=0,"",Declarations!B113)</f>
        <v>108</v>
      </c>
      <c r="B356" s="150" t="str">
        <f>IF(ISNA(VLOOKUP(A356,Declarations!B$6:C$185,2,FALSE)),"",IF(VLOOKUP(A356,Declarations!B$6:C$185,2,FALSE)="","",VLOOKUP(A356,Declarations!B$6:C$185,2,FALSE)))</f>
        <v/>
      </c>
      <c r="C356" s="150" t="str">
        <f>IF(ISNA(VLOOKUP(A356,Declarations!B$6:F$185,5,FALSE)),"",IF(VLOOKUP(A356,Declarations!B$6:F$185,5,FALSE)="","",VLOOKUP(A356,Declarations!B$6:F$185,5,FALSE)))</f>
        <v>Basingstoke &amp; Mid Hants AC</v>
      </c>
      <c r="D356" s="150" t="str">
        <f>IF(ISNA(VLOOKUP(A356,Declarations!B$6:F$185,4,FALSE)),"",IF(VLOOKUP(A356,Declarations!B$6:F$185,4,FALSE)="","",VLOOKUP(A356,Declarations!B$6:F$185,4,FALSE)))</f>
        <v>GIRLS</v>
      </c>
      <c r="E356" s="150" t="str">
        <f>IF(ISNA(VLOOKUP(A356,Declarations!B$6:D$185,3,FALSE)),"",IF(VLOOKUP(A356,Declarations!B$6:D$185,3,FALSE)="","",VLOOKUP(A356,Declarations!B$6:D$185,3,FALSE)))</f>
        <v>U12</v>
      </c>
      <c r="F356" s="49" t="str">
        <f>IF(B356="","",IF(ISNA(VLOOKUP(A356,'75m'!F$5:G$302,2,FALSE)),"",VLOOKUP(A356,'75m'!F$5:G$302,2,FALSE)))</f>
        <v/>
      </c>
      <c r="G356" s="49">
        <f>IF(B356="",0,IF(ISNA(_xlfn.XLOOKUP(A356,'75m'!F$5:F$302,'75m'!M$5:M$302)),0,_xlfn.XLOOKUP(A356,'75m'!F$5:F$302,'75m'!M$5:M$302)))</f>
        <v>0</v>
      </c>
      <c r="H356" s="49" t="str">
        <f>IF(B356="","",IF(ISNA(VLOOKUP(A356,'75m'!F$5:K$302,6,FALSE)),"",VLOOKUP(A356,'75m'!F$5:K$302,6,FALSE)))</f>
        <v/>
      </c>
      <c r="I356" s="51">
        <f>IF(B356="",0,IF(ISNA(VLOOKUP(A356,'600m'!F$5:J$302,2,FALSE)),0,VLOOKUP(A356,'600m'!F$5:J$302,2,FALSE)))</f>
        <v>0</v>
      </c>
      <c r="J356" s="49">
        <f>IF(B356="",0,IF(ISNA(_xlfn.XLOOKUP(A356,'600m'!F$5:F$302,'600m'!M$5:M$302)),0,_xlfn.XLOOKUP(A356,'600m'!F$5:F$302,'600m'!M$5:M$302)))</f>
        <v>0</v>
      </c>
      <c r="K356" s="49" t="str">
        <f>IF(B356="","",IF(ISNA(VLOOKUP(A356,'600m'!F$5:K$302,6,FALSE)),"",VLOOKUP(A356,'600m'!F$5:K$302,6,FALSE)))</f>
        <v/>
      </c>
      <c r="L356" s="49" t="str">
        <f>IF(B356="","",IF(ISNA(VLOOKUP(A356,LongJump!F$5:G$302,2,FALSE)),"",VLOOKUP(A356,LongJump!F$5:G$302,2,FALSE)))</f>
        <v/>
      </c>
      <c r="M356" s="49">
        <f>IF(B356="",0,IF(ISNA(_xlfn.XLOOKUP(A356,LongJump!F$5:F$302,LongJump!M$5:M$302)),0,_xlfn.XLOOKUP(A356,LongJump!F$5:F$302,LongJump!M$5:M$302)))</f>
        <v>0</v>
      </c>
      <c r="N356" s="49" t="str">
        <f>IF(B356="","",IF(ISNA(VLOOKUP(A356,LongJump!F$5:K$302,6,FALSE)),0,VLOOKUP(A356,LongJump!F$5:K$302,6,FALSE)))</f>
        <v/>
      </c>
      <c r="O356" s="49" t="str">
        <f>IF(B356="","",IF(ISNA(VLOOKUP(A356,Vortex!F$5:J$302,2,FALSE)),"",VLOOKUP(A356,Vortex!F$5:J$302,2,FALSE)))</f>
        <v/>
      </c>
      <c r="P356" s="49">
        <f>IF(B356="",0,IF(ISNA(_xlfn.XLOOKUP(A356,Vortex!F$5:F$302,Vortex!M$5:M$302)),0,_xlfn.XLOOKUP(A356,Vortex!F$5:F$302,Vortex!M$5:M$302)))</f>
        <v>0</v>
      </c>
      <c r="Q356" s="49">
        <f t="shared" si="27"/>
        <v>0</v>
      </c>
      <c r="R356" s="49" t="str">
        <f t="shared" si="28"/>
        <v/>
      </c>
      <c r="S356" s="49" t="str">
        <f t="shared" si="29"/>
        <v/>
      </c>
      <c r="T356" s="49" t="str">
        <f t="shared" si="30"/>
        <v/>
      </c>
      <c r="U356" s="49" t="str">
        <f t="shared" si="31"/>
        <v/>
      </c>
    </row>
    <row r="357" spans="1:21">
      <c r="A357" s="49">
        <f>IF(Declarations!B114=0,"",Declarations!B114)</f>
        <v>109</v>
      </c>
      <c r="B357" s="150" t="str">
        <f>IF(ISNA(VLOOKUP(A357,Declarations!B$6:C$185,2,FALSE)),"",IF(VLOOKUP(A357,Declarations!B$6:C$185,2,FALSE)="","",VLOOKUP(A357,Declarations!B$6:C$185,2,FALSE)))</f>
        <v/>
      </c>
      <c r="C357" s="150" t="str">
        <f>IF(ISNA(VLOOKUP(A357,Declarations!B$6:F$185,5,FALSE)),"",IF(VLOOKUP(A357,Declarations!B$6:F$185,5,FALSE)="","",VLOOKUP(A357,Declarations!B$6:F$185,5,FALSE)))</f>
        <v>Basingstoke &amp; Mid Hants AC</v>
      </c>
      <c r="D357" s="150" t="str">
        <f>IF(ISNA(VLOOKUP(A357,Declarations!B$6:F$185,4,FALSE)),"",IF(VLOOKUP(A357,Declarations!B$6:F$185,4,FALSE)="","",VLOOKUP(A357,Declarations!B$6:F$185,4,FALSE)))</f>
        <v>GIRLS</v>
      </c>
      <c r="E357" s="150" t="str">
        <f>IF(ISNA(VLOOKUP(A357,Declarations!B$6:D$185,3,FALSE)),"",IF(VLOOKUP(A357,Declarations!B$6:D$185,3,FALSE)="","",VLOOKUP(A357,Declarations!B$6:D$185,3,FALSE)))</f>
        <v>U12</v>
      </c>
      <c r="F357" s="49" t="str">
        <f>IF(B357="","",IF(ISNA(VLOOKUP(A357,'75m'!F$5:G$302,2,FALSE)),"",VLOOKUP(A357,'75m'!F$5:G$302,2,FALSE)))</f>
        <v/>
      </c>
      <c r="G357" s="49">
        <f>IF(B357="",0,IF(ISNA(_xlfn.XLOOKUP(A357,'75m'!F$5:F$302,'75m'!M$5:M$302)),0,_xlfn.XLOOKUP(A357,'75m'!F$5:F$302,'75m'!M$5:M$302)))</f>
        <v>0</v>
      </c>
      <c r="H357" s="49" t="str">
        <f>IF(B357="","",IF(ISNA(VLOOKUP(A357,'75m'!F$5:K$302,6,FALSE)),"",VLOOKUP(A357,'75m'!F$5:K$302,6,FALSE)))</f>
        <v/>
      </c>
      <c r="I357" s="51">
        <f>IF(B357="",0,IF(ISNA(VLOOKUP(A357,'600m'!F$5:J$302,2,FALSE)),0,VLOOKUP(A357,'600m'!F$5:J$302,2,FALSE)))</f>
        <v>0</v>
      </c>
      <c r="J357" s="49">
        <f>IF(B357="",0,IF(ISNA(_xlfn.XLOOKUP(A357,'600m'!F$5:F$302,'600m'!M$5:M$302)),0,_xlfn.XLOOKUP(A357,'600m'!F$5:F$302,'600m'!M$5:M$302)))</f>
        <v>0</v>
      </c>
      <c r="K357" s="49" t="str">
        <f>IF(B357="","",IF(ISNA(VLOOKUP(A357,'600m'!F$5:K$302,6,FALSE)),"",VLOOKUP(A357,'600m'!F$5:K$302,6,FALSE)))</f>
        <v/>
      </c>
      <c r="L357" s="49" t="str">
        <f>IF(B357="","",IF(ISNA(VLOOKUP(A357,LongJump!F$5:G$302,2,FALSE)),"",VLOOKUP(A357,LongJump!F$5:G$302,2,FALSE)))</f>
        <v/>
      </c>
      <c r="M357" s="49">
        <f>IF(B357="",0,IF(ISNA(_xlfn.XLOOKUP(A357,LongJump!F$5:F$302,LongJump!M$5:M$302)),0,_xlfn.XLOOKUP(A357,LongJump!F$5:F$302,LongJump!M$5:M$302)))</f>
        <v>0</v>
      </c>
      <c r="N357" s="49" t="str">
        <f>IF(B357="","",IF(ISNA(VLOOKUP(A357,LongJump!F$5:K$302,6,FALSE)),0,VLOOKUP(A357,LongJump!F$5:K$302,6,FALSE)))</f>
        <v/>
      </c>
      <c r="O357" s="49" t="str">
        <f>IF(B357="","",IF(ISNA(VLOOKUP(A357,Vortex!F$5:J$302,2,FALSE)),"",VLOOKUP(A357,Vortex!F$5:J$302,2,FALSE)))</f>
        <v/>
      </c>
      <c r="P357" s="49">
        <f>IF(B357="",0,IF(ISNA(_xlfn.XLOOKUP(A357,Vortex!F$5:F$302,Vortex!M$5:M$302)),0,_xlfn.XLOOKUP(A357,Vortex!F$5:F$302,Vortex!M$5:M$302)))</f>
        <v>0</v>
      </c>
      <c r="Q357" s="49">
        <f t="shared" si="27"/>
        <v>0</v>
      </c>
      <c r="R357" s="49" t="str">
        <f t="shared" si="28"/>
        <v/>
      </c>
      <c r="S357" s="49" t="str">
        <f t="shared" si="29"/>
        <v/>
      </c>
      <c r="T357" s="49" t="str">
        <f t="shared" si="30"/>
        <v/>
      </c>
      <c r="U357" s="49" t="str">
        <f t="shared" si="31"/>
        <v/>
      </c>
    </row>
    <row r="358" spans="1:21">
      <c r="A358" s="49">
        <f>IF(Declarations!B115=0,"",Declarations!B115)</f>
        <v>110</v>
      </c>
      <c r="B358" s="150" t="str">
        <f>IF(ISNA(VLOOKUP(A358,Declarations!B$6:C$185,2,FALSE)),"",IF(VLOOKUP(A358,Declarations!B$6:C$185,2,FALSE)="","",VLOOKUP(A358,Declarations!B$6:C$185,2,FALSE)))</f>
        <v/>
      </c>
      <c r="C358" s="150" t="str">
        <f>IF(ISNA(VLOOKUP(A358,Declarations!B$6:F$185,5,FALSE)),"",IF(VLOOKUP(A358,Declarations!B$6:F$185,5,FALSE)="","",VLOOKUP(A358,Declarations!B$6:F$185,5,FALSE)))</f>
        <v>Basingstoke &amp; Mid Hants AC</v>
      </c>
      <c r="D358" s="150" t="str">
        <f>IF(ISNA(VLOOKUP(A358,Declarations!B$6:F$185,4,FALSE)),"",IF(VLOOKUP(A358,Declarations!B$6:F$185,4,FALSE)="","",VLOOKUP(A358,Declarations!B$6:F$185,4,FALSE)))</f>
        <v>GIRLS</v>
      </c>
      <c r="E358" s="150" t="str">
        <f>IF(ISNA(VLOOKUP(A358,Declarations!B$6:D$185,3,FALSE)),"",IF(VLOOKUP(A358,Declarations!B$6:D$185,3,FALSE)="","",VLOOKUP(A358,Declarations!B$6:D$185,3,FALSE)))</f>
        <v>U12</v>
      </c>
      <c r="F358" s="49" t="str">
        <f>IF(B358="","",IF(ISNA(VLOOKUP(A358,'75m'!F$5:G$302,2,FALSE)),"",VLOOKUP(A358,'75m'!F$5:G$302,2,FALSE)))</f>
        <v/>
      </c>
      <c r="G358" s="49">
        <f>IF(B358="",0,IF(ISNA(_xlfn.XLOOKUP(A358,'75m'!F$5:F$302,'75m'!M$5:M$302)),0,_xlfn.XLOOKUP(A358,'75m'!F$5:F$302,'75m'!M$5:M$302)))</f>
        <v>0</v>
      </c>
      <c r="H358" s="49" t="str">
        <f>IF(B358="","",IF(ISNA(VLOOKUP(A358,'75m'!F$5:K$302,6,FALSE)),"",VLOOKUP(A358,'75m'!F$5:K$302,6,FALSE)))</f>
        <v/>
      </c>
      <c r="I358" s="51">
        <f>IF(B358="",0,IF(ISNA(VLOOKUP(A358,'600m'!F$5:J$302,2,FALSE)),0,VLOOKUP(A358,'600m'!F$5:J$302,2,FALSE)))</f>
        <v>0</v>
      </c>
      <c r="J358" s="49">
        <f>IF(B358="",0,IF(ISNA(_xlfn.XLOOKUP(A358,'600m'!F$5:F$302,'600m'!M$5:M$302)),0,_xlfn.XLOOKUP(A358,'600m'!F$5:F$302,'600m'!M$5:M$302)))</f>
        <v>0</v>
      </c>
      <c r="K358" s="49" t="str">
        <f>IF(B358="","",IF(ISNA(VLOOKUP(A358,'600m'!F$5:K$302,6,FALSE)),"",VLOOKUP(A358,'600m'!F$5:K$302,6,FALSE)))</f>
        <v/>
      </c>
      <c r="L358" s="49" t="str">
        <f>IF(B358="","",IF(ISNA(VLOOKUP(A358,LongJump!F$5:G$302,2,FALSE)),"",VLOOKUP(A358,LongJump!F$5:G$302,2,FALSE)))</f>
        <v/>
      </c>
      <c r="M358" s="49">
        <f>IF(B358="",0,IF(ISNA(_xlfn.XLOOKUP(A358,LongJump!F$5:F$302,LongJump!M$5:M$302)),0,_xlfn.XLOOKUP(A358,LongJump!F$5:F$302,LongJump!M$5:M$302)))</f>
        <v>0</v>
      </c>
      <c r="N358" s="49" t="str">
        <f>IF(B358="","",IF(ISNA(VLOOKUP(A358,LongJump!F$5:K$302,6,FALSE)),0,VLOOKUP(A358,LongJump!F$5:K$302,6,FALSE)))</f>
        <v/>
      </c>
      <c r="O358" s="49" t="str">
        <f>IF(B358="","",IF(ISNA(VLOOKUP(A358,Vortex!F$5:J$302,2,FALSE)),"",VLOOKUP(A358,Vortex!F$5:J$302,2,FALSE)))</f>
        <v/>
      </c>
      <c r="P358" s="49">
        <f>IF(B358="",0,IF(ISNA(_xlfn.XLOOKUP(A358,Vortex!F$5:F$302,Vortex!M$5:M$302)),0,_xlfn.XLOOKUP(A358,Vortex!F$5:F$302,Vortex!M$5:M$302)))</f>
        <v>0</v>
      </c>
      <c r="Q358" s="49">
        <f t="shared" si="27"/>
        <v>0</v>
      </c>
      <c r="R358" s="49" t="str">
        <f t="shared" si="28"/>
        <v/>
      </c>
      <c r="S358" s="49" t="str">
        <f t="shared" si="29"/>
        <v/>
      </c>
      <c r="T358" s="49" t="str">
        <f t="shared" si="30"/>
        <v/>
      </c>
      <c r="U358" s="49" t="str">
        <f t="shared" si="31"/>
        <v/>
      </c>
    </row>
    <row r="359" spans="1:21">
      <c r="A359" s="49">
        <f>IF(Declarations!B116=0,"",Declarations!B116)</f>
        <v>111</v>
      </c>
      <c r="B359" s="150" t="str">
        <f>IF(ISNA(VLOOKUP(A359,Declarations!B$6:C$185,2,FALSE)),"",IF(VLOOKUP(A359,Declarations!B$6:C$185,2,FALSE)="","",VLOOKUP(A359,Declarations!B$6:C$185,2,FALSE)))</f>
        <v>JENSON PROUT</v>
      </c>
      <c r="C359" s="150" t="str">
        <f>IF(ISNA(VLOOKUP(A359,Declarations!B$6:F$185,5,FALSE)),"",IF(VLOOKUP(A359,Declarations!B$6:F$185,5,FALSE)="","",VLOOKUP(A359,Declarations!B$6:F$185,5,FALSE)))</f>
        <v>Basingstoke &amp; Mid Hants AC</v>
      </c>
      <c r="D359" s="150" t="str">
        <f>IF(ISNA(VLOOKUP(A359,Declarations!B$6:F$185,4,FALSE)),"",IF(VLOOKUP(A359,Declarations!B$6:F$185,4,FALSE)="","",VLOOKUP(A359,Declarations!B$6:F$185,4,FALSE)))</f>
        <v>BOYS</v>
      </c>
      <c r="E359" s="150" t="str">
        <f>IF(ISNA(VLOOKUP(A359,Declarations!B$6:D$185,3,FALSE)),"",IF(VLOOKUP(A359,Declarations!B$6:D$185,3,FALSE)="","",VLOOKUP(A359,Declarations!B$6:D$185,3,FALSE)))</f>
        <v>U12</v>
      </c>
      <c r="F359" s="49">
        <f>IF(B359="","",IF(ISNA(VLOOKUP(A359,'75m'!F$5:G$302,2,FALSE)),"",VLOOKUP(A359,'75m'!F$5:G$302,2,FALSE)))</f>
        <v>12</v>
      </c>
      <c r="G359" s="49">
        <f>IF(B359="",0,IF(ISNA(_xlfn.XLOOKUP(A359,'75m'!F$5:F$302,'75m'!M$5:M$302)),0,_xlfn.XLOOKUP(A359,'75m'!F$5:F$302,'75m'!M$5:M$302)))</f>
        <v>80</v>
      </c>
      <c r="H359" s="49" t="str">
        <f>IF(B359="","",IF(ISNA(VLOOKUP(A359,'75m'!F$5:K$302,6,FALSE)),"",VLOOKUP(A359,'75m'!F$5:K$302,6,FALSE)))</f>
        <v>PB7</v>
      </c>
      <c r="I359" s="51">
        <f>IF(B359="",0,IF(ISNA(VLOOKUP(A359,'600m'!F$5:J$302,2,FALSE)),0,VLOOKUP(A359,'600m'!F$5:J$302,2,FALSE)))</f>
        <v>1.5740740740740741E-3</v>
      </c>
      <c r="J359" s="49">
        <f>IF(B359="",0,IF(ISNA(_xlfn.XLOOKUP(A359,'600m'!F$5:F$302,'600m'!M$5:M$302)),0,_xlfn.XLOOKUP(A359,'600m'!F$5:F$302,'600m'!M$5:M$302)))</f>
        <v>34</v>
      </c>
      <c r="K359" s="49" t="str">
        <f>IF(B359="","",IF(ISNA(VLOOKUP(A359,'600m'!F$5:K$302,6,FALSE)),"",VLOOKUP(A359,'600m'!F$5:K$302,6,FALSE)))</f>
        <v>PB2</v>
      </c>
      <c r="L359" s="49">
        <f>IF(B359="","",IF(ISNA(VLOOKUP(A359,LongJump!F$5:G$302,2,FALSE)),"",VLOOKUP(A359,LongJump!F$5:G$302,2,FALSE)))</f>
        <v>2.74</v>
      </c>
      <c r="M359" s="49">
        <f>IF(B359="",0,IF(ISNA(_xlfn.XLOOKUP(A359,LongJump!F$5:F$302,LongJump!M$5:M$302)),0,_xlfn.XLOOKUP(A359,LongJump!F$5:F$302,LongJump!M$5:M$302)))</f>
        <v>49</v>
      </c>
      <c r="N359" s="49" t="str">
        <f>IF(B359="","",IF(ISNA(VLOOKUP(A359,LongJump!F$5:K$302,6,FALSE)),0,VLOOKUP(A359,LongJump!F$5:K$302,6,FALSE)))</f>
        <v>PB3</v>
      </c>
      <c r="O359" s="49">
        <f>IF(B359="","",IF(ISNA(VLOOKUP(A359,Vortex!F$5:J$302,2,FALSE)),"",VLOOKUP(A359,Vortex!F$5:J$302,2,FALSE)))</f>
        <v>32.86</v>
      </c>
      <c r="P359" s="49">
        <f>IF(B359="",0,IF(ISNA(_xlfn.XLOOKUP(A359,Vortex!F$5:F$302,Vortex!M$5:M$302)),0,_xlfn.XLOOKUP(A359,Vortex!F$5:F$302,Vortex!M$5:M$302)))</f>
        <v>114</v>
      </c>
      <c r="Q359" s="49">
        <f t="shared" si="27"/>
        <v>277</v>
      </c>
      <c r="R359" s="49" t="str">
        <f t="shared" si="28"/>
        <v/>
      </c>
      <c r="S359" s="49">
        <f t="shared" si="29"/>
        <v>5</v>
      </c>
      <c r="T359" s="49" t="str">
        <f t="shared" si="30"/>
        <v/>
      </c>
      <c r="U359" s="49">
        <f t="shared" si="31"/>
        <v>19</v>
      </c>
    </row>
    <row r="360" spans="1:21">
      <c r="A360" s="49">
        <f>IF(Declarations!B117=0,"",Declarations!B117)</f>
        <v>112</v>
      </c>
      <c r="B360" s="150" t="str">
        <f>IF(ISNA(VLOOKUP(A360,Declarations!B$6:C$185,2,FALSE)),"",IF(VLOOKUP(A360,Declarations!B$6:C$185,2,FALSE)="","",VLOOKUP(A360,Declarations!B$6:C$185,2,FALSE)))</f>
        <v>NOAH GRAHAM</v>
      </c>
      <c r="C360" s="150" t="str">
        <f>IF(ISNA(VLOOKUP(A360,Declarations!B$6:F$185,5,FALSE)),"",IF(VLOOKUP(A360,Declarations!B$6:F$185,5,FALSE)="","",VLOOKUP(A360,Declarations!B$6:F$185,5,FALSE)))</f>
        <v>Basingstoke &amp; Mid Hants AC</v>
      </c>
      <c r="D360" s="150" t="str">
        <f>IF(ISNA(VLOOKUP(A360,Declarations!B$6:F$185,4,FALSE)),"",IF(VLOOKUP(A360,Declarations!B$6:F$185,4,FALSE)="","",VLOOKUP(A360,Declarations!B$6:F$185,4,FALSE)))</f>
        <v>BOYS</v>
      </c>
      <c r="E360" s="150" t="str">
        <f>IF(ISNA(VLOOKUP(A360,Declarations!B$6:D$185,3,FALSE)),"",IF(VLOOKUP(A360,Declarations!B$6:D$185,3,FALSE)="","",VLOOKUP(A360,Declarations!B$6:D$185,3,FALSE)))</f>
        <v>U12</v>
      </c>
      <c r="F360" s="49">
        <f>IF(B360="","",IF(ISNA(VLOOKUP(A360,'75m'!F$5:G$302,2,FALSE)),"",VLOOKUP(A360,'75m'!F$5:G$302,2,FALSE)))</f>
        <v>11.3</v>
      </c>
      <c r="G360" s="49">
        <f>IF(B360="",0,IF(ISNA(_xlfn.XLOOKUP(A360,'75m'!F$5:F$302,'75m'!M$5:M$302)),0,_xlfn.XLOOKUP(A360,'75m'!F$5:F$302,'75m'!M$5:M$302)))</f>
        <v>97</v>
      </c>
      <c r="H360" s="49" t="str">
        <f>IF(B360="","",IF(ISNA(VLOOKUP(A360,'75m'!F$5:K$302,6,FALSE)),"",VLOOKUP(A360,'75m'!F$5:K$302,6,FALSE)))</f>
        <v>PB8</v>
      </c>
      <c r="I360" s="51">
        <f>IF(B360="",0,IF(ISNA(VLOOKUP(A360,'600m'!F$5:J$302,2,FALSE)),0,VLOOKUP(A360,'600m'!F$5:J$302,2,FALSE)))</f>
        <v>1.3287037037037037E-3</v>
      </c>
      <c r="J360" s="49">
        <f>IF(B360="",0,IF(ISNA(_xlfn.XLOOKUP(A360,'600m'!F$5:F$302,'600m'!M$5:M$302)),0,_xlfn.XLOOKUP(A360,'600m'!F$5:F$302,'600m'!M$5:M$302)))</f>
        <v>70</v>
      </c>
      <c r="K360" s="49" t="str">
        <f>IF(B360="","",IF(ISNA(VLOOKUP(A360,'600m'!F$5:K$302,6,FALSE)),"",VLOOKUP(A360,'600m'!F$5:K$302,6,FALSE)))</f>
        <v>PB6</v>
      </c>
      <c r="L360" s="49">
        <f>IF(B360="","",IF(ISNA(VLOOKUP(A360,LongJump!F$5:G$302,2,FALSE)),"",VLOOKUP(A360,LongJump!F$5:G$302,2,FALSE)))</f>
        <v>3.82</v>
      </c>
      <c r="M360" s="49">
        <f>IF(B360="",0,IF(ISNA(_xlfn.XLOOKUP(A360,LongJump!F$5:F$302,LongJump!M$5:M$302)),0,_xlfn.XLOOKUP(A360,LongJump!F$5:F$302,LongJump!M$5:M$302)))</f>
        <v>92</v>
      </c>
      <c r="N360" s="49" t="str">
        <f>IF(B360="","",IF(ISNA(VLOOKUP(A360,LongJump!F$5:K$302,6,FALSE)),0,VLOOKUP(A360,LongJump!F$5:K$302,6,FALSE)))</f>
        <v>PB8</v>
      </c>
      <c r="O360" s="49">
        <f>IF(B360="","",IF(ISNA(VLOOKUP(A360,Vortex!F$5:J$302,2,FALSE)),"",VLOOKUP(A360,Vortex!F$5:J$302,2,FALSE)))</f>
        <v>33.53</v>
      </c>
      <c r="P360" s="49">
        <f>IF(B360="",0,IF(ISNA(_xlfn.XLOOKUP(A360,Vortex!F$5:F$302,Vortex!M$5:M$302)),0,_xlfn.XLOOKUP(A360,Vortex!F$5:F$302,Vortex!M$5:M$302)))</f>
        <v>117</v>
      </c>
      <c r="Q360" s="49">
        <f t="shared" si="27"/>
        <v>376</v>
      </c>
      <c r="R360" s="49" t="str">
        <f t="shared" si="28"/>
        <v/>
      </c>
      <c r="S360" s="49">
        <f t="shared" si="29"/>
        <v>1</v>
      </c>
      <c r="T360" s="49" t="str">
        <f t="shared" si="30"/>
        <v/>
      </c>
      <c r="U360" s="49">
        <f t="shared" si="31"/>
        <v>3</v>
      </c>
    </row>
    <row r="361" spans="1:21">
      <c r="A361" s="49">
        <f>IF(Declarations!B118=0,"",Declarations!B118)</f>
        <v>113</v>
      </c>
      <c r="B361" s="150" t="str">
        <f>IF(ISNA(VLOOKUP(A361,Declarations!B$6:C$185,2,FALSE)),"",IF(VLOOKUP(A361,Declarations!B$6:C$185,2,FALSE)="","",VLOOKUP(A361,Declarations!B$6:C$185,2,FALSE)))</f>
        <v>ROME ALEXANDER SOLOMAN</v>
      </c>
      <c r="C361" s="150" t="str">
        <f>IF(ISNA(VLOOKUP(A361,Declarations!B$6:F$185,5,FALSE)),"",IF(VLOOKUP(A361,Declarations!B$6:F$185,5,FALSE)="","",VLOOKUP(A361,Declarations!B$6:F$185,5,FALSE)))</f>
        <v>Basingstoke &amp; Mid Hants AC</v>
      </c>
      <c r="D361" s="150" t="str">
        <f>IF(ISNA(VLOOKUP(A361,Declarations!B$6:F$185,4,FALSE)),"",IF(VLOOKUP(A361,Declarations!B$6:F$185,4,FALSE)="","",VLOOKUP(A361,Declarations!B$6:F$185,4,FALSE)))</f>
        <v>BOYS</v>
      </c>
      <c r="E361" s="150" t="str">
        <f>IF(ISNA(VLOOKUP(A361,Declarations!B$6:D$185,3,FALSE)),"",IF(VLOOKUP(A361,Declarations!B$6:D$185,3,FALSE)="","",VLOOKUP(A361,Declarations!B$6:D$185,3,FALSE)))</f>
        <v>U12</v>
      </c>
      <c r="F361" s="49">
        <f>IF(B361="","",IF(ISNA(VLOOKUP(A361,'75m'!F$5:G$302,2,FALSE)),"",VLOOKUP(A361,'75m'!F$5:G$302,2,FALSE)))</f>
        <v>10.8</v>
      </c>
      <c r="G361" s="49">
        <f>IF(B361="",0,IF(ISNA(_xlfn.XLOOKUP(A361,'75m'!F$5:F$302,'75m'!M$5:M$302)),0,_xlfn.XLOOKUP(A361,'75m'!F$5:F$302,'75m'!M$5:M$302)))</f>
        <v>110</v>
      </c>
      <c r="H361" s="49" t="str">
        <f>IF(B361="","",IF(ISNA(VLOOKUP(A361,'75m'!F$5:K$302,6,FALSE)),"",VLOOKUP(A361,'75m'!F$5:K$302,6,FALSE)))</f>
        <v>PB9</v>
      </c>
      <c r="I361" s="51">
        <f>IF(B361="",0,IF(ISNA(VLOOKUP(A361,'600m'!F$5:J$302,2,FALSE)),0,VLOOKUP(A361,'600m'!F$5:J$302,2,FALSE)))</f>
        <v>1.4108796296296298E-3</v>
      </c>
      <c r="J361" s="49">
        <f>IF(B361="",0,IF(ISNA(_xlfn.XLOOKUP(A361,'600m'!F$5:F$302,'600m'!M$5:M$302)),0,_xlfn.XLOOKUP(A361,'600m'!F$5:F$302,'600m'!M$5:M$302)))</f>
        <v>56</v>
      </c>
      <c r="K361" s="49" t="str">
        <f>IF(B361="","",IF(ISNA(VLOOKUP(A361,'600m'!F$5:K$302,6,FALSE)),"",VLOOKUP(A361,'600m'!F$5:K$302,6,FALSE)))</f>
        <v>PB4</v>
      </c>
      <c r="L361" s="49">
        <f>IF(B361="","",IF(ISNA(VLOOKUP(A361,LongJump!F$5:G$302,2,FALSE)),"",VLOOKUP(A361,LongJump!F$5:G$302,2,FALSE)))</f>
        <v>3.93</v>
      </c>
      <c r="M361" s="49">
        <f>IF(B361="",0,IF(ISNA(_xlfn.XLOOKUP(A361,LongJump!F$5:F$302,LongJump!M$5:M$302)),0,_xlfn.XLOOKUP(A361,LongJump!F$5:F$302,LongJump!M$5:M$302)))</f>
        <v>96</v>
      </c>
      <c r="N361" s="49" t="str">
        <f>IF(B361="","",IF(ISNA(VLOOKUP(A361,LongJump!F$5:K$302,6,FALSE)),0,VLOOKUP(A361,LongJump!F$5:K$302,6,FALSE)))</f>
        <v>PB8</v>
      </c>
      <c r="O361" s="49">
        <f>IF(B361="","",IF(ISNA(VLOOKUP(A361,Vortex!F$5:J$302,2,FALSE)),"",VLOOKUP(A361,Vortex!F$5:J$302,2,FALSE)))</f>
        <v>23.78</v>
      </c>
      <c r="P361" s="49">
        <f>IF(B361="",0,IF(ISNA(_xlfn.XLOOKUP(A361,Vortex!F$5:F$302,Vortex!M$5:M$302)),0,_xlfn.XLOOKUP(A361,Vortex!F$5:F$302,Vortex!M$5:M$302)))</f>
        <v>68</v>
      </c>
      <c r="Q361" s="49">
        <f t="shared" si="27"/>
        <v>330</v>
      </c>
      <c r="R361" s="49" t="str">
        <f t="shared" si="28"/>
        <v/>
      </c>
      <c r="S361" s="49">
        <f t="shared" si="29"/>
        <v>2</v>
      </c>
      <c r="T361" s="49" t="str">
        <f t="shared" si="30"/>
        <v/>
      </c>
      <c r="U361" s="49">
        <f t="shared" si="31"/>
        <v>9</v>
      </c>
    </row>
    <row r="362" spans="1:21">
      <c r="A362" s="49">
        <f>IF(Declarations!B119=0,"",Declarations!B119)</f>
        <v>114</v>
      </c>
      <c r="B362" s="150" t="str">
        <f>IF(ISNA(VLOOKUP(A362,Declarations!B$6:C$185,2,FALSE)),"",IF(VLOOKUP(A362,Declarations!B$6:C$185,2,FALSE)="","",VLOOKUP(A362,Declarations!B$6:C$185,2,FALSE)))</f>
        <v>ISAAC STEWART</v>
      </c>
      <c r="C362" s="150" t="str">
        <f>IF(ISNA(VLOOKUP(A362,Declarations!B$6:F$185,5,FALSE)),"",IF(VLOOKUP(A362,Declarations!B$6:F$185,5,FALSE)="","",VLOOKUP(A362,Declarations!B$6:F$185,5,FALSE)))</f>
        <v>Basingstoke &amp; Mid Hants AC</v>
      </c>
      <c r="D362" s="150" t="str">
        <f>IF(ISNA(VLOOKUP(A362,Declarations!B$6:F$185,4,FALSE)),"",IF(VLOOKUP(A362,Declarations!B$6:F$185,4,FALSE)="","",VLOOKUP(A362,Declarations!B$6:F$185,4,FALSE)))</f>
        <v>BOYS</v>
      </c>
      <c r="E362" s="150" t="str">
        <f>IF(ISNA(VLOOKUP(A362,Declarations!B$6:D$185,3,FALSE)),"",IF(VLOOKUP(A362,Declarations!B$6:D$185,3,FALSE)="","",VLOOKUP(A362,Declarations!B$6:D$185,3,FALSE)))</f>
        <v>U12</v>
      </c>
      <c r="F362" s="49">
        <f>IF(B362="","",IF(ISNA(VLOOKUP(A362,'75m'!F$5:G$302,2,FALSE)),"",VLOOKUP(A362,'75m'!F$5:G$302,2,FALSE)))</f>
        <v>11.2</v>
      </c>
      <c r="G362" s="49">
        <f>IF(B362="",0,IF(ISNA(_xlfn.XLOOKUP(A362,'75m'!F$5:F$302,'75m'!M$5:M$302)),0,_xlfn.XLOOKUP(A362,'75m'!F$5:F$302,'75m'!M$5:M$302)))</f>
        <v>100</v>
      </c>
      <c r="H362" s="49" t="str">
        <f>IF(B362="","",IF(ISNA(VLOOKUP(A362,'75m'!F$5:K$302,6,FALSE)),"",VLOOKUP(A362,'75m'!F$5:K$302,6,FALSE)))</f>
        <v>PB9</v>
      </c>
      <c r="I362" s="51">
        <f>IF(B362="",0,IF(ISNA(VLOOKUP(A362,'600m'!F$5:J$302,2,FALSE)),0,VLOOKUP(A362,'600m'!F$5:J$302,2,FALSE)))</f>
        <v>1.4675925925925926E-3</v>
      </c>
      <c r="J362" s="49">
        <f>IF(B362="",0,IF(ISNA(_xlfn.XLOOKUP(A362,'600m'!F$5:F$302,'600m'!M$5:M$302)),0,_xlfn.XLOOKUP(A362,'600m'!F$5:F$302,'600m'!M$5:M$302)))</f>
        <v>46</v>
      </c>
      <c r="K362" s="49" t="str">
        <f>IF(B362="","",IF(ISNA(VLOOKUP(A362,'600m'!F$5:K$302,6,FALSE)),"",VLOOKUP(A362,'600m'!F$5:K$302,6,FALSE)))</f>
        <v>PB3</v>
      </c>
      <c r="L362" s="49">
        <f>IF(B362="","",IF(ISNA(VLOOKUP(A362,LongJump!F$5:G$302,2,FALSE)),"",VLOOKUP(A362,LongJump!F$5:G$302,2,FALSE)))</f>
        <v>3.56</v>
      </c>
      <c r="M362" s="49">
        <f>IF(B362="",0,IF(ISNA(_xlfn.XLOOKUP(A362,LongJump!F$5:F$302,LongJump!M$5:M$302)),0,_xlfn.XLOOKUP(A362,LongJump!F$5:F$302,LongJump!M$5:M$302)))</f>
        <v>82</v>
      </c>
      <c r="N362" s="49" t="str">
        <f>IF(B362="","",IF(ISNA(VLOOKUP(A362,LongJump!F$5:K$302,6,FALSE)),0,VLOOKUP(A362,LongJump!F$5:K$302,6,FALSE)))</f>
        <v>PB7</v>
      </c>
      <c r="O362" s="49">
        <f>IF(B362="","",IF(ISNA(VLOOKUP(A362,Vortex!F$5:J$302,2,FALSE)),"",VLOOKUP(A362,Vortex!F$5:J$302,2,FALSE)))</f>
        <v>16.239999999999998</v>
      </c>
      <c r="P362" s="49">
        <f>IF(B362="",0,IF(ISNA(_xlfn.XLOOKUP(A362,Vortex!F$5:F$302,Vortex!M$5:M$302)),0,_xlfn.XLOOKUP(A362,Vortex!F$5:F$302,Vortex!M$5:M$302)))</f>
        <v>31</v>
      </c>
      <c r="Q362" s="49">
        <f t="shared" si="27"/>
        <v>259</v>
      </c>
      <c r="R362" s="49" t="str">
        <f t="shared" si="28"/>
        <v/>
      </c>
      <c r="S362" s="49">
        <f t="shared" si="29"/>
        <v>6</v>
      </c>
      <c r="T362" s="49" t="str">
        <f t="shared" si="30"/>
        <v/>
      </c>
      <c r="U362" s="49">
        <f t="shared" si="31"/>
        <v>24</v>
      </c>
    </row>
    <row r="363" spans="1:21">
      <c r="A363" s="49">
        <f>IF(Declarations!B120=0,"",Declarations!B120)</f>
        <v>115</v>
      </c>
      <c r="B363" s="150" t="str">
        <f>IF(ISNA(VLOOKUP(A363,Declarations!B$6:C$185,2,FALSE)),"",IF(VLOOKUP(A363,Declarations!B$6:C$185,2,FALSE)="","",VLOOKUP(A363,Declarations!B$6:C$185,2,FALSE)))</f>
        <v>ELLIOTT LEAVEY</v>
      </c>
      <c r="C363" s="150" t="str">
        <f>IF(ISNA(VLOOKUP(A363,Declarations!B$6:F$185,5,FALSE)),"",IF(VLOOKUP(A363,Declarations!B$6:F$185,5,FALSE)="","",VLOOKUP(A363,Declarations!B$6:F$185,5,FALSE)))</f>
        <v>Basingstoke &amp; Mid Hants AC</v>
      </c>
      <c r="D363" s="150" t="str">
        <f>IF(ISNA(VLOOKUP(A363,Declarations!B$6:F$185,4,FALSE)),"",IF(VLOOKUP(A363,Declarations!B$6:F$185,4,FALSE)="","",VLOOKUP(A363,Declarations!B$6:F$185,4,FALSE)))</f>
        <v>BOYS</v>
      </c>
      <c r="E363" s="150" t="str">
        <f>IF(ISNA(VLOOKUP(A363,Declarations!B$6:D$185,3,FALSE)),"",IF(VLOOKUP(A363,Declarations!B$6:D$185,3,FALSE)="","",VLOOKUP(A363,Declarations!B$6:D$185,3,FALSE)))</f>
        <v>U12</v>
      </c>
      <c r="F363" s="49">
        <f>IF(B363="","",IF(ISNA(VLOOKUP(A363,'75m'!F$5:G$302,2,FALSE)),"",VLOOKUP(A363,'75m'!F$5:G$302,2,FALSE)))</f>
        <v>12</v>
      </c>
      <c r="G363" s="49">
        <f>IF(B363="",0,IF(ISNA(_xlfn.XLOOKUP(A363,'75m'!F$5:F$302,'75m'!M$5:M$302)),0,_xlfn.XLOOKUP(A363,'75m'!F$5:F$302,'75m'!M$5:M$302)))</f>
        <v>80</v>
      </c>
      <c r="H363" s="49" t="str">
        <f>IF(B363="","",IF(ISNA(VLOOKUP(A363,'75m'!F$5:K$302,6,FALSE)),"",VLOOKUP(A363,'75m'!F$5:K$302,6,FALSE)))</f>
        <v>PB7</v>
      </c>
      <c r="I363" s="51">
        <f>IF(B363="",0,IF(ISNA(VLOOKUP(A363,'600m'!F$5:J$302,2,FALSE)),0,VLOOKUP(A363,'600m'!F$5:J$302,2,FALSE)))</f>
        <v>1.5648148148148147E-3</v>
      </c>
      <c r="J363" s="49">
        <f>IF(B363="",0,IF(ISNA(_xlfn.XLOOKUP(A363,'600m'!F$5:F$302,'600m'!M$5:M$302)),0,_xlfn.XLOOKUP(A363,'600m'!F$5:F$302,'600m'!M$5:M$302)))</f>
        <v>34</v>
      </c>
      <c r="K363" s="49" t="str">
        <f>IF(B363="","",IF(ISNA(VLOOKUP(A363,'600m'!F$5:K$302,6,FALSE)),"",VLOOKUP(A363,'600m'!F$5:K$302,6,FALSE)))</f>
        <v>PB2</v>
      </c>
      <c r="L363" s="49">
        <f>IF(B363="","",IF(ISNA(VLOOKUP(A363,LongJump!F$5:G$302,2,FALSE)),"",VLOOKUP(A363,LongJump!F$5:G$302,2,FALSE)))</f>
        <v>2.36</v>
      </c>
      <c r="M363" s="49">
        <f>IF(B363="",0,IF(ISNA(_xlfn.XLOOKUP(A363,LongJump!F$5:F$302,LongJump!M$5:M$302)),0,_xlfn.XLOOKUP(A363,LongJump!F$5:F$302,LongJump!M$5:M$302)))</f>
        <v>33</v>
      </c>
      <c r="N363" s="49" t="str">
        <f>IF(B363="","",IF(ISNA(VLOOKUP(A363,LongJump!F$5:K$302,6,FALSE)),0,VLOOKUP(A363,LongJump!F$5:K$302,6,FALSE)))</f>
        <v>PB2</v>
      </c>
      <c r="O363" s="49">
        <f>IF(B363="","",IF(ISNA(VLOOKUP(A363,Vortex!F$5:J$302,2,FALSE)),"",VLOOKUP(A363,Vortex!F$5:J$302,2,FALSE)))</f>
        <v>27.31</v>
      </c>
      <c r="P363" s="49">
        <f>IF(B363="",0,IF(ISNA(_xlfn.XLOOKUP(A363,Vortex!F$5:F$302,Vortex!M$5:M$302)),0,_xlfn.XLOOKUP(A363,Vortex!F$5:F$302,Vortex!M$5:M$302)))</f>
        <v>86</v>
      </c>
      <c r="Q363" s="49">
        <f t="shared" si="27"/>
        <v>233</v>
      </c>
      <c r="R363" s="49" t="str">
        <f t="shared" si="28"/>
        <v/>
      </c>
      <c r="S363" s="49">
        <f t="shared" si="29"/>
        <v>8</v>
      </c>
      <c r="T363" s="49" t="str">
        <f t="shared" si="30"/>
        <v/>
      </c>
      <c r="U363" s="49">
        <f t="shared" si="31"/>
        <v>31</v>
      </c>
    </row>
    <row r="364" spans="1:21">
      <c r="A364" s="49">
        <f>IF(Declarations!B121=0,"",Declarations!B121)</f>
        <v>116</v>
      </c>
      <c r="B364" s="150" t="str">
        <f>IF(ISNA(VLOOKUP(A364,Declarations!B$6:C$185,2,FALSE)),"",IF(VLOOKUP(A364,Declarations!B$6:C$185,2,FALSE)="","",VLOOKUP(A364,Declarations!B$6:C$185,2,FALSE)))</f>
        <v>MYLES GODDARD</v>
      </c>
      <c r="C364" s="150" t="str">
        <f>IF(ISNA(VLOOKUP(A364,Declarations!B$6:F$185,5,FALSE)),"",IF(VLOOKUP(A364,Declarations!B$6:F$185,5,FALSE)="","",VLOOKUP(A364,Declarations!B$6:F$185,5,FALSE)))</f>
        <v>Basingstoke &amp; Mid Hants AC</v>
      </c>
      <c r="D364" s="150" t="str">
        <f>IF(ISNA(VLOOKUP(A364,Declarations!B$6:F$185,4,FALSE)),"",IF(VLOOKUP(A364,Declarations!B$6:F$185,4,FALSE)="","",VLOOKUP(A364,Declarations!B$6:F$185,4,FALSE)))</f>
        <v>BOYS</v>
      </c>
      <c r="E364" s="150" t="str">
        <f>IF(ISNA(VLOOKUP(A364,Declarations!B$6:D$185,3,FALSE)),"",IF(VLOOKUP(A364,Declarations!B$6:D$185,3,FALSE)="","",VLOOKUP(A364,Declarations!B$6:D$185,3,FALSE)))</f>
        <v>U12</v>
      </c>
      <c r="F364" s="49">
        <f>IF(B364="","",IF(ISNA(VLOOKUP(A364,'75m'!F$5:G$302,2,FALSE)),"",VLOOKUP(A364,'75m'!F$5:G$302,2,FALSE)))</f>
        <v>11.8</v>
      </c>
      <c r="G364" s="49">
        <f>IF(B364="",0,IF(ISNA(_xlfn.XLOOKUP(A364,'75m'!F$5:F$302,'75m'!M$5:M$302)),0,_xlfn.XLOOKUP(A364,'75m'!F$5:F$302,'75m'!M$5:M$302)))</f>
        <v>85</v>
      </c>
      <c r="H364" s="49" t="str">
        <f>IF(B364="","",IF(ISNA(VLOOKUP(A364,'75m'!F$5:K$302,6,FALSE)),"",VLOOKUP(A364,'75m'!F$5:K$302,6,FALSE)))</f>
        <v>PB7</v>
      </c>
      <c r="I364" s="51">
        <f>IF(B364="",0,IF(ISNA(VLOOKUP(A364,'600m'!F$5:J$302,2,FALSE)),0,VLOOKUP(A364,'600m'!F$5:J$302,2,FALSE)))</f>
        <v>0</v>
      </c>
      <c r="J364" s="49">
        <f>IF(B364="",0,IF(ISNA(_xlfn.XLOOKUP(A364,'600m'!F$5:F$302,'600m'!M$5:M$302)),0,_xlfn.XLOOKUP(A364,'600m'!F$5:F$302,'600m'!M$5:M$302)))</f>
        <v>0</v>
      </c>
      <c r="K364" s="49" t="str">
        <f>IF(B364="","",IF(ISNA(VLOOKUP(A364,'600m'!F$5:K$302,6,FALSE)),"",VLOOKUP(A364,'600m'!F$5:K$302,6,FALSE)))</f>
        <v/>
      </c>
      <c r="L364" s="49">
        <f>IF(B364="","",IF(ISNA(VLOOKUP(A364,LongJump!F$5:G$302,2,FALSE)),"",VLOOKUP(A364,LongJump!F$5:G$302,2,FALSE)))</f>
        <v>2.78</v>
      </c>
      <c r="M364" s="49">
        <f>IF(B364="",0,IF(ISNA(_xlfn.XLOOKUP(A364,LongJump!F$5:F$302,LongJump!M$5:M$302)),0,_xlfn.XLOOKUP(A364,LongJump!F$5:F$302,LongJump!M$5:M$302)))</f>
        <v>51</v>
      </c>
      <c r="N364" s="49" t="str">
        <f>IF(B364="","",IF(ISNA(VLOOKUP(A364,LongJump!F$5:K$302,6,FALSE)),0,VLOOKUP(A364,LongJump!F$5:K$302,6,FALSE)))</f>
        <v>PB4</v>
      </c>
      <c r="O364" s="49">
        <f>IF(B364="","",IF(ISNA(VLOOKUP(A364,Vortex!F$5:J$302,2,FALSE)),"",VLOOKUP(A364,Vortex!F$5:J$302,2,FALSE)))</f>
        <v>17.43</v>
      </c>
      <c r="P364" s="49">
        <f>IF(B364="",0,IF(ISNA(_xlfn.XLOOKUP(A364,Vortex!F$5:F$302,Vortex!M$5:M$302)),0,_xlfn.XLOOKUP(A364,Vortex!F$5:F$302,Vortex!M$5:M$302)))</f>
        <v>37</v>
      </c>
      <c r="Q364" s="49">
        <f t="shared" si="27"/>
        <v>173</v>
      </c>
      <c r="R364" s="49" t="str">
        <f t="shared" si="28"/>
        <v/>
      </c>
      <c r="S364" s="49">
        <f t="shared" si="29"/>
        <v>10</v>
      </c>
      <c r="T364" s="49" t="str">
        <f t="shared" si="30"/>
        <v/>
      </c>
      <c r="U364" s="49">
        <f t="shared" si="31"/>
        <v>40</v>
      </c>
    </row>
    <row r="365" spans="1:21">
      <c r="A365" s="49">
        <f>IF(Declarations!B122=0,"",Declarations!B122)</f>
        <v>117</v>
      </c>
      <c r="B365" s="150" t="str">
        <f>IF(ISNA(VLOOKUP(A365,Declarations!B$6:C$185,2,FALSE)),"",IF(VLOOKUP(A365,Declarations!B$6:C$185,2,FALSE)="","",VLOOKUP(A365,Declarations!B$6:C$185,2,FALSE)))</f>
        <v>JAY GOVIND</v>
      </c>
      <c r="C365" s="150" t="str">
        <f>IF(ISNA(VLOOKUP(A365,Declarations!B$6:F$185,5,FALSE)),"",IF(VLOOKUP(A365,Declarations!B$6:F$185,5,FALSE)="","",VLOOKUP(A365,Declarations!B$6:F$185,5,FALSE)))</f>
        <v>Basingstoke &amp; Mid Hants AC</v>
      </c>
      <c r="D365" s="150" t="str">
        <f>IF(ISNA(VLOOKUP(A365,Declarations!B$6:F$185,4,FALSE)),"",IF(VLOOKUP(A365,Declarations!B$6:F$185,4,FALSE)="","",VLOOKUP(A365,Declarations!B$6:F$185,4,FALSE)))</f>
        <v>BOYS</v>
      </c>
      <c r="E365" s="150" t="str">
        <f>IF(ISNA(VLOOKUP(A365,Declarations!B$6:D$185,3,FALSE)),"",IF(VLOOKUP(A365,Declarations!B$6:D$185,3,FALSE)="","",VLOOKUP(A365,Declarations!B$6:D$185,3,FALSE)))</f>
        <v>U12</v>
      </c>
      <c r="F365" s="49">
        <f>IF(B365="","",IF(ISNA(VLOOKUP(A365,'75m'!F$5:G$302,2,FALSE)),"",VLOOKUP(A365,'75m'!F$5:G$302,2,FALSE)))</f>
        <v>11.7</v>
      </c>
      <c r="G365" s="49">
        <f>IF(B365="",0,IF(ISNA(_xlfn.XLOOKUP(A365,'75m'!F$5:F$302,'75m'!M$5:M$302)),0,_xlfn.XLOOKUP(A365,'75m'!F$5:F$302,'75m'!M$5:M$302)))</f>
        <v>87</v>
      </c>
      <c r="H365" s="49" t="str">
        <f>IF(B365="","",IF(ISNA(VLOOKUP(A365,'75m'!F$5:K$302,6,FALSE)),"",VLOOKUP(A365,'75m'!F$5:K$302,6,FALSE)))</f>
        <v>PB7</v>
      </c>
      <c r="I365" s="51">
        <f>IF(B365="",0,IF(ISNA(VLOOKUP(A365,'600m'!F$5:J$302,2,FALSE)),0,VLOOKUP(A365,'600m'!F$5:J$302,2,FALSE)))</f>
        <v>1.517361111111111E-3</v>
      </c>
      <c r="J365" s="49">
        <f>IF(B365="",0,IF(ISNA(_xlfn.XLOOKUP(A365,'600m'!F$5:F$302,'600m'!M$5:M$302)),0,_xlfn.XLOOKUP(A365,'600m'!F$5:F$302,'600m'!M$5:M$302)))</f>
        <v>38</v>
      </c>
      <c r="K365" s="49" t="str">
        <f>IF(B365="","",IF(ISNA(VLOOKUP(A365,'600m'!F$5:K$302,6,FALSE)),"",VLOOKUP(A365,'600m'!F$5:K$302,6,FALSE)))</f>
        <v>PB2</v>
      </c>
      <c r="L365" s="49">
        <f>IF(B365="","",IF(ISNA(VLOOKUP(A365,LongJump!F$5:G$302,2,FALSE)),"",VLOOKUP(A365,LongJump!F$5:G$302,2,FALSE)))</f>
        <v>2.87</v>
      </c>
      <c r="M365" s="49">
        <f>IF(B365="",0,IF(ISNA(_xlfn.XLOOKUP(A365,LongJump!F$5:F$302,LongJump!M$5:M$302)),0,_xlfn.XLOOKUP(A365,LongJump!F$5:F$302,LongJump!M$5:M$302)))</f>
        <v>54</v>
      </c>
      <c r="N365" s="49" t="str">
        <f>IF(B365="","",IF(ISNA(VLOOKUP(A365,LongJump!F$5:K$302,6,FALSE)),0,VLOOKUP(A365,LongJump!F$5:K$302,6,FALSE)))</f>
        <v>PB4</v>
      </c>
      <c r="O365" s="49">
        <f>IF(B365="","",IF(ISNA(VLOOKUP(A365,Vortex!F$5:J$302,2,FALSE)),"",VLOOKUP(A365,Vortex!F$5:J$302,2,FALSE)))</f>
        <v>36</v>
      </c>
      <c r="P365" s="49">
        <f>IF(B365="",0,IF(ISNA(_xlfn.XLOOKUP(A365,Vortex!F$5:F$302,Vortex!M$5:M$302)),0,_xlfn.XLOOKUP(A365,Vortex!F$5:F$302,Vortex!M$5:M$302)))</f>
        <v>124</v>
      </c>
      <c r="Q365" s="49">
        <f t="shared" si="27"/>
        <v>303</v>
      </c>
      <c r="R365" s="49" t="str">
        <f t="shared" si="28"/>
        <v/>
      </c>
      <c r="S365" s="49">
        <f t="shared" si="29"/>
        <v>4</v>
      </c>
      <c r="T365" s="49" t="str">
        <f t="shared" si="30"/>
        <v/>
      </c>
      <c r="U365" s="49">
        <f t="shared" si="31"/>
        <v>15</v>
      </c>
    </row>
    <row r="366" spans="1:21">
      <c r="A366" s="49">
        <f>IF(Declarations!B123=0,"",Declarations!B123)</f>
        <v>118</v>
      </c>
      <c r="B366" s="150" t="str">
        <f>IF(ISNA(VLOOKUP(A366,Declarations!B$6:C$185,2,FALSE)),"",IF(VLOOKUP(A366,Declarations!B$6:C$185,2,FALSE)="","",VLOOKUP(A366,Declarations!B$6:C$185,2,FALSE)))</f>
        <v>TOBY POWELL</v>
      </c>
      <c r="C366" s="150" t="str">
        <f>IF(ISNA(VLOOKUP(A366,Declarations!B$6:F$185,5,FALSE)),"",IF(VLOOKUP(A366,Declarations!B$6:F$185,5,FALSE)="","",VLOOKUP(A366,Declarations!B$6:F$185,5,FALSE)))</f>
        <v>Basingstoke &amp; Mid Hants AC</v>
      </c>
      <c r="D366" s="150" t="str">
        <f>IF(ISNA(VLOOKUP(A366,Declarations!B$6:F$185,4,FALSE)),"",IF(VLOOKUP(A366,Declarations!B$6:F$185,4,FALSE)="","",VLOOKUP(A366,Declarations!B$6:F$185,4,FALSE)))</f>
        <v>BOYS</v>
      </c>
      <c r="E366" s="150" t="str">
        <f>IF(ISNA(VLOOKUP(A366,Declarations!B$6:D$185,3,FALSE)),"",IF(VLOOKUP(A366,Declarations!B$6:D$185,3,FALSE)="","",VLOOKUP(A366,Declarations!B$6:D$185,3,FALSE)))</f>
        <v>U12</v>
      </c>
      <c r="F366" s="49">
        <f>IF(B366="","",IF(ISNA(VLOOKUP(A366,'75m'!F$5:G$302,2,FALSE)),"",VLOOKUP(A366,'75m'!F$5:G$302,2,FALSE)))</f>
        <v>12.1</v>
      </c>
      <c r="G366" s="49">
        <f>IF(B366="",0,IF(ISNA(_xlfn.XLOOKUP(A366,'75m'!F$5:F$302,'75m'!M$5:M$302)),0,_xlfn.XLOOKUP(A366,'75m'!F$5:F$302,'75m'!M$5:M$302)))</f>
        <v>78</v>
      </c>
      <c r="H366" s="49" t="str">
        <f>IF(B366="","",IF(ISNA(VLOOKUP(A366,'75m'!F$5:K$302,6,FALSE)),"",VLOOKUP(A366,'75m'!F$5:K$302,6,FALSE)))</f>
        <v>PB6</v>
      </c>
      <c r="I366" s="51">
        <f>IF(B366="",0,IF(ISNA(VLOOKUP(A366,'600m'!F$5:J$302,2,FALSE)),0,VLOOKUP(A366,'600m'!F$5:J$302,2,FALSE)))</f>
        <v>1.3368055555555555E-3</v>
      </c>
      <c r="J366" s="49">
        <f>IF(B366="",0,IF(ISNA(_xlfn.XLOOKUP(A366,'600m'!F$5:F$302,'600m'!M$5:M$302)),0,_xlfn.XLOOKUP(A366,'600m'!F$5:F$302,'600m'!M$5:M$302)))</f>
        <v>69</v>
      </c>
      <c r="K366" s="49" t="str">
        <f>IF(B366="","",IF(ISNA(VLOOKUP(A366,'600m'!F$5:K$302,6,FALSE)),"",VLOOKUP(A366,'600m'!F$5:K$302,6,FALSE)))</f>
        <v>PB5</v>
      </c>
      <c r="L366" s="49">
        <f>IF(B366="","",IF(ISNA(VLOOKUP(A366,LongJump!F$5:G$302,2,FALSE)),"",VLOOKUP(A366,LongJump!F$5:G$302,2,FALSE)))</f>
        <v>2.98</v>
      </c>
      <c r="M366" s="49">
        <f>IF(B366="",0,IF(ISNA(_xlfn.XLOOKUP(A366,LongJump!F$5:F$302,LongJump!M$5:M$302)),0,_xlfn.XLOOKUP(A366,LongJump!F$5:F$302,LongJump!M$5:M$302)))</f>
        <v>59</v>
      </c>
      <c r="N366" s="49" t="str">
        <f>IF(B366="","",IF(ISNA(VLOOKUP(A366,LongJump!F$5:K$302,6,FALSE)),0,VLOOKUP(A366,LongJump!F$5:K$302,6,FALSE)))</f>
        <v>PB4</v>
      </c>
      <c r="O366" s="49">
        <f>IF(B366="","",IF(ISNA(VLOOKUP(A366,Vortex!F$5:J$302,2,FALSE)),"",VLOOKUP(A366,Vortex!F$5:J$302,2,FALSE)))</f>
        <v>32.950000000000003</v>
      </c>
      <c r="P366" s="49">
        <f>IF(B366="",0,IF(ISNA(_xlfn.XLOOKUP(A366,Vortex!F$5:F$302,Vortex!M$5:M$302)),0,_xlfn.XLOOKUP(A366,Vortex!F$5:F$302,Vortex!M$5:M$302)))</f>
        <v>114</v>
      </c>
      <c r="Q366" s="49">
        <f t="shared" si="27"/>
        <v>320</v>
      </c>
      <c r="R366" s="49" t="str">
        <f t="shared" si="28"/>
        <v/>
      </c>
      <c r="S366" s="49">
        <f t="shared" si="29"/>
        <v>3</v>
      </c>
      <c r="T366" s="49" t="str">
        <f t="shared" si="30"/>
        <v/>
      </c>
      <c r="U366" s="49">
        <f t="shared" si="31"/>
        <v>10</v>
      </c>
    </row>
    <row r="367" spans="1:21">
      <c r="A367" s="49">
        <f>IF(Declarations!B124=0,"",Declarations!B124)</f>
        <v>119</v>
      </c>
      <c r="B367" s="150" t="str">
        <f>IF(ISNA(VLOOKUP(A367,Declarations!B$6:C$185,2,FALSE)),"",IF(VLOOKUP(A367,Declarations!B$6:C$185,2,FALSE)="","",VLOOKUP(A367,Declarations!B$6:C$185,2,FALSE)))</f>
        <v>ALEX WILKINSON</v>
      </c>
      <c r="C367" s="150" t="str">
        <f>IF(ISNA(VLOOKUP(A367,Declarations!B$6:F$185,5,FALSE)),"",IF(VLOOKUP(A367,Declarations!B$6:F$185,5,FALSE)="","",VLOOKUP(A367,Declarations!B$6:F$185,5,FALSE)))</f>
        <v>Basingstoke &amp; Mid Hants AC</v>
      </c>
      <c r="D367" s="150" t="str">
        <f>IF(ISNA(VLOOKUP(A367,Declarations!B$6:F$185,4,FALSE)),"",IF(VLOOKUP(A367,Declarations!B$6:F$185,4,FALSE)="","",VLOOKUP(A367,Declarations!B$6:F$185,4,FALSE)))</f>
        <v>BOYS</v>
      </c>
      <c r="E367" s="150" t="str">
        <f>IF(ISNA(VLOOKUP(A367,Declarations!B$6:D$185,3,FALSE)),"",IF(VLOOKUP(A367,Declarations!B$6:D$185,3,FALSE)="","",VLOOKUP(A367,Declarations!B$6:D$185,3,FALSE)))</f>
        <v>U12</v>
      </c>
      <c r="F367" s="49">
        <f>IF(B367="","",IF(ISNA(VLOOKUP(A367,'75m'!F$5:G$302,2,FALSE)),"",VLOOKUP(A367,'75m'!F$5:G$302,2,FALSE)))</f>
        <v>12.5</v>
      </c>
      <c r="G367" s="49">
        <f>IF(B367="",0,IF(ISNA(_xlfn.XLOOKUP(A367,'75m'!F$5:F$302,'75m'!M$5:M$302)),0,_xlfn.XLOOKUP(A367,'75m'!F$5:F$302,'75m'!M$5:M$302)))</f>
        <v>70</v>
      </c>
      <c r="H367" s="49" t="str">
        <f>IF(B367="","",IF(ISNA(VLOOKUP(A367,'75m'!F$5:K$302,6,FALSE)),"",VLOOKUP(A367,'75m'!F$5:K$302,6,FALSE)))</f>
        <v>PB6</v>
      </c>
      <c r="I367" s="51">
        <f>IF(B367="",0,IF(ISNA(VLOOKUP(A367,'600m'!F$5:J$302,2,FALSE)),0,VLOOKUP(A367,'600m'!F$5:J$302,2,FALSE)))</f>
        <v>1.523148148148148E-3</v>
      </c>
      <c r="J367" s="49">
        <f>IF(B367="",0,IF(ISNA(_xlfn.XLOOKUP(A367,'600m'!F$5:F$302,'600m'!M$5:M$302)),0,_xlfn.XLOOKUP(A367,'600m'!F$5:F$302,'600m'!M$5:M$302)))</f>
        <v>38</v>
      </c>
      <c r="K367" s="49" t="str">
        <f>IF(B367="","",IF(ISNA(VLOOKUP(A367,'600m'!F$5:K$302,6,FALSE)),"",VLOOKUP(A367,'600m'!F$5:K$302,6,FALSE)))</f>
        <v>PB2</v>
      </c>
      <c r="L367" s="49">
        <f>IF(B367="","",IF(ISNA(VLOOKUP(A367,LongJump!F$5:G$302,2,FALSE)),"",VLOOKUP(A367,LongJump!F$5:G$302,2,FALSE)))</f>
        <v>2.92</v>
      </c>
      <c r="M367" s="49">
        <f>IF(B367="",0,IF(ISNA(_xlfn.XLOOKUP(A367,LongJump!F$5:F$302,LongJump!M$5:M$302)),0,_xlfn.XLOOKUP(A367,LongJump!F$5:F$302,LongJump!M$5:M$302)))</f>
        <v>56</v>
      </c>
      <c r="N367" s="49" t="str">
        <f>IF(B367="","",IF(ISNA(VLOOKUP(A367,LongJump!F$5:K$302,6,FALSE)),0,VLOOKUP(A367,LongJump!F$5:K$302,6,FALSE)))</f>
        <v>PB4</v>
      </c>
      <c r="O367" s="49">
        <f>IF(B367="","",IF(ISNA(VLOOKUP(A367,Vortex!F$5:J$302,2,FALSE)),"",VLOOKUP(A367,Vortex!F$5:J$302,2,FALSE)))</f>
        <v>26.94</v>
      </c>
      <c r="P367" s="49">
        <f>IF(B367="",0,IF(ISNA(_xlfn.XLOOKUP(A367,Vortex!F$5:F$302,Vortex!M$5:M$302)),0,_xlfn.XLOOKUP(A367,Vortex!F$5:F$302,Vortex!M$5:M$302)))</f>
        <v>84</v>
      </c>
      <c r="Q367" s="49">
        <f t="shared" si="27"/>
        <v>248</v>
      </c>
      <c r="R367" s="49" t="str">
        <f t="shared" si="28"/>
        <v/>
      </c>
      <c r="S367" s="49">
        <f t="shared" si="29"/>
        <v>7</v>
      </c>
      <c r="T367" s="49" t="str">
        <f t="shared" si="30"/>
        <v/>
      </c>
      <c r="U367" s="49">
        <f t="shared" si="31"/>
        <v>25</v>
      </c>
    </row>
    <row r="368" spans="1:21">
      <c r="A368" s="49">
        <f>IF(Declarations!B125=0,"",Declarations!B125)</f>
        <v>120</v>
      </c>
      <c r="B368" s="150" t="str">
        <f>IF(ISNA(VLOOKUP(A368,Declarations!B$6:C$185,2,FALSE)),"",IF(VLOOKUP(A368,Declarations!B$6:C$185,2,FALSE)="","",VLOOKUP(A368,Declarations!B$6:C$185,2,FALSE)))</f>
        <v>ETHAN WEIGHT</v>
      </c>
      <c r="C368" s="150" t="str">
        <f>IF(ISNA(VLOOKUP(A368,Declarations!B$6:F$185,5,FALSE)),"",IF(VLOOKUP(A368,Declarations!B$6:F$185,5,FALSE)="","",VLOOKUP(A368,Declarations!B$6:F$185,5,FALSE)))</f>
        <v>Basingstoke &amp; Mid Hants AC</v>
      </c>
      <c r="D368" s="150" t="str">
        <f>IF(ISNA(VLOOKUP(A368,Declarations!B$6:F$185,4,FALSE)),"",IF(VLOOKUP(A368,Declarations!B$6:F$185,4,FALSE)="","",VLOOKUP(A368,Declarations!B$6:F$185,4,FALSE)))</f>
        <v>BOYS</v>
      </c>
      <c r="E368" s="150" t="str">
        <f>IF(ISNA(VLOOKUP(A368,Declarations!B$6:D$185,3,FALSE)),"",IF(VLOOKUP(A368,Declarations!B$6:D$185,3,FALSE)="","",VLOOKUP(A368,Declarations!B$6:D$185,3,FALSE)))</f>
        <v>U12</v>
      </c>
      <c r="F368" s="49">
        <f>IF(B368="","",IF(ISNA(VLOOKUP(A368,'75m'!F$5:G$302,2,FALSE)),"",VLOOKUP(A368,'75m'!F$5:G$302,2,FALSE)))</f>
        <v>12.2</v>
      </c>
      <c r="G368" s="49">
        <f>IF(B368="",0,IF(ISNA(_xlfn.XLOOKUP(A368,'75m'!F$5:F$302,'75m'!M$5:M$302)),0,_xlfn.XLOOKUP(A368,'75m'!F$5:F$302,'75m'!M$5:M$302)))</f>
        <v>76</v>
      </c>
      <c r="H368" s="49" t="str">
        <f>IF(B368="","",IF(ISNA(VLOOKUP(A368,'75m'!F$5:K$302,6,FALSE)),"",VLOOKUP(A368,'75m'!F$5:K$302,6,FALSE)))</f>
        <v>PB6</v>
      </c>
      <c r="I368" s="51">
        <f>IF(B368="",0,IF(ISNA(VLOOKUP(A368,'600m'!F$5:J$302,2,FALSE)),0,VLOOKUP(A368,'600m'!F$5:J$302,2,FALSE)))</f>
        <v>1.5671296296296297E-3</v>
      </c>
      <c r="J368" s="49">
        <f>IF(B368="",0,IF(ISNA(_xlfn.XLOOKUP(A368,'600m'!F$5:F$302,'600m'!M$5:M$302)),0,_xlfn.XLOOKUP(A368,'600m'!F$5:F$302,'600m'!M$5:M$302)))</f>
        <v>34</v>
      </c>
      <c r="K368" s="49" t="str">
        <f>IF(B368="","",IF(ISNA(VLOOKUP(A368,'600m'!F$5:K$302,6,FALSE)),"",VLOOKUP(A368,'600m'!F$5:K$302,6,FALSE)))</f>
        <v>PB2</v>
      </c>
      <c r="L368" s="49">
        <f>IF(B368="","",IF(ISNA(VLOOKUP(A368,LongJump!F$5:G$302,2,FALSE)),"",VLOOKUP(A368,LongJump!F$5:G$302,2,FALSE)))</f>
        <v>2.56</v>
      </c>
      <c r="M368" s="49">
        <f>IF(B368="",0,IF(ISNA(_xlfn.XLOOKUP(A368,LongJump!F$5:F$302,LongJump!M$5:M$302)),0,_xlfn.XLOOKUP(A368,LongJump!F$5:F$302,LongJump!M$5:M$302)))</f>
        <v>42</v>
      </c>
      <c r="N368" s="49" t="str">
        <f>IF(B368="","",IF(ISNA(VLOOKUP(A368,LongJump!F$5:K$302,6,FALSE)),0,VLOOKUP(A368,LongJump!F$5:K$302,6,FALSE)))</f>
        <v>PB3</v>
      </c>
      <c r="O368" s="49">
        <f>IF(B368="","",IF(ISNA(VLOOKUP(A368,Vortex!F$5:J$302,2,FALSE)),"",VLOOKUP(A368,Vortex!F$5:J$302,2,FALSE)))</f>
        <v>15.66</v>
      </c>
      <c r="P368" s="49">
        <f>IF(B368="",0,IF(ISNA(_xlfn.XLOOKUP(A368,Vortex!F$5:F$302,Vortex!M$5:M$302)),0,_xlfn.XLOOKUP(A368,Vortex!F$5:F$302,Vortex!M$5:M$302)))</f>
        <v>28</v>
      </c>
      <c r="Q368" s="49">
        <f t="shared" si="27"/>
        <v>180</v>
      </c>
      <c r="R368" s="49" t="str">
        <f t="shared" si="28"/>
        <v/>
      </c>
      <c r="S368" s="49">
        <f t="shared" si="29"/>
        <v>9</v>
      </c>
      <c r="T368" s="49" t="str">
        <f t="shared" si="30"/>
        <v/>
      </c>
      <c r="U368" s="49">
        <f t="shared" si="31"/>
        <v>39</v>
      </c>
    </row>
    <row r="369" spans="1:21">
      <c r="A369" s="49">
        <f>IF(Declarations!B126=0,"",Declarations!B126)</f>
        <v>121</v>
      </c>
      <c r="B369" s="150" t="str">
        <f>IF(ISNA(VLOOKUP(A369,Declarations!B$6:C$185,2,FALSE)),"",IF(VLOOKUP(A369,Declarations!B$6:C$185,2,FALSE)="","",VLOOKUP(A369,Declarations!B$6:C$185,2,FALSE)))</f>
        <v/>
      </c>
      <c r="C369" s="150" t="str">
        <f>IF(ISNA(VLOOKUP(A369,Declarations!B$6:F$185,5,FALSE)),"",IF(VLOOKUP(A369,Declarations!B$6:F$185,5,FALSE)="","",VLOOKUP(A369,Declarations!B$6:F$185,5,FALSE)))</f>
        <v/>
      </c>
      <c r="D369" s="150" t="str">
        <f>IF(ISNA(VLOOKUP(A369,Declarations!B$6:F$185,4,FALSE)),"",IF(VLOOKUP(A369,Declarations!B$6:F$185,4,FALSE)="","",VLOOKUP(A369,Declarations!B$6:F$185,4,FALSE)))</f>
        <v>GIRLS</v>
      </c>
      <c r="E369" s="150" t="str">
        <f>IF(ISNA(VLOOKUP(A369,Declarations!B$6:D$185,3,FALSE)),"",IF(VLOOKUP(A369,Declarations!B$6:D$185,3,FALSE)="","",VLOOKUP(A369,Declarations!B$6:D$185,3,FALSE)))</f>
        <v>U12</v>
      </c>
      <c r="F369" s="49" t="str">
        <f>IF(B369="","",IF(ISNA(VLOOKUP(A369,'75m'!F$5:G$302,2,FALSE)),"",VLOOKUP(A369,'75m'!F$5:G$302,2,FALSE)))</f>
        <v/>
      </c>
      <c r="G369" s="49">
        <f>IF(B369="",0,IF(ISNA(_xlfn.XLOOKUP(A369,'75m'!F$5:F$302,'75m'!M$5:M$302)),0,_xlfn.XLOOKUP(A369,'75m'!F$5:F$302,'75m'!M$5:M$302)))</f>
        <v>0</v>
      </c>
      <c r="H369" s="49" t="str">
        <f>IF(B369="","",IF(ISNA(VLOOKUP(A369,'75m'!F$5:K$302,6,FALSE)),"",VLOOKUP(A369,'75m'!F$5:K$302,6,FALSE)))</f>
        <v/>
      </c>
      <c r="I369" s="51">
        <f>IF(B369="",0,IF(ISNA(VLOOKUP(A369,'600m'!F$5:J$302,2,FALSE)),0,VLOOKUP(A369,'600m'!F$5:J$302,2,FALSE)))</f>
        <v>0</v>
      </c>
      <c r="J369" s="49">
        <f>IF(B369="",0,IF(ISNA(_xlfn.XLOOKUP(A369,'600m'!F$5:F$302,'600m'!M$5:M$302)),0,_xlfn.XLOOKUP(A369,'600m'!F$5:F$302,'600m'!M$5:M$302)))</f>
        <v>0</v>
      </c>
      <c r="K369" s="49" t="str">
        <f>IF(B369="","",IF(ISNA(VLOOKUP(A369,'600m'!F$5:K$302,6,FALSE)),"",VLOOKUP(A369,'600m'!F$5:K$302,6,FALSE)))</f>
        <v/>
      </c>
      <c r="L369" s="49" t="str">
        <f>IF(B369="","",IF(ISNA(VLOOKUP(A369,LongJump!F$5:G$302,2,FALSE)),"",VLOOKUP(A369,LongJump!F$5:G$302,2,FALSE)))</f>
        <v/>
      </c>
      <c r="M369" s="49">
        <f>IF(B369="",0,IF(ISNA(_xlfn.XLOOKUP(A369,LongJump!F$5:F$302,LongJump!M$5:M$302)),0,_xlfn.XLOOKUP(A369,LongJump!F$5:F$302,LongJump!M$5:M$302)))</f>
        <v>0</v>
      </c>
      <c r="N369" s="49" t="str">
        <f>IF(B369="","",IF(ISNA(VLOOKUP(A369,LongJump!F$5:K$302,6,FALSE)),0,VLOOKUP(A369,LongJump!F$5:K$302,6,FALSE)))</f>
        <v/>
      </c>
      <c r="O369" s="49" t="str">
        <f>IF(B369="","",IF(ISNA(VLOOKUP(A369,Vortex!F$5:J$302,2,FALSE)),"",VLOOKUP(A369,Vortex!F$5:J$302,2,FALSE)))</f>
        <v/>
      </c>
      <c r="P369" s="49">
        <f>IF(B369="",0,IF(ISNA(_xlfn.XLOOKUP(A369,Vortex!F$5:F$302,Vortex!M$5:M$302)),0,_xlfn.XLOOKUP(A369,Vortex!F$5:F$302,Vortex!M$5:M$302)))</f>
        <v>0</v>
      </c>
      <c r="Q369" s="49">
        <f t="shared" si="27"/>
        <v>0</v>
      </c>
      <c r="R369" s="49" t="str">
        <f t="shared" si="28"/>
        <v/>
      </c>
      <c r="S369" s="49" t="str">
        <f t="shared" si="29"/>
        <v/>
      </c>
      <c r="T369" s="49" t="str">
        <f t="shared" si="30"/>
        <v/>
      </c>
      <c r="U369" s="49" t="str">
        <f t="shared" si="31"/>
        <v/>
      </c>
    </row>
    <row r="370" spans="1:21">
      <c r="A370" s="49">
        <f>IF(Declarations!B127=0,"",Declarations!B127)</f>
        <v>122</v>
      </c>
      <c r="B370" s="150" t="str">
        <f>IF(ISNA(VLOOKUP(A370,Declarations!B$6:C$185,2,FALSE)),"",IF(VLOOKUP(A370,Declarations!B$6:C$185,2,FALSE)="","",VLOOKUP(A370,Declarations!B$6:C$185,2,FALSE)))</f>
        <v/>
      </c>
      <c r="C370" s="150" t="str">
        <f>IF(ISNA(VLOOKUP(A370,Declarations!B$6:F$185,5,FALSE)),"",IF(VLOOKUP(A370,Declarations!B$6:F$185,5,FALSE)="","",VLOOKUP(A370,Declarations!B$6:F$185,5,FALSE)))</f>
        <v/>
      </c>
      <c r="D370" s="150" t="str">
        <f>IF(ISNA(VLOOKUP(A370,Declarations!B$6:F$185,4,FALSE)),"",IF(VLOOKUP(A370,Declarations!B$6:F$185,4,FALSE)="","",VLOOKUP(A370,Declarations!B$6:F$185,4,FALSE)))</f>
        <v>GIRLS</v>
      </c>
      <c r="E370" s="150" t="str">
        <f>IF(ISNA(VLOOKUP(A370,Declarations!B$6:D$185,3,FALSE)),"",IF(VLOOKUP(A370,Declarations!B$6:D$185,3,FALSE)="","",VLOOKUP(A370,Declarations!B$6:D$185,3,FALSE)))</f>
        <v>U12</v>
      </c>
      <c r="F370" s="49" t="str">
        <f>IF(B370="","",IF(ISNA(VLOOKUP(A370,'75m'!F$5:G$302,2,FALSE)),"",VLOOKUP(A370,'75m'!F$5:G$302,2,FALSE)))</f>
        <v/>
      </c>
      <c r="G370" s="49">
        <f>IF(B370="",0,IF(ISNA(_xlfn.XLOOKUP(A370,'75m'!F$5:F$302,'75m'!M$5:M$302)),0,_xlfn.XLOOKUP(A370,'75m'!F$5:F$302,'75m'!M$5:M$302)))</f>
        <v>0</v>
      </c>
      <c r="H370" s="49" t="str">
        <f>IF(B370="","",IF(ISNA(VLOOKUP(A370,'75m'!F$5:K$302,6,FALSE)),"",VLOOKUP(A370,'75m'!F$5:K$302,6,FALSE)))</f>
        <v/>
      </c>
      <c r="I370" s="51">
        <f>IF(B370="",0,IF(ISNA(VLOOKUP(A370,'600m'!F$5:J$302,2,FALSE)),0,VLOOKUP(A370,'600m'!F$5:J$302,2,FALSE)))</f>
        <v>0</v>
      </c>
      <c r="J370" s="49">
        <f>IF(B370="",0,IF(ISNA(_xlfn.XLOOKUP(A370,'600m'!F$5:F$302,'600m'!M$5:M$302)),0,_xlfn.XLOOKUP(A370,'600m'!F$5:F$302,'600m'!M$5:M$302)))</f>
        <v>0</v>
      </c>
      <c r="K370" s="49" t="str">
        <f>IF(B370="","",IF(ISNA(VLOOKUP(A370,'600m'!F$5:K$302,6,FALSE)),"",VLOOKUP(A370,'600m'!F$5:K$302,6,FALSE)))</f>
        <v/>
      </c>
      <c r="L370" s="49" t="str">
        <f>IF(B370="","",IF(ISNA(VLOOKUP(A370,LongJump!F$5:G$302,2,FALSE)),"",VLOOKUP(A370,LongJump!F$5:G$302,2,FALSE)))</f>
        <v/>
      </c>
      <c r="M370" s="49">
        <f>IF(B370="",0,IF(ISNA(_xlfn.XLOOKUP(A370,LongJump!F$5:F$302,LongJump!M$5:M$302)),0,_xlfn.XLOOKUP(A370,LongJump!F$5:F$302,LongJump!M$5:M$302)))</f>
        <v>0</v>
      </c>
      <c r="N370" s="49" t="str">
        <f>IF(B370="","",IF(ISNA(VLOOKUP(A370,LongJump!F$5:K$302,6,FALSE)),0,VLOOKUP(A370,LongJump!F$5:K$302,6,FALSE)))</f>
        <v/>
      </c>
      <c r="O370" s="49" t="str">
        <f>IF(B370="","",IF(ISNA(VLOOKUP(A370,Vortex!F$5:J$302,2,FALSE)),"",VLOOKUP(A370,Vortex!F$5:J$302,2,FALSE)))</f>
        <v/>
      </c>
      <c r="P370" s="49">
        <f>IF(B370="",0,IF(ISNA(_xlfn.XLOOKUP(A370,Vortex!F$5:F$302,Vortex!M$5:M$302)),0,_xlfn.XLOOKUP(A370,Vortex!F$5:F$302,Vortex!M$5:M$302)))</f>
        <v>0</v>
      </c>
      <c r="Q370" s="49">
        <f t="shared" si="27"/>
        <v>0</v>
      </c>
      <c r="R370" s="49" t="str">
        <f t="shared" si="28"/>
        <v/>
      </c>
      <c r="S370" s="49" t="str">
        <f t="shared" si="29"/>
        <v/>
      </c>
      <c r="T370" s="49" t="str">
        <f t="shared" si="30"/>
        <v/>
      </c>
      <c r="U370" s="49" t="str">
        <f t="shared" si="31"/>
        <v/>
      </c>
    </row>
    <row r="371" spans="1:21">
      <c r="A371" s="49">
        <f>IF(Declarations!B128=0,"",Declarations!B128)</f>
        <v>123</v>
      </c>
      <c r="B371" s="150" t="str">
        <f>IF(ISNA(VLOOKUP(A371,Declarations!B$6:C$185,2,FALSE)),"",IF(VLOOKUP(A371,Declarations!B$6:C$185,2,FALSE)="","",VLOOKUP(A371,Declarations!B$6:C$185,2,FALSE)))</f>
        <v/>
      </c>
      <c r="C371" s="150" t="str">
        <f>IF(ISNA(VLOOKUP(A371,Declarations!B$6:F$185,5,FALSE)),"",IF(VLOOKUP(A371,Declarations!B$6:F$185,5,FALSE)="","",VLOOKUP(A371,Declarations!B$6:F$185,5,FALSE)))</f>
        <v/>
      </c>
      <c r="D371" s="150" t="str">
        <f>IF(ISNA(VLOOKUP(A371,Declarations!B$6:F$185,4,FALSE)),"",IF(VLOOKUP(A371,Declarations!B$6:F$185,4,FALSE)="","",VLOOKUP(A371,Declarations!B$6:F$185,4,FALSE)))</f>
        <v>GIRLS</v>
      </c>
      <c r="E371" s="150" t="str">
        <f>IF(ISNA(VLOOKUP(A371,Declarations!B$6:D$185,3,FALSE)),"",IF(VLOOKUP(A371,Declarations!B$6:D$185,3,FALSE)="","",VLOOKUP(A371,Declarations!B$6:D$185,3,FALSE)))</f>
        <v>U12</v>
      </c>
      <c r="F371" s="49" t="str">
        <f>IF(B371="","",IF(ISNA(VLOOKUP(A371,'75m'!F$5:G$302,2,FALSE)),"",VLOOKUP(A371,'75m'!F$5:G$302,2,FALSE)))</f>
        <v/>
      </c>
      <c r="G371" s="49">
        <f>IF(B371="",0,IF(ISNA(_xlfn.XLOOKUP(A371,'75m'!F$5:F$302,'75m'!M$5:M$302)),0,_xlfn.XLOOKUP(A371,'75m'!F$5:F$302,'75m'!M$5:M$302)))</f>
        <v>0</v>
      </c>
      <c r="H371" s="49" t="str">
        <f>IF(B371="","",IF(ISNA(VLOOKUP(A371,'75m'!F$5:K$302,6,FALSE)),"",VLOOKUP(A371,'75m'!F$5:K$302,6,FALSE)))</f>
        <v/>
      </c>
      <c r="I371" s="51">
        <f>IF(B371="",0,IF(ISNA(VLOOKUP(A371,'600m'!F$5:J$302,2,FALSE)),0,VLOOKUP(A371,'600m'!F$5:J$302,2,FALSE)))</f>
        <v>0</v>
      </c>
      <c r="J371" s="49">
        <f>IF(B371="",0,IF(ISNA(_xlfn.XLOOKUP(A371,'600m'!F$5:F$302,'600m'!M$5:M$302)),0,_xlfn.XLOOKUP(A371,'600m'!F$5:F$302,'600m'!M$5:M$302)))</f>
        <v>0</v>
      </c>
      <c r="K371" s="49" t="str">
        <f>IF(B371="","",IF(ISNA(VLOOKUP(A371,'600m'!F$5:K$302,6,FALSE)),"",VLOOKUP(A371,'600m'!F$5:K$302,6,FALSE)))</f>
        <v/>
      </c>
      <c r="L371" s="49" t="str">
        <f>IF(B371="","",IF(ISNA(VLOOKUP(A371,LongJump!F$5:G$302,2,FALSE)),"",VLOOKUP(A371,LongJump!F$5:G$302,2,FALSE)))</f>
        <v/>
      </c>
      <c r="M371" s="49">
        <f>IF(B371="",0,IF(ISNA(_xlfn.XLOOKUP(A371,LongJump!F$5:F$302,LongJump!M$5:M$302)),0,_xlfn.XLOOKUP(A371,LongJump!F$5:F$302,LongJump!M$5:M$302)))</f>
        <v>0</v>
      </c>
      <c r="N371" s="49" t="str">
        <f>IF(B371="","",IF(ISNA(VLOOKUP(A371,LongJump!F$5:K$302,6,FALSE)),0,VLOOKUP(A371,LongJump!F$5:K$302,6,FALSE)))</f>
        <v/>
      </c>
      <c r="O371" s="49" t="str">
        <f>IF(B371="","",IF(ISNA(VLOOKUP(A371,Vortex!F$5:J$302,2,FALSE)),"",VLOOKUP(A371,Vortex!F$5:J$302,2,FALSE)))</f>
        <v/>
      </c>
      <c r="P371" s="49">
        <f>IF(B371="",0,IF(ISNA(_xlfn.XLOOKUP(A371,Vortex!F$5:F$302,Vortex!M$5:M$302)),0,_xlfn.XLOOKUP(A371,Vortex!F$5:F$302,Vortex!M$5:M$302)))</f>
        <v>0</v>
      </c>
      <c r="Q371" s="49">
        <f t="shared" si="27"/>
        <v>0</v>
      </c>
      <c r="R371" s="49" t="str">
        <f t="shared" si="28"/>
        <v/>
      </c>
      <c r="S371" s="49" t="str">
        <f t="shared" si="29"/>
        <v/>
      </c>
      <c r="T371" s="49" t="str">
        <f t="shared" si="30"/>
        <v/>
      </c>
      <c r="U371" s="49" t="str">
        <f t="shared" si="31"/>
        <v/>
      </c>
    </row>
    <row r="372" spans="1:21">
      <c r="A372" s="49">
        <f>IF(Declarations!B129=0,"",Declarations!B129)</f>
        <v>124</v>
      </c>
      <c r="B372" s="150" t="str">
        <f>IF(ISNA(VLOOKUP(A372,Declarations!B$6:C$185,2,FALSE)),"",IF(VLOOKUP(A372,Declarations!B$6:C$185,2,FALSE)="","",VLOOKUP(A372,Declarations!B$6:C$185,2,FALSE)))</f>
        <v/>
      </c>
      <c r="C372" s="150" t="str">
        <f>IF(ISNA(VLOOKUP(A372,Declarations!B$6:F$185,5,FALSE)),"",IF(VLOOKUP(A372,Declarations!B$6:F$185,5,FALSE)="","",VLOOKUP(A372,Declarations!B$6:F$185,5,FALSE)))</f>
        <v/>
      </c>
      <c r="D372" s="150" t="str">
        <f>IF(ISNA(VLOOKUP(A372,Declarations!B$6:F$185,4,FALSE)),"",IF(VLOOKUP(A372,Declarations!B$6:F$185,4,FALSE)="","",VLOOKUP(A372,Declarations!B$6:F$185,4,FALSE)))</f>
        <v>GIRLS</v>
      </c>
      <c r="E372" s="150" t="str">
        <f>IF(ISNA(VLOOKUP(A372,Declarations!B$6:D$185,3,FALSE)),"",IF(VLOOKUP(A372,Declarations!B$6:D$185,3,FALSE)="","",VLOOKUP(A372,Declarations!B$6:D$185,3,FALSE)))</f>
        <v>U12</v>
      </c>
      <c r="F372" s="49" t="str">
        <f>IF(B372="","",IF(ISNA(VLOOKUP(A372,'75m'!F$5:G$302,2,FALSE)),"",VLOOKUP(A372,'75m'!F$5:G$302,2,FALSE)))</f>
        <v/>
      </c>
      <c r="G372" s="49">
        <f>IF(B372="",0,IF(ISNA(_xlfn.XLOOKUP(A372,'75m'!F$5:F$302,'75m'!M$5:M$302)),0,_xlfn.XLOOKUP(A372,'75m'!F$5:F$302,'75m'!M$5:M$302)))</f>
        <v>0</v>
      </c>
      <c r="H372" s="49" t="str">
        <f>IF(B372="","",IF(ISNA(VLOOKUP(A372,'75m'!F$5:K$302,6,FALSE)),"",VLOOKUP(A372,'75m'!F$5:K$302,6,FALSE)))</f>
        <v/>
      </c>
      <c r="I372" s="51">
        <f>IF(B372="",0,IF(ISNA(VLOOKUP(A372,'600m'!F$5:J$302,2,FALSE)),0,VLOOKUP(A372,'600m'!F$5:J$302,2,FALSE)))</f>
        <v>0</v>
      </c>
      <c r="J372" s="49">
        <f>IF(B372="",0,IF(ISNA(_xlfn.XLOOKUP(A372,'600m'!F$5:F$302,'600m'!M$5:M$302)),0,_xlfn.XLOOKUP(A372,'600m'!F$5:F$302,'600m'!M$5:M$302)))</f>
        <v>0</v>
      </c>
      <c r="K372" s="49" t="str">
        <f>IF(B372="","",IF(ISNA(VLOOKUP(A372,'600m'!F$5:K$302,6,FALSE)),"",VLOOKUP(A372,'600m'!F$5:K$302,6,FALSE)))</f>
        <v/>
      </c>
      <c r="L372" s="49" t="str">
        <f>IF(B372="","",IF(ISNA(VLOOKUP(A372,LongJump!F$5:G$302,2,FALSE)),"",VLOOKUP(A372,LongJump!F$5:G$302,2,FALSE)))</f>
        <v/>
      </c>
      <c r="M372" s="49">
        <f>IF(B372="",0,IF(ISNA(_xlfn.XLOOKUP(A372,LongJump!F$5:F$302,LongJump!M$5:M$302)),0,_xlfn.XLOOKUP(A372,LongJump!F$5:F$302,LongJump!M$5:M$302)))</f>
        <v>0</v>
      </c>
      <c r="N372" s="49" t="str">
        <f>IF(B372="","",IF(ISNA(VLOOKUP(A372,LongJump!F$5:K$302,6,FALSE)),0,VLOOKUP(A372,LongJump!F$5:K$302,6,FALSE)))</f>
        <v/>
      </c>
      <c r="O372" s="49" t="str">
        <f>IF(B372="","",IF(ISNA(VLOOKUP(A372,Vortex!F$5:J$302,2,FALSE)),"",VLOOKUP(A372,Vortex!F$5:J$302,2,FALSE)))</f>
        <v/>
      </c>
      <c r="P372" s="49">
        <f>IF(B372="",0,IF(ISNA(_xlfn.XLOOKUP(A372,Vortex!F$5:F$302,Vortex!M$5:M$302)),0,_xlfn.XLOOKUP(A372,Vortex!F$5:F$302,Vortex!M$5:M$302)))</f>
        <v>0</v>
      </c>
      <c r="Q372" s="49">
        <f t="shared" si="27"/>
        <v>0</v>
      </c>
      <c r="R372" s="49" t="str">
        <f t="shared" si="28"/>
        <v/>
      </c>
      <c r="S372" s="49" t="str">
        <f t="shared" si="29"/>
        <v/>
      </c>
      <c r="T372" s="49" t="str">
        <f t="shared" si="30"/>
        <v/>
      </c>
      <c r="U372" s="49" t="str">
        <f t="shared" si="31"/>
        <v/>
      </c>
    </row>
    <row r="373" spans="1:21">
      <c r="A373" s="49">
        <f>IF(Declarations!B130=0,"",Declarations!B130)</f>
        <v>125</v>
      </c>
      <c r="B373" s="150" t="str">
        <f>IF(ISNA(VLOOKUP(A373,Declarations!B$6:C$185,2,FALSE)),"",IF(VLOOKUP(A373,Declarations!B$6:C$185,2,FALSE)="","",VLOOKUP(A373,Declarations!B$6:C$185,2,FALSE)))</f>
        <v/>
      </c>
      <c r="C373" s="150" t="str">
        <f>IF(ISNA(VLOOKUP(A373,Declarations!B$6:F$185,5,FALSE)),"",IF(VLOOKUP(A373,Declarations!B$6:F$185,5,FALSE)="","",VLOOKUP(A373,Declarations!B$6:F$185,5,FALSE)))</f>
        <v/>
      </c>
      <c r="D373" s="150" t="str">
        <f>IF(ISNA(VLOOKUP(A373,Declarations!B$6:F$185,4,FALSE)),"",IF(VLOOKUP(A373,Declarations!B$6:F$185,4,FALSE)="","",VLOOKUP(A373,Declarations!B$6:F$185,4,FALSE)))</f>
        <v>GIRLS</v>
      </c>
      <c r="E373" s="150" t="str">
        <f>IF(ISNA(VLOOKUP(A373,Declarations!B$6:D$185,3,FALSE)),"",IF(VLOOKUP(A373,Declarations!B$6:D$185,3,FALSE)="","",VLOOKUP(A373,Declarations!B$6:D$185,3,FALSE)))</f>
        <v>U12</v>
      </c>
      <c r="F373" s="49" t="str">
        <f>IF(B373="","",IF(ISNA(VLOOKUP(A373,'75m'!F$5:G$302,2,FALSE)),"",VLOOKUP(A373,'75m'!F$5:G$302,2,FALSE)))</f>
        <v/>
      </c>
      <c r="G373" s="49">
        <f>IF(B373="",0,IF(ISNA(_xlfn.XLOOKUP(A373,'75m'!F$5:F$302,'75m'!M$5:M$302)),0,_xlfn.XLOOKUP(A373,'75m'!F$5:F$302,'75m'!M$5:M$302)))</f>
        <v>0</v>
      </c>
      <c r="H373" s="49" t="str">
        <f>IF(B373="","",IF(ISNA(VLOOKUP(A373,'75m'!F$5:K$302,6,FALSE)),"",VLOOKUP(A373,'75m'!F$5:K$302,6,FALSE)))</f>
        <v/>
      </c>
      <c r="I373" s="51">
        <f>IF(B373="",0,IF(ISNA(VLOOKUP(A373,'600m'!F$5:J$302,2,FALSE)),0,VLOOKUP(A373,'600m'!F$5:J$302,2,FALSE)))</f>
        <v>0</v>
      </c>
      <c r="J373" s="49">
        <f>IF(B373="",0,IF(ISNA(_xlfn.XLOOKUP(A373,'600m'!F$5:F$302,'600m'!M$5:M$302)),0,_xlfn.XLOOKUP(A373,'600m'!F$5:F$302,'600m'!M$5:M$302)))</f>
        <v>0</v>
      </c>
      <c r="K373" s="49" t="str">
        <f>IF(B373="","",IF(ISNA(VLOOKUP(A373,'600m'!F$5:K$302,6,FALSE)),"",VLOOKUP(A373,'600m'!F$5:K$302,6,FALSE)))</f>
        <v/>
      </c>
      <c r="L373" s="49" t="str">
        <f>IF(B373="","",IF(ISNA(VLOOKUP(A373,LongJump!F$5:G$302,2,FALSE)),"",VLOOKUP(A373,LongJump!F$5:G$302,2,FALSE)))</f>
        <v/>
      </c>
      <c r="M373" s="49">
        <f>IF(B373="",0,IF(ISNA(_xlfn.XLOOKUP(A373,LongJump!F$5:F$302,LongJump!M$5:M$302)),0,_xlfn.XLOOKUP(A373,LongJump!F$5:F$302,LongJump!M$5:M$302)))</f>
        <v>0</v>
      </c>
      <c r="N373" s="49" t="str">
        <f>IF(B373="","",IF(ISNA(VLOOKUP(A373,LongJump!F$5:K$302,6,FALSE)),0,VLOOKUP(A373,LongJump!F$5:K$302,6,FALSE)))</f>
        <v/>
      </c>
      <c r="O373" s="49" t="str">
        <f>IF(B373="","",IF(ISNA(VLOOKUP(A373,Vortex!F$5:J$302,2,FALSE)),"",VLOOKUP(A373,Vortex!F$5:J$302,2,FALSE)))</f>
        <v/>
      </c>
      <c r="P373" s="49">
        <f>IF(B373="",0,IF(ISNA(_xlfn.XLOOKUP(A373,Vortex!F$5:F$302,Vortex!M$5:M$302)),0,_xlfn.XLOOKUP(A373,Vortex!F$5:F$302,Vortex!M$5:M$302)))</f>
        <v>0</v>
      </c>
      <c r="Q373" s="49">
        <f t="shared" si="27"/>
        <v>0</v>
      </c>
      <c r="R373" s="49" t="str">
        <f t="shared" si="28"/>
        <v/>
      </c>
      <c r="S373" s="49" t="str">
        <f t="shared" si="29"/>
        <v/>
      </c>
      <c r="T373" s="49" t="str">
        <f t="shared" si="30"/>
        <v/>
      </c>
      <c r="U373" s="49" t="str">
        <f t="shared" si="31"/>
        <v/>
      </c>
    </row>
    <row r="374" spans="1:21">
      <c r="A374" s="49">
        <f>IF(Declarations!B131=0,"",Declarations!B131)</f>
        <v>126</v>
      </c>
      <c r="B374" s="150" t="str">
        <f>IF(ISNA(VLOOKUP(A374,Declarations!B$6:C$185,2,FALSE)),"",IF(VLOOKUP(A374,Declarations!B$6:C$185,2,FALSE)="","",VLOOKUP(A374,Declarations!B$6:C$185,2,FALSE)))</f>
        <v/>
      </c>
      <c r="C374" s="150" t="str">
        <f>IF(ISNA(VLOOKUP(A374,Declarations!B$6:F$185,5,FALSE)),"",IF(VLOOKUP(A374,Declarations!B$6:F$185,5,FALSE)="","",VLOOKUP(A374,Declarations!B$6:F$185,5,FALSE)))</f>
        <v/>
      </c>
      <c r="D374" s="150" t="str">
        <f>IF(ISNA(VLOOKUP(A374,Declarations!B$6:F$185,4,FALSE)),"",IF(VLOOKUP(A374,Declarations!B$6:F$185,4,FALSE)="","",VLOOKUP(A374,Declarations!B$6:F$185,4,FALSE)))</f>
        <v>GIRLS</v>
      </c>
      <c r="E374" s="150" t="str">
        <f>IF(ISNA(VLOOKUP(A374,Declarations!B$6:D$185,3,FALSE)),"",IF(VLOOKUP(A374,Declarations!B$6:D$185,3,FALSE)="","",VLOOKUP(A374,Declarations!B$6:D$185,3,FALSE)))</f>
        <v>U12</v>
      </c>
      <c r="F374" s="49" t="str">
        <f>IF(B374="","",IF(ISNA(VLOOKUP(A374,'75m'!F$5:G$302,2,FALSE)),"",VLOOKUP(A374,'75m'!F$5:G$302,2,FALSE)))</f>
        <v/>
      </c>
      <c r="G374" s="49">
        <f>IF(B374="",0,IF(ISNA(_xlfn.XLOOKUP(A374,'75m'!F$5:F$302,'75m'!M$5:M$302)),0,_xlfn.XLOOKUP(A374,'75m'!F$5:F$302,'75m'!M$5:M$302)))</f>
        <v>0</v>
      </c>
      <c r="H374" s="49" t="str">
        <f>IF(B374="","",IF(ISNA(VLOOKUP(A374,'75m'!F$5:K$302,6,FALSE)),"",VLOOKUP(A374,'75m'!F$5:K$302,6,FALSE)))</f>
        <v/>
      </c>
      <c r="I374" s="51">
        <f>IF(B374="",0,IF(ISNA(VLOOKUP(A374,'600m'!F$5:J$302,2,FALSE)),0,VLOOKUP(A374,'600m'!F$5:J$302,2,FALSE)))</f>
        <v>0</v>
      </c>
      <c r="J374" s="49">
        <f>IF(B374="",0,IF(ISNA(_xlfn.XLOOKUP(A374,'600m'!F$5:F$302,'600m'!M$5:M$302)),0,_xlfn.XLOOKUP(A374,'600m'!F$5:F$302,'600m'!M$5:M$302)))</f>
        <v>0</v>
      </c>
      <c r="K374" s="49" t="str">
        <f>IF(B374="","",IF(ISNA(VLOOKUP(A374,'600m'!F$5:K$302,6,FALSE)),"",VLOOKUP(A374,'600m'!F$5:K$302,6,FALSE)))</f>
        <v/>
      </c>
      <c r="L374" s="49" t="str">
        <f>IF(B374="","",IF(ISNA(VLOOKUP(A374,LongJump!F$5:G$302,2,FALSE)),"",VLOOKUP(A374,LongJump!F$5:G$302,2,FALSE)))</f>
        <v/>
      </c>
      <c r="M374" s="49">
        <f>IF(B374="",0,IF(ISNA(_xlfn.XLOOKUP(A374,LongJump!F$5:F$302,LongJump!M$5:M$302)),0,_xlfn.XLOOKUP(A374,LongJump!F$5:F$302,LongJump!M$5:M$302)))</f>
        <v>0</v>
      </c>
      <c r="N374" s="49" t="str">
        <f>IF(B374="","",IF(ISNA(VLOOKUP(A374,LongJump!F$5:K$302,6,FALSE)),0,VLOOKUP(A374,LongJump!F$5:K$302,6,FALSE)))</f>
        <v/>
      </c>
      <c r="O374" s="49" t="str">
        <f>IF(B374="","",IF(ISNA(VLOOKUP(A374,Vortex!F$5:J$302,2,FALSE)),"",VLOOKUP(A374,Vortex!F$5:J$302,2,FALSE)))</f>
        <v/>
      </c>
      <c r="P374" s="49">
        <f>IF(B374="",0,IF(ISNA(_xlfn.XLOOKUP(A374,Vortex!F$5:F$302,Vortex!M$5:M$302)),0,_xlfn.XLOOKUP(A374,Vortex!F$5:F$302,Vortex!M$5:M$302)))</f>
        <v>0</v>
      </c>
      <c r="Q374" s="49">
        <f t="shared" si="27"/>
        <v>0</v>
      </c>
      <c r="R374" s="49" t="str">
        <f t="shared" si="28"/>
        <v/>
      </c>
      <c r="S374" s="49" t="str">
        <f t="shared" si="29"/>
        <v/>
      </c>
      <c r="T374" s="49" t="str">
        <f t="shared" si="30"/>
        <v/>
      </c>
      <c r="U374" s="49" t="str">
        <f t="shared" si="31"/>
        <v/>
      </c>
    </row>
    <row r="375" spans="1:21">
      <c r="A375" s="49">
        <f>IF(Declarations!B132=0,"",Declarations!B132)</f>
        <v>127</v>
      </c>
      <c r="B375" s="150" t="str">
        <f>IF(ISNA(VLOOKUP(A375,Declarations!B$6:C$185,2,FALSE)),"",IF(VLOOKUP(A375,Declarations!B$6:C$185,2,FALSE)="","",VLOOKUP(A375,Declarations!B$6:C$185,2,FALSE)))</f>
        <v/>
      </c>
      <c r="C375" s="150" t="str">
        <f>IF(ISNA(VLOOKUP(A375,Declarations!B$6:F$185,5,FALSE)),"",IF(VLOOKUP(A375,Declarations!B$6:F$185,5,FALSE)="","",VLOOKUP(A375,Declarations!B$6:F$185,5,FALSE)))</f>
        <v/>
      </c>
      <c r="D375" s="150" t="str">
        <f>IF(ISNA(VLOOKUP(A375,Declarations!B$6:F$185,4,FALSE)),"",IF(VLOOKUP(A375,Declarations!B$6:F$185,4,FALSE)="","",VLOOKUP(A375,Declarations!B$6:F$185,4,FALSE)))</f>
        <v>GIRLS</v>
      </c>
      <c r="E375" s="150" t="str">
        <f>IF(ISNA(VLOOKUP(A375,Declarations!B$6:D$185,3,FALSE)),"",IF(VLOOKUP(A375,Declarations!B$6:D$185,3,FALSE)="","",VLOOKUP(A375,Declarations!B$6:D$185,3,FALSE)))</f>
        <v>U12</v>
      </c>
      <c r="F375" s="49" t="str">
        <f>IF(B375="","",IF(ISNA(VLOOKUP(A375,'75m'!F$5:G$302,2,FALSE)),"",VLOOKUP(A375,'75m'!F$5:G$302,2,FALSE)))</f>
        <v/>
      </c>
      <c r="G375" s="49">
        <f>IF(B375="",0,IF(ISNA(_xlfn.XLOOKUP(A375,'75m'!F$5:F$302,'75m'!M$5:M$302)),0,_xlfn.XLOOKUP(A375,'75m'!F$5:F$302,'75m'!M$5:M$302)))</f>
        <v>0</v>
      </c>
      <c r="H375" s="49" t="str">
        <f>IF(B375="","",IF(ISNA(VLOOKUP(A375,'75m'!F$5:K$302,6,FALSE)),"",VLOOKUP(A375,'75m'!F$5:K$302,6,FALSE)))</f>
        <v/>
      </c>
      <c r="I375" s="51">
        <f>IF(B375="",0,IF(ISNA(VLOOKUP(A375,'600m'!F$5:J$302,2,FALSE)),0,VLOOKUP(A375,'600m'!F$5:J$302,2,FALSE)))</f>
        <v>0</v>
      </c>
      <c r="J375" s="49">
        <f>IF(B375="",0,IF(ISNA(_xlfn.XLOOKUP(A375,'600m'!F$5:F$302,'600m'!M$5:M$302)),0,_xlfn.XLOOKUP(A375,'600m'!F$5:F$302,'600m'!M$5:M$302)))</f>
        <v>0</v>
      </c>
      <c r="K375" s="49" t="str">
        <f>IF(B375="","",IF(ISNA(VLOOKUP(A375,'600m'!F$5:K$302,6,FALSE)),"",VLOOKUP(A375,'600m'!F$5:K$302,6,FALSE)))</f>
        <v/>
      </c>
      <c r="L375" s="49" t="str">
        <f>IF(B375="","",IF(ISNA(VLOOKUP(A375,LongJump!F$5:G$302,2,FALSE)),"",VLOOKUP(A375,LongJump!F$5:G$302,2,FALSE)))</f>
        <v/>
      </c>
      <c r="M375" s="49">
        <f>IF(B375="",0,IF(ISNA(_xlfn.XLOOKUP(A375,LongJump!F$5:F$302,LongJump!M$5:M$302)),0,_xlfn.XLOOKUP(A375,LongJump!F$5:F$302,LongJump!M$5:M$302)))</f>
        <v>0</v>
      </c>
      <c r="N375" s="49" t="str">
        <f>IF(B375="","",IF(ISNA(VLOOKUP(A375,LongJump!F$5:K$302,6,FALSE)),0,VLOOKUP(A375,LongJump!F$5:K$302,6,FALSE)))</f>
        <v/>
      </c>
      <c r="O375" s="49" t="str">
        <f>IF(B375="","",IF(ISNA(VLOOKUP(A375,Vortex!F$5:J$302,2,FALSE)),"",VLOOKUP(A375,Vortex!F$5:J$302,2,FALSE)))</f>
        <v/>
      </c>
      <c r="P375" s="49">
        <f>IF(B375="",0,IF(ISNA(_xlfn.XLOOKUP(A375,Vortex!F$5:F$302,Vortex!M$5:M$302)),0,_xlfn.XLOOKUP(A375,Vortex!F$5:F$302,Vortex!M$5:M$302)))</f>
        <v>0</v>
      </c>
      <c r="Q375" s="49">
        <f t="shared" si="27"/>
        <v>0</v>
      </c>
      <c r="R375" s="49" t="str">
        <f t="shared" si="28"/>
        <v/>
      </c>
      <c r="S375" s="49" t="str">
        <f t="shared" si="29"/>
        <v/>
      </c>
      <c r="T375" s="49" t="str">
        <f t="shared" si="30"/>
        <v/>
      </c>
      <c r="U375" s="49" t="str">
        <f t="shared" si="31"/>
        <v/>
      </c>
    </row>
    <row r="376" spans="1:21">
      <c r="A376" s="49">
        <f>IF(Declarations!B133=0,"",Declarations!B133)</f>
        <v>128</v>
      </c>
      <c r="B376" s="150" t="str">
        <f>IF(ISNA(VLOOKUP(A376,Declarations!B$6:C$185,2,FALSE)),"",IF(VLOOKUP(A376,Declarations!B$6:C$185,2,FALSE)="","",VLOOKUP(A376,Declarations!B$6:C$185,2,FALSE)))</f>
        <v/>
      </c>
      <c r="C376" s="150" t="str">
        <f>IF(ISNA(VLOOKUP(A376,Declarations!B$6:F$185,5,FALSE)),"",IF(VLOOKUP(A376,Declarations!B$6:F$185,5,FALSE)="","",VLOOKUP(A376,Declarations!B$6:F$185,5,FALSE)))</f>
        <v/>
      </c>
      <c r="D376" s="150" t="str">
        <f>IF(ISNA(VLOOKUP(A376,Declarations!B$6:F$185,4,FALSE)),"",IF(VLOOKUP(A376,Declarations!B$6:F$185,4,FALSE)="","",VLOOKUP(A376,Declarations!B$6:F$185,4,FALSE)))</f>
        <v>GIRLS</v>
      </c>
      <c r="E376" s="150" t="str">
        <f>IF(ISNA(VLOOKUP(A376,Declarations!B$6:D$185,3,FALSE)),"",IF(VLOOKUP(A376,Declarations!B$6:D$185,3,FALSE)="","",VLOOKUP(A376,Declarations!B$6:D$185,3,FALSE)))</f>
        <v>U12</v>
      </c>
      <c r="F376" s="49" t="str">
        <f>IF(B376="","",IF(ISNA(VLOOKUP(A376,'75m'!F$5:G$302,2,FALSE)),"",VLOOKUP(A376,'75m'!F$5:G$302,2,FALSE)))</f>
        <v/>
      </c>
      <c r="G376" s="49">
        <f>IF(B376="",0,IF(ISNA(_xlfn.XLOOKUP(A376,'75m'!F$5:F$302,'75m'!M$5:M$302)),0,_xlfn.XLOOKUP(A376,'75m'!F$5:F$302,'75m'!M$5:M$302)))</f>
        <v>0</v>
      </c>
      <c r="H376" s="49" t="str">
        <f>IF(B376="","",IF(ISNA(VLOOKUP(A376,'75m'!F$5:K$302,6,FALSE)),"",VLOOKUP(A376,'75m'!F$5:K$302,6,FALSE)))</f>
        <v/>
      </c>
      <c r="I376" s="51">
        <f>IF(B376="",0,IF(ISNA(VLOOKUP(A376,'600m'!F$5:J$302,2,FALSE)),0,VLOOKUP(A376,'600m'!F$5:J$302,2,FALSE)))</f>
        <v>0</v>
      </c>
      <c r="J376" s="49">
        <f>IF(B376="",0,IF(ISNA(_xlfn.XLOOKUP(A376,'600m'!F$5:F$302,'600m'!M$5:M$302)),0,_xlfn.XLOOKUP(A376,'600m'!F$5:F$302,'600m'!M$5:M$302)))</f>
        <v>0</v>
      </c>
      <c r="K376" s="49" t="str">
        <f>IF(B376="","",IF(ISNA(VLOOKUP(A376,'600m'!F$5:K$302,6,FALSE)),"",VLOOKUP(A376,'600m'!F$5:K$302,6,FALSE)))</f>
        <v/>
      </c>
      <c r="L376" s="49" t="str">
        <f>IF(B376="","",IF(ISNA(VLOOKUP(A376,LongJump!F$5:G$302,2,FALSE)),"",VLOOKUP(A376,LongJump!F$5:G$302,2,FALSE)))</f>
        <v/>
      </c>
      <c r="M376" s="49">
        <f>IF(B376="",0,IF(ISNA(_xlfn.XLOOKUP(A376,LongJump!F$5:F$302,LongJump!M$5:M$302)),0,_xlfn.XLOOKUP(A376,LongJump!F$5:F$302,LongJump!M$5:M$302)))</f>
        <v>0</v>
      </c>
      <c r="N376" s="49" t="str">
        <f>IF(B376="","",IF(ISNA(VLOOKUP(A376,LongJump!F$5:K$302,6,FALSE)),0,VLOOKUP(A376,LongJump!F$5:K$302,6,FALSE)))</f>
        <v/>
      </c>
      <c r="O376" s="49" t="str">
        <f>IF(B376="","",IF(ISNA(VLOOKUP(A376,Vortex!F$5:J$302,2,FALSE)),"",VLOOKUP(A376,Vortex!F$5:J$302,2,FALSE)))</f>
        <v/>
      </c>
      <c r="P376" s="49">
        <f>IF(B376="",0,IF(ISNA(_xlfn.XLOOKUP(A376,Vortex!F$5:F$302,Vortex!M$5:M$302)),0,_xlfn.XLOOKUP(A376,Vortex!F$5:F$302,Vortex!M$5:M$302)))</f>
        <v>0</v>
      </c>
      <c r="Q376" s="49">
        <f t="shared" si="27"/>
        <v>0</v>
      </c>
      <c r="R376" s="49" t="str">
        <f t="shared" si="28"/>
        <v/>
      </c>
      <c r="S376" s="49" t="str">
        <f t="shared" si="29"/>
        <v/>
      </c>
      <c r="T376" s="49" t="str">
        <f t="shared" si="30"/>
        <v/>
      </c>
      <c r="U376" s="49" t="str">
        <f t="shared" si="31"/>
        <v/>
      </c>
    </row>
    <row r="377" spans="1:21">
      <c r="A377" s="49">
        <f>IF(Declarations!B134=0,"",Declarations!B134)</f>
        <v>129</v>
      </c>
      <c r="B377" s="150" t="str">
        <f>IF(ISNA(VLOOKUP(A377,Declarations!B$6:C$185,2,FALSE)),"",IF(VLOOKUP(A377,Declarations!B$6:C$185,2,FALSE)="","",VLOOKUP(A377,Declarations!B$6:C$185,2,FALSE)))</f>
        <v/>
      </c>
      <c r="C377" s="150" t="str">
        <f>IF(ISNA(VLOOKUP(A377,Declarations!B$6:F$185,5,FALSE)),"",IF(VLOOKUP(A377,Declarations!B$6:F$185,5,FALSE)="","",VLOOKUP(A377,Declarations!B$6:F$185,5,FALSE)))</f>
        <v/>
      </c>
      <c r="D377" s="150" t="str">
        <f>IF(ISNA(VLOOKUP(A377,Declarations!B$6:F$185,4,FALSE)),"",IF(VLOOKUP(A377,Declarations!B$6:F$185,4,FALSE)="","",VLOOKUP(A377,Declarations!B$6:F$185,4,FALSE)))</f>
        <v>GIRLS</v>
      </c>
      <c r="E377" s="150" t="str">
        <f>IF(ISNA(VLOOKUP(A377,Declarations!B$6:D$185,3,FALSE)),"",IF(VLOOKUP(A377,Declarations!B$6:D$185,3,FALSE)="","",VLOOKUP(A377,Declarations!B$6:D$185,3,FALSE)))</f>
        <v>U12</v>
      </c>
      <c r="F377" s="49" t="str">
        <f>IF(B377="","",IF(ISNA(VLOOKUP(A377,'75m'!F$5:G$302,2,FALSE)),"",VLOOKUP(A377,'75m'!F$5:G$302,2,FALSE)))</f>
        <v/>
      </c>
      <c r="G377" s="49">
        <f>IF(B377="",0,IF(ISNA(_xlfn.XLOOKUP(A377,'75m'!F$5:F$302,'75m'!M$5:M$302)),0,_xlfn.XLOOKUP(A377,'75m'!F$5:F$302,'75m'!M$5:M$302)))</f>
        <v>0</v>
      </c>
      <c r="H377" s="49" t="str">
        <f>IF(B377="","",IF(ISNA(VLOOKUP(A377,'75m'!F$5:K$302,6,FALSE)),"",VLOOKUP(A377,'75m'!F$5:K$302,6,FALSE)))</f>
        <v/>
      </c>
      <c r="I377" s="51">
        <f>IF(B377="",0,IF(ISNA(VLOOKUP(A377,'600m'!F$5:J$302,2,FALSE)),0,VLOOKUP(A377,'600m'!F$5:J$302,2,FALSE)))</f>
        <v>0</v>
      </c>
      <c r="J377" s="49">
        <f>IF(B377="",0,IF(ISNA(_xlfn.XLOOKUP(A377,'600m'!F$5:F$302,'600m'!M$5:M$302)),0,_xlfn.XLOOKUP(A377,'600m'!F$5:F$302,'600m'!M$5:M$302)))</f>
        <v>0</v>
      </c>
      <c r="K377" s="49" t="str">
        <f>IF(B377="","",IF(ISNA(VLOOKUP(A377,'600m'!F$5:K$302,6,FALSE)),"",VLOOKUP(A377,'600m'!F$5:K$302,6,FALSE)))</f>
        <v/>
      </c>
      <c r="L377" s="49" t="str">
        <f>IF(B377="","",IF(ISNA(VLOOKUP(A377,LongJump!F$5:G$302,2,FALSE)),"",VLOOKUP(A377,LongJump!F$5:G$302,2,FALSE)))</f>
        <v/>
      </c>
      <c r="M377" s="49">
        <f>IF(B377="",0,IF(ISNA(_xlfn.XLOOKUP(A377,LongJump!F$5:F$302,LongJump!M$5:M$302)),0,_xlfn.XLOOKUP(A377,LongJump!F$5:F$302,LongJump!M$5:M$302)))</f>
        <v>0</v>
      </c>
      <c r="N377" s="49" t="str">
        <f>IF(B377="","",IF(ISNA(VLOOKUP(A377,LongJump!F$5:K$302,6,FALSE)),0,VLOOKUP(A377,LongJump!F$5:K$302,6,FALSE)))</f>
        <v/>
      </c>
      <c r="O377" s="49" t="str">
        <f>IF(B377="","",IF(ISNA(VLOOKUP(A377,Vortex!F$5:J$302,2,FALSE)),"",VLOOKUP(A377,Vortex!F$5:J$302,2,FALSE)))</f>
        <v/>
      </c>
      <c r="P377" s="49">
        <f>IF(B377="",0,IF(ISNA(_xlfn.XLOOKUP(A377,Vortex!F$5:F$302,Vortex!M$5:M$302)),0,_xlfn.XLOOKUP(A377,Vortex!F$5:F$302,Vortex!M$5:M$302)))</f>
        <v>0</v>
      </c>
      <c r="Q377" s="49">
        <f t="shared" si="27"/>
        <v>0</v>
      </c>
      <c r="R377" s="49" t="str">
        <f t="shared" si="28"/>
        <v/>
      </c>
      <c r="S377" s="49" t="str">
        <f t="shared" si="29"/>
        <v/>
      </c>
      <c r="T377" s="49" t="str">
        <f t="shared" si="30"/>
        <v/>
      </c>
      <c r="U377" s="49" t="str">
        <f t="shared" si="31"/>
        <v/>
      </c>
    </row>
    <row r="378" spans="1:21">
      <c r="A378" s="49">
        <f>IF(Declarations!B135=0,"",Declarations!B135)</f>
        <v>130</v>
      </c>
      <c r="B378" s="150" t="str">
        <f>IF(ISNA(VLOOKUP(A378,Declarations!B$6:C$185,2,FALSE)),"",IF(VLOOKUP(A378,Declarations!B$6:C$185,2,FALSE)="","",VLOOKUP(A378,Declarations!B$6:C$185,2,FALSE)))</f>
        <v/>
      </c>
      <c r="C378" s="150" t="str">
        <f>IF(ISNA(VLOOKUP(A378,Declarations!B$6:F$185,5,FALSE)),"",IF(VLOOKUP(A378,Declarations!B$6:F$185,5,FALSE)="","",VLOOKUP(A378,Declarations!B$6:F$185,5,FALSE)))</f>
        <v/>
      </c>
      <c r="D378" s="150" t="str">
        <f>IF(ISNA(VLOOKUP(A378,Declarations!B$6:F$185,4,FALSE)),"",IF(VLOOKUP(A378,Declarations!B$6:F$185,4,FALSE)="","",VLOOKUP(A378,Declarations!B$6:F$185,4,FALSE)))</f>
        <v>GIRLS</v>
      </c>
      <c r="E378" s="150" t="str">
        <f>IF(ISNA(VLOOKUP(A378,Declarations!B$6:D$185,3,FALSE)),"",IF(VLOOKUP(A378,Declarations!B$6:D$185,3,FALSE)="","",VLOOKUP(A378,Declarations!B$6:D$185,3,FALSE)))</f>
        <v>U12</v>
      </c>
      <c r="F378" s="49" t="str">
        <f>IF(B378="","",IF(ISNA(VLOOKUP(A378,'75m'!F$5:G$302,2,FALSE)),"",VLOOKUP(A378,'75m'!F$5:G$302,2,FALSE)))</f>
        <v/>
      </c>
      <c r="G378" s="49">
        <f>IF(B378="",0,IF(ISNA(_xlfn.XLOOKUP(A378,'75m'!F$5:F$302,'75m'!M$5:M$302)),0,_xlfn.XLOOKUP(A378,'75m'!F$5:F$302,'75m'!M$5:M$302)))</f>
        <v>0</v>
      </c>
      <c r="H378" s="49" t="str">
        <f>IF(B378="","",IF(ISNA(VLOOKUP(A378,'75m'!F$5:K$302,6,FALSE)),"",VLOOKUP(A378,'75m'!F$5:K$302,6,FALSE)))</f>
        <v/>
      </c>
      <c r="I378" s="51">
        <f>IF(B378="",0,IF(ISNA(VLOOKUP(A378,'600m'!F$5:J$302,2,FALSE)),0,VLOOKUP(A378,'600m'!F$5:J$302,2,FALSE)))</f>
        <v>0</v>
      </c>
      <c r="J378" s="49">
        <f>IF(B378="",0,IF(ISNA(_xlfn.XLOOKUP(A378,'600m'!F$5:F$302,'600m'!M$5:M$302)),0,_xlfn.XLOOKUP(A378,'600m'!F$5:F$302,'600m'!M$5:M$302)))</f>
        <v>0</v>
      </c>
      <c r="K378" s="49" t="str">
        <f>IF(B378="","",IF(ISNA(VLOOKUP(A378,'600m'!F$5:K$302,6,FALSE)),"",VLOOKUP(A378,'600m'!F$5:K$302,6,FALSE)))</f>
        <v/>
      </c>
      <c r="L378" s="49" t="str">
        <f>IF(B378="","",IF(ISNA(VLOOKUP(A378,LongJump!F$5:G$302,2,FALSE)),"",VLOOKUP(A378,LongJump!F$5:G$302,2,FALSE)))</f>
        <v/>
      </c>
      <c r="M378" s="49">
        <f>IF(B378="",0,IF(ISNA(_xlfn.XLOOKUP(A378,LongJump!F$5:F$302,LongJump!M$5:M$302)),0,_xlfn.XLOOKUP(A378,LongJump!F$5:F$302,LongJump!M$5:M$302)))</f>
        <v>0</v>
      </c>
      <c r="N378" s="49" t="str">
        <f>IF(B378="","",IF(ISNA(VLOOKUP(A378,LongJump!F$5:K$302,6,FALSE)),0,VLOOKUP(A378,LongJump!F$5:K$302,6,FALSE)))</f>
        <v/>
      </c>
      <c r="O378" s="49" t="str">
        <f>IF(B378="","",IF(ISNA(VLOOKUP(A378,Vortex!F$5:J$302,2,FALSE)),"",VLOOKUP(A378,Vortex!F$5:J$302,2,FALSE)))</f>
        <v/>
      </c>
      <c r="P378" s="49">
        <f>IF(B378="",0,IF(ISNA(_xlfn.XLOOKUP(A378,Vortex!F$5:F$302,Vortex!M$5:M$302)),0,_xlfn.XLOOKUP(A378,Vortex!F$5:F$302,Vortex!M$5:M$302)))</f>
        <v>0</v>
      </c>
      <c r="Q378" s="49">
        <f t="shared" ref="Q378:Q441" si="32">G378+J378+M378+P378</f>
        <v>0</v>
      </c>
      <c r="R378" s="49" t="str">
        <f t="shared" ref="R378:R441" si="33">IF(OR($Q378=0,$E378&lt;&gt;"U10"),"",COUNTIFS($C$249:$C$536, $C378, $D$249:$D$536, $D378, $E$249:$E$536, $E378, $Q$249:$Q$536,"&gt;"&amp;$Q378)+1)</f>
        <v/>
      </c>
      <c r="S378" s="49" t="str">
        <f t="shared" ref="S378:S441" si="34">IF(OR($Q378=0,$E378&lt;&gt;"U12"),"",COUNTIFS($C$249:$C$536, $C378, $D$249:$D$536, $D378, $E$249:$E$536, $E378, $Q$249:$Q$536,"&gt;"&amp;$Q378)+1)</f>
        <v/>
      </c>
      <c r="T378" s="49" t="str">
        <f t="shared" ref="T378:T441" si="35">IF(OR($Q378=0,$E378&lt;&gt;"U10"),"",COUNTIFS($D$249:$D$536, $D378,$E$249:$E$536,$E378,$Q$249:$Q$536,"&gt;"&amp;$Q378)+1)</f>
        <v/>
      </c>
      <c r="U378" s="49" t="str">
        <f t="shared" ref="U378:U441" si="36">IF(OR($Q378=0,$E378&lt;&gt;"U12"),"",COUNTIFS($D$249:$D$536, $D378,$E$249:$E$536,$E378,$Q$249:$Q$536,"&gt;"&amp;$Q378)+1)</f>
        <v/>
      </c>
    </row>
    <row r="379" spans="1:21">
      <c r="A379" s="49">
        <f>IF(Declarations!B136=0,"",Declarations!B136)</f>
        <v>131</v>
      </c>
      <c r="B379" s="150" t="str">
        <f>IF(ISNA(VLOOKUP(A379,Declarations!B$6:C$185,2,FALSE)),"",IF(VLOOKUP(A379,Declarations!B$6:C$185,2,FALSE)="","",VLOOKUP(A379,Declarations!B$6:C$185,2,FALSE)))</f>
        <v/>
      </c>
      <c r="C379" s="150" t="str">
        <f>IF(ISNA(VLOOKUP(A379,Declarations!B$6:F$185,5,FALSE)),"",IF(VLOOKUP(A379,Declarations!B$6:F$185,5,FALSE)="","",VLOOKUP(A379,Declarations!B$6:F$185,5,FALSE)))</f>
        <v/>
      </c>
      <c r="D379" s="150" t="str">
        <f>IF(ISNA(VLOOKUP(A379,Declarations!B$6:F$185,4,FALSE)),"",IF(VLOOKUP(A379,Declarations!B$6:F$185,4,FALSE)="","",VLOOKUP(A379,Declarations!B$6:F$185,4,FALSE)))</f>
        <v>BOYS</v>
      </c>
      <c r="E379" s="150" t="str">
        <f>IF(ISNA(VLOOKUP(A379,Declarations!B$6:D$185,3,FALSE)),"",IF(VLOOKUP(A379,Declarations!B$6:D$185,3,FALSE)="","",VLOOKUP(A379,Declarations!B$6:D$185,3,FALSE)))</f>
        <v>U12</v>
      </c>
      <c r="F379" s="49" t="str">
        <f>IF(B379="","",IF(ISNA(VLOOKUP(A379,'75m'!F$5:G$302,2,FALSE)),"",VLOOKUP(A379,'75m'!F$5:G$302,2,FALSE)))</f>
        <v/>
      </c>
      <c r="G379" s="49">
        <f>IF(B379="",0,IF(ISNA(_xlfn.XLOOKUP(A379,'75m'!F$5:F$302,'75m'!M$5:M$302)),0,_xlfn.XLOOKUP(A379,'75m'!F$5:F$302,'75m'!M$5:M$302)))</f>
        <v>0</v>
      </c>
      <c r="H379" s="49" t="str">
        <f>IF(B379="","",IF(ISNA(VLOOKUP(A379,'75m'!F$5:K$302,6,FALSE)),"",VLOOKUP(A379,'75m'!F$5:K$302,6,FALSE)))</f>
        <v/>
      </c>
      <c r="I379" s="51">
        <f>IF(B379="",0,IF(ISNA(VLOOKUP(A379,'600m'!F$5:J$302,2,FALSE)),0,VLOOKUP(A379,'600m'!F$5:J$302,2,FALSE)))</f>
        <v>0</v>
      </c>
      <c r="J379" s="49">
        <f>IF(B379="",0,IF(ISNA(_xlfn.XLOOKUP(A379,'600m'!F$5:F$302,'600m'!M$5:M$302)),0,_xlfn.XLOOKUP(A379,'600m'!F$5:F$302,'600m'!M$5:M$302)))</f>
        <v>0</v>
      </c>
      <c r="K379" s="49" t="str">
        <f>IF(B379="","",IF(ISNA(VLOOKUP(A379,'600m'!F$5:K$302,6,FALSE)),"",VLOOKUP(A379,'600m'!F$5:K$302,6,FALSE)))</f>
        <v/>
      </c>
      <c r="L379" s="49" t="str">
        <f>IF(B379="","",IF(ISNA(VLOOKUP(A379,LongJump!F$5:G$302,2,FALSE)),"",VLOOKUP(A379,LongJump!F$5:G$302,2,FALSE)))</f>
        <v/>
      </c>
      <c r="M379" s="49">
        <f>IF(B379="",0,IF(ISNA(_xlfn.XLOOKUP(A379,LongJump!F$5:F$302,LongJump!M$5:M$302)),0,_xlfn.XLOOKUP(A379,LongJump!F$5:F$302,LongJump!M$5:M$302)))</f>
        <v>0</v>
      </c>
      <c r="N379" s="49" t="str">
        <f>IF(B379="","",IF(ISNA(VLOOKUP(A379,LongJump!F$5:K$302,6,FALSE)),0,VLOOKUP(A379,LongJump!F$5:K$302,6,FALSE)))</f>
        <v/>
      </c>
      <c r="O379" s="49" t="str">
        <f>IF(B379="","",IF(ISNA(VLOOKUP(A379,Vortex!F$5:J$302,2,FALSE)),"",VLOOKUP(A379,Vortex!F$5:J$302,2,FALSE)))</f>
        <v/>
      </c>
      <c r="P379" s="49">
        <f>IF(B379="",0,IF(ISNA(_xlfn.XLOOKUP(A379,Vortex!F$5:F$302,Vortex!M$5:M$302)),0,_xlfn.XLOOKUP(A379,Vortex!F$5:F$302,Vortex!M$5:M$302)))</f>
        <v>0</v>
      </c>
      <c r="Q379" s="49">
        <f t="shared" si="32"/>
        <v>0</v>
      </c>
      <c r="R379" s="49" t="str">
        <f t="shared" si="33"/>
        <v/>
      </c>
      <c r="S379" s="49" t="str">
        <f t="shared" si="34"/>
        <v/>
      </c>
      <c r="T379" s="49" t="str">
        <f t="shared" si="35"/>
        <v/>
      </c>
      <c r="U379" s="49" t="str">
        <f t="shared" si="36"/>
        <v/>
      </c>
    </row>
    <row r="380" spans="1:21">
      <c r="A380" s="49">
        <f>IF(Declarations!B137=0,"",Declarations!B137)</f>
        <v>132</v>
      </c>
      <c r="B380" s="150" t="str">
        <f>IF(ISNA(VLOOKUP(A380,Declarations!B$6:C$185,2,FALSE)),"",IF(VLOOKUP(A380,Declarations!B$6:C$185,2,FALSE)="","",VLOOKUP(A380,Declarations!B$6:C$185,2,FALSE)))</f>
        <v/>
      </c>
      <c r="C380" s="150" t="str">
        <f>IF(ISNA(VLOOKUP(A380,Declarations!B$6:F$185,5,FALSE)),"",IF(VLOOKUP(A380,Declarations!B$6:F$185,5,FALSE)="","",VLOOKUP(A380,Declarations!B$6:F$185,5,FALSE)))</f>
        <v/>
      </c>
      <c r="D380" s="150" t="str">
        <f>IF(ISNA(VLOOKUP(A380,Declarations!B$6:F$185,4,FALSE)),"",IF(VLOOKUP(A380,Declarations!B$6:F$185,4,FALSE)="","",VLOOKUP(A380,Declarations!B$6:F$185,4,FALSE)))</f>
        <v>BOYS</v>
      </c>
      <c r="E380" s="150" t="str">
        <f>IF(ISNA(VLOOKUP(A380,Declarations!B$6:D$185,3,FALSE)),"",IF(VLOOKUP(A380,Declarations!B$6:D$185,3,FALSE)="","",VLOOKUP(A380,Declarations!B$6:D$185,3,FALSE)))</f>
        <v>U12</v>
      </c>
      <c r="F380" s="49" t="str">
        <f>IF(B380="","",IF(ISNA(VLOOKUP(A380,'75m'!F$5:G$302,2,FALSE)),"",VLOOKUP(A380,'75m'!F$5:G$302,2,FALSE)))</f>
        <v/>
      </c>
      <c r="G380" s="49">
        <f>IF(B380="",0,IF(ISNA(_xlfn.XLOOKUP(A380,'75m'!F$5:F$302,'75m'!M$5:M$302)),0,_xlfn.XLOOKUP(A380,'75m'!F$5:F$302,'75m'!M$5:M$302)))</f>
        <v>0</v>
      </c>
      <c r="H380" s="49" t="str">
        <f>IF(B380="","",IF(ISNA(VLOOKUP(A380,'75m'!F$5:K$302,6,FALSE)),"",VLOOKUP(A380,'75m'!F$5:K$302,6,FALSE)))</f>
        <v/>
      </c>
      <c r="I380" s="51">
        <f>IF(B380="",0,IF(ISNA(VLOOKUP(A380,'600m'!F$5:J$302,2,FALSE)),0,VLOOKUP(A380,'600m'!F$5:J$302,2,FALSE)))</f>
        <v>0</v>
      </c>
      <c r="J380" s="49">
        <f>IF(B380="",0,IF(ISNA(_xlfn.XLOOKUP(A380,'600m'!F$5:F$302,'600m'!M$5:M$302)),0,_xlfn.XLOOKUP(A380,'600m'!F$5:F$302,'600m'!M$5:M$302)))</f>
        <v>0</v>
      </c>
      <c r="K380" s="49" t="str">
        <f>IF(B380="","",IF(ISNA(VLOOKUP(A380,'600m'!F$5:K$302,6,FALSE)),"",VLOOKUP(A380,'600m'!F$5:K$302,6,FALSE)))</f>
        <v/>
      </c>
      <c r="L380" s="49" t="str">
        <f>IF(B380="","",IF(ISNA(VLOOKUP(A380,LongJump!F$5:G$302,2,FALSE)),"",VLOOKUP(A380,LongJump!F$5:G$302,2,FALSE)))</f>
        <v/>
      </c>
      <c r="M380" s="49">
        <f>IF(B380="",0,IF(ISNA(_xlfn.XLOOKUP(A380,LongJump!F$5:F$302,LongJump!M$5:M$302)),0,_xlfn.XLOOKUP(A380,LongJump!F$5:F$302,LongJump!M$5:M$302)))</f>
        <v>0</v>
      </c>
      <c r="N380" s="49" t="str">
        <f>IF(B380="","",IF(ISNA(VLOOKUP(A380,LongJump!F$5:K$302,6,FALSE)),0,VLOOKUP(A380,LongJump!F$5:K$302,6,FALSE)))</f>
        <v/>
      </c>
      <c r="O380" s="49" t="str">
        <f>IF(B380="","",IF(ISNA(VLOOKUP(A380,Vortex!F$5:J$302,2,FALSE)),"",VLOOKUP(A380,Vortex!F$5:J$302,2,FALSE)))</f>
        <v/>
      </c>
      <c r="P380" s="49">
        <f>IF(B380="",0,IF(ISNA(_xlfn.XLOOKUP(A380,Vortex!F$5:F$302,Vortex!M$5:M$302)),0,_xlfn.XLOOKUP(A380,Vortex!F$5:F$302,Vortex!M$5:M$302)))</f>
        <v>0</v>
      </c>
      <c r="Q380" s="49">
        <f t="shared" si="32"/>
        <v>0</v>
      </c>
      <c r="R380" s="49" t="str">
        <f t="shared" si="33"/>
        <v/>
      </c>
      <c r="S380" s="49" t="str">
        <f t="shared" si="34"/>
        <v/>
      </c>
      <c r="T380" s="49" t="str">
        <f t="shared" si="35"/>
        <v/>
      </c>
      <c r="U380" s="49" t="str">
        <f t="shared" si="36"/>
        <v/>
      </c>
    </row>
    <row r="381" spans="1:21">
      <c r="A381" s="49">
        <f>IF(Declarations!B138=0,"",Declarations!B138)</f>
        <v>133</v>
      </c>
      <c r="B381" s="150" t="str">
        <f>IF(ISNA(VLOOKUP(A381,Declarations!B$6:C$185,2,FALSE)),"",IF(VLOOKUP(A381,Declarations!B$6:C$185,2,FALSE)="","",VLOOKUP(A381,Declarations!B$6:C$185,2,FALSE)))</f>
        <v/>
      </c>
      <c r="C381" s="150" t="str">
        <f>IF(ISNA(VLOOKUP(A381,Declarations!B$6:F$185,5,FALSE)),"",IF(VLOOKUP(A381,Declarations!B$6:F$185,5,FALSE)="","",VLOOKUP(A381,Declarations!B$6:F$185,5,FALSE)))</f>
        <v/>
      </c>
      <c r="D381" s="150" t="str">
        <f>IF(ISNA(VLOOKUP(A381,Declarations!B$6:F$185,4,FALSE)),"",IF(VLOOKUP(A381,Declarations!B$6:F$185,4,FALSE)="","",VLOOKUP(A381,Declarations!B$6:F$185,4,FALSE)))</f>
        <v>BOYS</v>
      </c>
      <c r="E381" s="150" t="str">
        <f>IF(ISNA(VLOOKUP(A381,Declarations!B$6:D$185,3,FALSE)),"",IF(VLOOKUP(A381,Declarations!B$6:D$185,3,FALSE)="","",VLOOKUP(A381,Declarations!B$6:D$185,3,FALSE)))</f>
        <v>U12</v>
      </c>
      <c r="F381" s="49" t="str">
        <f>IF(B381="","",IF(ISNA(VLOOKUP(A381,'75m'!F$5:G$302,2,FALSE)),"",VLOOKUP(A381,'75m'!F$5:G$302,2,FALSE)))</f>
        <v/>
      </c>
      <c r="G381" s="49">
        <f>IF(B381="",0,IF(ISNA(_xlfn.XLOOKUP(A381,'75m'!F$5:F$302,'75m'!M$5:M$302)),0,_xlfn.XLOOKUP(A381,'75m'!F$5:F$302,'75m'!M$5:M$302)))</f>
        <v>0</v>
      </c>
      <c r="H381" s="49" t="str">
        <f>IF(B381="","",IF(ISNA(VLOOKUP(A381,'75m'!F$5:K$302,6,FALSE)),"",VLOOKUP(A381,'75m'!F$5:K$302,6,FALSE)))</f>
        <v/>
      </c>
      <c r="I381" s="51">
        <f>IF(B381="",0,IF(ISNA(VLOOKUP(A381,'600m'!F$5:J$302,2,FALSE)),0,VLOOKUP(A381,'600m'!F$5:J$302,2,FALSE)))</f>
        <v>0</v>
      </c>
      <c r="J381" s="49">
        <f>IF(B381="",0,IF(ISNA(_xlfn.XLOOKUP(A381,'600m'!F$5:F$302,'600m'!M$5:M$302)),0,_xlfn.XLOOKUP(A381,'600m'!F$5:F$302,'600m'!M$5:M$302)))</f>
        <v>0</v>
      </c>
      <c r="K381" s="49" t="str">
        <f>IF(B381="","",IF(ISNA(VLOOKUP(A381,'600m'!F$5:K$302,6,FALSE)),"",VLOOKUP(A381,'600m'!F$5:K$302,6,FALSE)))</f>
        <v/>
      </c>
      <c r="L381" s="49" t="str">
        <f>IF(B381="","",IF(ISNA(VLOOKUP(A381,LongJump!F$5:G$302,2,FALSE)),"",VLOOKUP(A381,LongJump!F$5:G$302,2,FALSE)))</f>
        <v/>
      </c>
      <c r="M381" s="49">
        <f>IF(B381="",0,IF(ISNA(_xlfn.XLOOKUP(A381,LongJump!F$5:F$302,LongJump!M$5:M$302)),0,_xlfn.XLOOKUP(A381,LongJump!F$5:F$302,LongJump!M$5:M$302)))</f>
        <v>0</v>
      </c>
      <c r="N381" s="49" t="str">
        <f>IF(B381="","",IF(ISNA(VLOOKUP(A381,LongJump!F$5:K$302,6,FALSE)),0,VLOOKUP(A381,LongJump!F$5:K$302,6,FALSE)))</f>
        <v/>
      </c>
      <c r="O381" s="49" t="str">
        <f>IF(B381="","",IF(ISNA(VLOOKUP(A381,Vortex!F$5:J$302,2,FALSE)),"",VLOOKUP(A381,Vortex!F$5:J$302,2,FALSE)))</f>
        <v/>
      </c>
      <c r="P381" s="49">
        <f>IF(B381="",0,IF(ISNA(_xlfn.XLOOKUP(A381,Vortex!F$5:F$302,Vortex!M$5:M$302)),0,_xlfn.XLOOKUP(A381,Vortex!F$5:F$302,Vortex!M$5:M$302)))</f>
        <v>0</v>
      </c>
      <c r="Q381" s="49">
        <f t="shared" si="32"/>
        <v>0</v>
      </c>
      <c r="R381" s="49" t="str">
        <f t="shared" si="33"/>
        <v/>
      </c>
      <c r="S381" s="49" t="str">
        <f t="shared" si="34"/>
        <v/>
      </c>
      <c r="T381" s="49" t="str">
        <f t="shared" si="35"/>
        <v/>
      </c>
      <c r="U381" s="49" t="str">
        <f t="shared" si="36"/>
        <v/>
      </c>
    </row>
    <row r="382" spans="1:21">
      <c r="A382" s="49">
        <f>IF(Declarations!B139=0,"",Declarations!B139)</f>
        <v>134</v>
      </c>
      <c r="B382" s="150" t="str">
        <f>IF(ISNA(VLOOKUP(A382,Declarations!B$6:C$185,2,FALSE)),"",IF(VLOOKUP(A382,Declarations!B$6:C$185,2,FALSE)="","",VLOOKUP(A382,Declarations!B$6:C$185,2,FALSE)))</f>
        <v/>
      </c>
      <c r="C382" s="150" t="str">
        <f>IF(ISNA(VLOOKUP(A382,Declarations!B$6:F$185,5,FALSE)),"",IF(VLOOKUP(A382,Declarations!B$6:F$185,5,FALSE)="","",VLOOKUP(A382,Declarations!B$6:F$185,5,FALSE)))</f>
        <v/>
      </c>
      <c r="D382" s="150" t="str">
        <f>IF(ISNA(VLOOKUP(A382,Declarations!B$6:F$185,4,FALSE)),"",IF(VLOOKUP(A382,Declarations!B$6:F$185,4,FALSE)="","",VLOOKUP(A382,Declarations!B$6:F$185,4,FALSE)))</f>
        <v>BOYS</v>
      </c>
      <c r="E382" s="150" t="str">
        <f>IF(ISNA(VLOOKUP(A382,Declarations!B$6:D$185,3,FALSE)),"",IF(VLOOKUP(A382,Declarations!B$6:D$185,3,FALSE)="","",VLOOKUP(A382,Declarations!B$6:D$185,3,FALSE)))</f>
        <v>U12</v>
      </c>
      <c r="F382" s="49" t="str">
        <f>IF(B382="","",IF(ISNA(VLOOKUP(A382,'75m'!F$5:G$302,2,FALSE)),"",VLOOKUP(A382,'75m'!F$5:G$302,2,FALSE)))</f>
        <v/>
      </c>
      <c r="G382" s="49">
        <f>IF(B382="",0,IF(ISNA(_xlfn.XLOOKUP(A382,'75m'!F$5:F$302,'75m'!M$5:M$302)),0,_xlfn.XLOOKUP(A382,'75m'!F$5:F$302,'75m'!M$5:M$302)))</f>
        <v>0</v>
      </c>
      <c r="H382" s="49" t="str">
        <f>IF(B382="","",IF(ISNA(VLOOKUP(A382,'75m'!F$5:K$302,6,FALSE)),"",VLOOKUP(A382,'75m'!F$5:K$302,6,FALSE)))</f>
        <v/>
      </c>
      <c r="I382" s="51">
        <f>IF(B382="",0,IF(ISNA(VLOOKUP(A382,'600m'!F$5:J$302,2,FALSE)),0,VLOOKUP(A382,'600m'!F$5:J$302,2,FALSE)))</f>
        <v>0</v>
      </c>
      <c r="J382" s="49">
        <f>IF(B382="",0,IF(ISNA(_xlfn.XLOOKUP(A382,'600m'!F$5:F$302,'600m'!M$5:M$302)),0,_xlfn.XLOOKUP(A382,'600m'!F$5:F$302,'600m'!M$5:M$302)))</f>
        <v>0</v>
      </c>
      <c r="K382" s="49" t="str">
        <f>IF(B382="","",IF(ISNA(VLOOKUP(A382,'600m'!F$5:K$302,6,FALSE)),"",VLOOKUP(A382,'600m'!F$5:K$302,6,FALSE)))</f>
        <v/>
      </c>
      <c r="L382" s="49" t="str">
        <f>IF(B382="","",IF(ISNA(VLOOKUP(A382,LongJump!F$5:G$302,2,FALSE)),"",VLOOKUP(A382,LongJump!F$5:G$302,2,FALSE)))</f>
        <v/>
      </c>
      <c r="M382" s="49">
        <f>IF(B382="",0,IF(ISNA(_xlfn.XLOOKUP(A382,LongJump!F$5:F$302,LongJump!M$5:M$302)),0,_xlfn.XLOOKUP(A382,LongJump!F$5:F$302,LongJump!M$5:M$302)))</f>
        <v>0</v>
      </c>
      <c r="N382" s="49" t="str">
        <f>IF(B382="","",IF(ISNA(VLOOKUP(A382,LongJump!F$5:K$302,6,FALSE)),0,VLOOKUP(A382,LongJump!F$5:K$302,6,FALSE)))</f>
        <v/>
      </c>
      <c r="O382" s="49" t="str">
        <f>IF(B382="","",IF(ISNA(VLOOKUP(A382,Vortex!F$5:J$302,2,FALSE)),"",VLOOKUP(A382,Vortex!F$5:J$302,2,FALSE)))</f>
        <v/>
      </c>
      <c r="P382" s="49">
        <f>IF(B382="",0,IF(ISNA(_xlfn.XLOOKUP(A382,Vortex!F$5:F$302,Vortex!M$5:M$302)),0,_xlfn.XLOOKUP(A382,Vortex!F$5:F$302,Vortex!M$5:M$302)))</f>
        <v>0</v>
      </c>
      <c r="Q382" s="49">
        <f t="shared" si="32"/>
        <v>0</v>
      </c>
      <c r="R382" s="49" t="str">
        <f t="shared" si="33"/>
        <v/>
      </c>
      <c r="S382" s="49" t="str">
        <f t="shared" si="34"/>
        <v/>
      </c>
      <c r="T382" s="49" t="str">
        <f t="shared" si="35"/>
        <v/>
      </c>
      <c r="U382" s="49" t="str">
        <f t="shared" si="36"/>
        <v/>
      </c>
    </row>
    <row r="383" spans="1:21">
      <c r="A383" s="49">
        <f>IF(Declarations!B140=0,"",Declarations!B140)</f>
        <v>135</v>
      </c>
      <c r="B383" s="150" t="str">
        <f>IF(ISNA(VLOOKUP(A383,Declarations!B$6:C$185,2,FALSE)),"",IF(VLOOKUP(A383,Declarations!B$6:C$185,2,FALSE)="","",VLOOKUP(A383,Declarations!B$6:C$185,2,FALSE)))</f>
        <v/>
      </c>
      <c r="C383" s="150" t="str">
        <f>IF(ISNA(VLOOKUP(A383,Declarations!B$6:F$185,5,FALSE)),"",IF(VLOOKUP(A383,Declarations!B$6:F$185,5,FALSE)="","",VLOOKUP(A383,Declarations!B$6:F$185,5,FALSE)))</f>
        <v/>
      </c>
      <c r="D383" s="150" t="str">
        <f>IF(ISNA(VLOOKUP(A383,Declarations!B$6:F$185,4,FALSE)),"",IF(VLOOKUP(A383,Declarations!B$6:F$185,4,FALSE)="","",VLOOKUP(A383,Declarations!B$6:F$185,4,FALSE)))</f>
        <v>BOYS</v>
      </c>
      <c r="E383" s="150" t="str">
        <f>IF(ISNA(VLOOKUP(A383,Declarations!B$6:D$185,3,FALSE)),"",IF(VLOOKUP(A383,Declarations!B$6:D$185,3,FALSE)="","",VLOOKUP(A383,Declarations!B$6:D$185,3,FALSE)))</f>
        <v>U12</v>
      </c>
      <c r="F383" s="49" t="str">
        <f>IF(B383="","",IF(ISNA(VLOOKUP(A383,'75m'!F$5:G$302,2,FALSE)),"",VLOOKUP(A383,'75m'!F$5:G$302,2,FALSE)))</f>
        <v/>
      </c>
      <c r="G383" s="49">
        <f>IF(B383="",0,IF(ISNA(_xlfn.XLOOKUP(A383,'75m'!F$5:F$302,'75m'!M$5:M$302)),0,_xlfn.XLOOKUP(A383,'75m'!F$5:F$302,'75m'!M$5:M$302)))</f>
        <v>0</v>
      </c>
      <c r="H383" s="49" t="str">
        <f>IF(B383="","",IF(ISNA(VLOOKUP(A383,'75m'!F$5:K$302,6,FALSE)),"",VLOOKUP(A383,'75m'!F$5:K$302,6,FALSE)))</f>
        <v/>
      </c>
      <c r="I383" s="51">
        <f>IF(B383="",0,IF(ISNA(VLOOKUP(A383,'600m'!F$5:J$302,2,FALSE)),0,VLOOKUP(A383,'600m'!F$5:J$302,2,FALSE)))</f>
        <v>0</v>
      </c>
      <c r="J383" s="49">
        <f>IF(B383="",0,IF(ISNA(_xlfn.XLOOKUP(A383,'600m'!F$5:F$302,'600m'!M$5:M$302)),0,_xlfn.XLOOKUP(A383,'600m'!F$5:F$302,'600m'!M$5:M$302)))</f>
        <v>0</v>
      </c>
      <c r="K383" s="49" t="str">
        <f>IF(B383="","",IF(ISNA(VLOOKUP(A383,'600m'!F$5:K$302,6,FALSE)),"",VLOOKUP(A383,'600m'!F$5:K$302,6,FALSE)))</f>
        <v/>
      </c>
      <c r="L383" s="49" t="str">
        <f>IF(B383="","",IF(ISNA(VLOOKUP(A383,LongJump!F$5:G$302,2,FALSE)),"",VLOOKUP(A383,LongJump!F$5:G$302,2,FALSE)))</f>
        <v/>
      </c>
      <c r="M383" s="49">
        <f>IF(B383="",0,IF(ISNA(_xlfn.XLOOKUP(A383,LongJump!F$5:F$302,LongJump!M$5:M$302)),0,_xlfn.XLOOKUP(A383,LongJump!F$5:F$302,LongJump!M$5:M$302)))</f>
        <v>0</v>
      </c>
      <c r="N383" s="49" t="str">
        <f>IF(B383="","",IF(ISNA(VLOOKUP(A383,LongJump!F$5:K$302,6,FALSE)),0,VLOOKUP(A383,LongJump!F$5:K$302,6,FALSE)))</f>
        <v/>
      </c>
      <c r="O383" s="49" t="str">
        <f>IF(B383="","",IF(ISNA(VLOOKUP(A383,Vortex!F$5:J$302,2,FALSE)),"",VLOOKUP(A383,Vortex!F$5:J$302,2,FALSE)))</f>
        <v/>
      </c>
      <c r="P383" s="49">
        <f>IF(B383="",0,IF(ISNA(_xlfn.XLOOKUP(A383,Vortex!F$5:F$302,Vortex!M$5:M$302)),0,_xlfn.XLOOKUP(A383,Vortex!F$5:F$302,Vortex!M$5:M$302)))</f>
        <v>0</v>
      </c>
      <c r="Q383" s="49">
        <f t="shared" si="32"/>
        <v>0</v>
      </c>
      <c r="R383" s="49" t="str">
        <f t="shared" si="33"/>
        <v/>
      </c>
      <c r="S383" s="49" t="str">
        <f t="shared" si="34"/>
        <v/>
      </c>
      <c r="T383" s="49" t="str">
        <f t="shared" si="35"/>
        <v/>
      </c>
      <c r="U383" s="49" t="str">
        <f t="shared" si="36"/>
        <v/>
      </c>
    </row>
    <row r="384" spans="1:21">
      <c r="A384" s="49">
        <f>IF(Declarations!B141=0,"",Declarations!B141)</f>
        <v>136</v>
      </c>
      <c r="B384" s="150" t="str">
        <f>IF(ISNA(VLOOKUP(A384,Declarations!B$6:C$185,2,FALSE)),"",IF(VLOOKUP(A384,Declarations!B$6:C$185,2,FALSE)="","",VLOOKUP(A384,Declarations!B$6:C$185,2,FALSE)))</f>
        <v/>
      </c>
      <c r="C384" s="150" t="str">
        <f>IF(ISNA(VLOOKUP(A384,Declarations!B$6:F$185,5,FALSE)),"",IF(VLOOKUP(A384,Declarations!B$6:F$185,5,FALSE)="","",VLOOKUP(A384,Declarations!B$6:F$185,5,FALSE)))</f>
        <v/>
      </c>
      <c r="D384" s="150" t="str">
        <f>IF(ISNA(VLOOKUP(A384,Declarations!B$6:F$185,4,FALSE)),"",IF(VLOOKUP(A384,Declarations!B$6:F$185,4,FALSE)="","",VLOOKUP(A384,Declarations!B$6:F$185,4,FALSE)))</f>
        <v>BOYS</v>
      </c>
      <c r="E384" s="150" t="str">
        <f>IF(ISNA(VLOOKUP(A384,Declarations!B$6:D$185,3,FALSE)),"",IF(VLOOKUP(A384,Declarations!B$6:D$185,3,FALSE)="","",VLOOKUP(A384,Declarations!B$6:D$185,3,FALSE)))</f>
        <v>U12</v>
      </c>
      <c r="F384" s="49" t="str">
        <f>IF(B384="","",IF(ISNA(VLOOKUP(A384,'75m'!F$5:G$302,2,FALSE)),"",VLOOKUP(A384,'75m'!F$5:G$302,2,FALSE)))</f>
        <v/>
      </c>
      <c r="G384" s="49">
        <f>IF(B384="",0,IF(ISNA(_xlfn.XLOOKUP(A384,'75m'!F$5:F$302,'75m'!M$5:M$302)),0,_xlfn.XLOOKUP(A384,'75m'!F$5:F$302,'75m'!M$5:M$302)))</f>
        <v>0</v>
      </c>
      <c r="H384" s="49" t="str">
        <f>IF(B384="","",IF(ISNA(VLOOKUP(A384,'75m'!F$5:K$302,6,FALSE)),"",VLOOKUP(A384,'75m'!F$5:K$302,6,FALSE)))</f>
        <v/>
      </c>
      <c r="I384" s="51">
        <f>IF(B384="",0,IF(ISNA(VLOOKUP(A384,'600m'!F$5:J$302,2,FALSE)),0,VLOOKUP(A384,'600m'!F$5:J$302,2,FALSE)))</f>
        <v>0</v>
      </c>
      <c r="J384" s="49">
        <f>IF(B384="",0,IF(ISNA(_xlfn.XLOOKUP(A384,'600m'!F$5:F$302,'600m'!M$5:M$302)),0,_xlfn.XLOOKUP(A384,'600m'!F$5:F$302,'600m'!M$5:M$302)))</f>
        <v>0</v>
      </c>
      <c r="K384" s="49" t="str">
        <f>IF(B384="","",IF(ISNA(VLOOKUP(A384,'600m'!F$5:K$302,6,FALSE)),"",VLOOKUP(A384,'600m'!F$5:K$302,6,FALSE)))</f>
        <v/>
      </c>
      <c r="L384" s="49" t="str">
        <f>IF(B384="","",IF(ISNA(VLOOKUP(A384,LongJump!F$5:G$302,2,FALSE)),"",VLOOKUP(A384,LongJump!F$5:G$302,2,FALSE)))</f>
        <v/>
      </c>
      <c r="M384" s="49">
        <f>IF(B384="",0,IF(ISNA(_xlfn.XLOOKUP(A384,LongJump!F$5:F$302,LongJump!M$5:M$302)),0,_xlfn.XLOOKUP(A384,LongJump!F$5:F$302,LongJump!M$5:M$302)))</f>
        <v>0</v>
      </c>
      <c r="N384" s="49" t="str">
        <f>IF(B384="","",IF(ISNA(VLOOKUP(A384,LongJump!F$5:K$302,6,FALSE)),0,VLOOKUP(A384,LongJump!F$5:K$302,6,FALSE)))</f>
        <v/>
      </c>
      <c r="O384" s="49" t="str">
        <f>IF(B384="","",IF(ISNA(VLOOKUP(A384,Vortex!F$5:J$302,2,FALSE)),"",VLOOKUP(A384,Vortex!F$5:J$302,2,FALSE)))</f>
        <v/>
      </c>
      <c r="P384" s="49">
        <f>IF(B384="",0,IF(ISNA(_xlfn.XLOOKUP(A384,Vortex!F$5:F$302,Vortex!M$5:M$302)),0,_xlfn.XLOOKUP(A384,Vortex!F$5:F$302,Vortex!M$5:M$302)))</f>
        <v>0</v>
      </c>
      <c r="Q384" s="49">
        <f t="shared" si="32"/>
        <v>0</v>
      </c>
      <c r="R384" s="49" t="str">
        <f t="shared" si="33"/>
        <v/>
      </c>
      <c r="S384" s="49" t="str">
        <f t="shared" si="34"/>
        <v/>
      </c>
      <c r="T384" s="49" t="str">
        <f t="shared" si="35"/>
        <v/>
      </c>
      <c r="U384" s="49" t="str">
        <f t="shared" si="36"/>
        <v/>
      </c>
    </row>
    <row r="385" spans="1:21">
      <c r="A385" s="49">
        <f>IF(Declarations!B142=0,"",Declarations!B142)</f>
        <v>137</v>
      </c>
      <c r="B385" s="150" t="str">
        <f>IF(ISNA(VLOOKUP(A385,Declarations!B$6:C$185,2,FALSE)),"",IF(VLOOKUP(A385,Declarations!B$6:C$185,2,FALSE)="","",VLOOKUP(A385,Declarations!B$6:C$185,2,FALSE)))</f>
        <v/>
      </c>
      <c r="C385" s="150" t="str">
        <f>IF(ISNA(VLOOKUP(A385,Declarations!B$6:F$185,5,FALSE)),"",IF(VLOOKUP(A385,Declarations!B$6:F$185,5,FALSE)="","",VLOOKUP(A385,Declarations!B$6:F$185,5,FALSE)))</f>
        <v/>
      </c>
      <c r="D385" s="150" t="str">
        <f>IF(ISNA(VLOOKUP(A385,Declarations!B$6:F$185,4,FALSE)),"",IF(VLOOKUP(A385,Declarations!B$6:F$185,4,FALSE)="","",VLOOKUP(A385,Declarations!B$6:F$185,4,FALSE)))</f>
        <v>BOYS</v>
      </c>
      <c r="E385" s="150" t="str">
        <f>IF(ISNA(VLOOKUP(A385,Declarations!B$6:D$185,3,FALSE)),"",IF(VLOOKUP(A385,Declarations!B$6:D$185,3,FALSE)="","",VLOOKUP(A385,Declarations!B$6:D$185,3,FALSE)))</f>
        <v>U12</v>
      </c>
      <c r="F385" s="49" t="str">
        <f>IF(B385="","",IF(ISNA(VLOOKUP(A385,'75m'!F$5:G$302,2,FALSE)),"",VLOOKUP(A385,'75m'!F$5:G$302,2,FALSE)))</f>
        <v/>
      </c>
      <c r="G385" s="49">
        <f>IF(B385="",0,IF(ISNA(_xlfn.XLOOKUP(A385,'75m'!F$5:F$302,'75m'!M$5:M$302)),0,_xlfn.XLOOKUP(A385,'75m'!F$5:F$302,'75m'!M$5:M$302)))</f>
        <v>0</v>
      </c>
      <c r="H385" s="49" t="str">
        <f>IF(B385="","",IF(ISNA(VLOOKUP(A385,'75m'!F$5:K$302,6,FALSE)),"",VLOOKUP(A385,'75m'!F$5:K$302,6,FALSE)))</f>
        <v/>
      </c>
      <c r="I385" s="51">
        <f>IF(B385="",0,IF(ISNA(VLOOKUP(A385,'600m'!F$5:J$302,2,FALSE)),0,VLOOKUP(A385,'600m'!F$5:J$302,2,FALSE)))</f>
        <v>0</v>
      </c>
      <c r="J385" s="49">
        <f>IF(B385="",0,IF(ISNA(_xlfn.XLOOKUP(A385,'600m'!F$5:F$302,'600m'!M$5:M$302)),0,_xlfn.XLOOKUP(A385,'600m'!F$5:F$302,'600m'!M$5:M$302)))</f>
        <v>0</v>
      </c>
      <c r="K385" s="49" t="str">
        <f>IF(B385="","",IF(ISNA(VLOOKUP(A385,'600m'!F$5:K$302,6,FALSE)),"",VLOOKUP(A385,'600m'!F$5:K$302,6,FALSE)))</f>
        <v/>
      </c>
      <c r="L385" s="49" t="str">
        <f>IF(B385="","",IF(ISNA(VLOOKUP(A385,LongJump!F$5:G$302,2,FALSE)),"",VLOOKUP(A385,LongJump!F$5:G$302,2,FALSE)))</f>
        <v/>
      </c>
      <c r="M385" s="49">
        <f>IF(B385="",0,IF(ISNA(_xlfn.XLOOKUP(A385,LongJump!F$5:F$302,LongJump!M$5:M$302)),0,_xlfn.XLOOKUP(A385,LongJump!F$5:F$302,LongJump!M$5:M$302)))</f>
        <v>0</v>
      </c>
      <c r="N385" s="49" t="str">
        <f>IF(B385="","",IF(ISNA(VLOOKUP(A385,LongJump!F$5:K$302,6,FALSE)),0,VLOOKUP(A385,LongJump!F$5:K$302,6,FALSE)))</f>
        <v/>
      </c>
      <c r="O385" s="49" t="str">
        <f>IF(B385="","",IF(ISNA(VLOOKUP(A385,Vortex!F$5:J$302,2,FALSE)),"",VLOOKUP(A385,Vortex!F$5:J$302,2,FALSE)))</f>
        <v/>
      </c>
      <c r="P385" s="49">
        <f>IF(B385="",0,IF(ISNA(_xlfn.XLOOKUP(A385,Vortex!F$5:F$302,Vortex!M$5:M$302)),0,_xlfn.XLOOKUP(A385,Vortex!F$5:F$302,Vortex!M$5:M$302)))</f>
        <v>0</v>
      </c>
      <c r="Q385" s="49">
        <f t="shared" si="32"/>
        <v>0</v>
      </c>
      <c r="R385" s="49" t="str">
        <f t="shared" si="33"/>
        <v/>
      </c>
      <c r="S385" s="49" t="str">
        <f t="shared" si="34"/>
        <v/>
      </c>
      <c r="T385" s="49" t="str">
        <f t="shared" si="35"/>
        <v/>
      </c>
      <c r="U385" s="49" t="str">
        <f t="shared" si="36"/>
        <v/>
      </c>
    </row>
    <row r="386" spans="1:21">
      <c r="A386" s="49">
        <f>IF(Declarations!B143=0,"",Declarations!B143)</f>
        <v>138</v>
      </c>
      <c r="B386" s="150" t="str">
        <f>IF(ISNA(VLOOKUP(A386,Declarations!B$6:C$185,2,FALSE)),"",IF(VLOOKUP(A386,Declarations!B$6:C$185,2,FALSE)="","",VLOOKUP(A386,Declarations!B$6:C$185,2,FALSE)))</f>
        <v/>
      </c>
      <c r="C386" s="150" t="str">
        <f>IF(ISNA(VLOOKUP(A386,Declarations!B$6:F$185,5,FALSE)),"",IF(VLOOKUP(A386,Declarations!B$6:F$185,5,FALSE)="","",VLOOKUP(A386,Declarations!B$6:F$185,5,FALSE)))</f>
        <v/>
      </c>
      <c r="D386" s="150" t="str">
        <f>IF(ISNA(VLOOKUP(A386,Declarations!B$6:F$185,4,FALSE)),"",IF(VLOOKUP(A386,Declarations!B$6:F$185,4,FALSE)="","",VLOOKUP(A386,Declarations!B$6:F$185,4,FALSE)))</f>
        <v>BOYS</v>
      </c>
      <c r="E386" s="150" t="str">
        <f>IF(ISNA(VLOOKUP(A386,Declarations!B$6:D$185,3,FALSE)),"",IF(VLOOKUP(A386,Declarations!B$6:D$185,3,FALSE)="","",VLOOKUP(A386,Declarations!B$6:D$185,3,FALSE)))</f>
        <v>U12</v>
      </c>
      <c r="F386" s="49" t="str">
        <f>IF(B386="","",IF(ISNA(VLOOKUP(A386,'75m'!F$5:G$302,2,FALSE)),"",VLOOKUP(A386,'75m'!F$5:G$302,2,FALSE)))</f>
        <v/>
      </c>
      <c r="G386" s="49">
        <f>IF(B386="",0,IF(ISNA(_xlfn.XLOOKUP(A386,'75m'!F$5:F$302,'75m'!M$5:M$302)),0,_xlfn.XLOOKUP(A386,'75m'!F$5:F$302,'75m'!M$5:M$302)))</f>
        <v>0</v>
      </c>
      <c r="H386" s="49" t="str">
        <f>IF(B386="","",IF(ISNA(VLOOKUP(A386,'75m'!F$5:K$302,6,FALSE)),"",VLOOKUP(A386,'75m'!F$5:K$302,6,FALSE)))</f>
        <v/>
      </c>
      <c r="I386" s="51">
        <f>IF(B386="",0,IF(ISNA(VLOOKUP(A386,'600m'!F$5:J$302,2,FALSE)),0,VLOOKUP(A386,'600m'!F$5:J$302,2,FALSE)))</f>
        <v>0</v>
      </c>
      <c r="J386" s="49">
        <f>IF(B386="",0,IF(ISNA(_xlfn.XLOOKUP(A386,'600m'!F$5:F$302,'600m'!M$5:M$302)),0,_xlfn.XLOOKUP(A386,'600m'!F$5:F$302,'600m'!M$5:M$302)))</f>
        <v>0</v>
      </c>
      <c r="K386" s="49" t="str">
        <f>IF(B386="","",IF(ISNA(VLOOKUP(A386,'600m'!F$5:K$302,6,FALSE)),"",VLOOKUP(A386,'600m'!F$5:K$302,6,FALSE)))</f>
        <v/>
      </c>
      <c r="L386" s="49" t="str">
        <f>IF(B386="","",IF(ISNA(VLOOKUP(A386,LongJump!F$5:G$302,2,FALSE)),"",VLOOKUP(A386,LongJump!F$5:G$302,2,FALSE)))</f>
        <v/>
      </c>
      <c r="M386" s="49">
        <f>IF(B386="",0,IF(ISNA(_xlfn.XLOOKUP(A386,LongJump!F$5:F$302,LongJump!M$5:M$302)),0,_xlfn.XLOOKUP(A386,LongJump!F$5:F$302,LongJump!M$5:M$302)))</f>
        <v>0</v>
      </c>
      <c r="N386" s="49" t="str">
        <f>IF(B386="","",IF(ISNA(VLOOKUP(A386,LongJump!F$5:K$302,6,FALSE)),0,VLOOKUP(A386,LongJump!F$5:K$302,6,FALSE)))</f>
        <v/>
      </c>
      <c r="O386" s="49" t="str">
        <f>IF(B386="","",IF(ISNA(VLOOKUP(A386,Vortex!F$5:J$302,2,FALSE)),"",VLOOKUP(A386,Vortex!F$5:J$302,2,FALSE)))</f>
        <v/>
      </c>
      <c r="P386" s="49">
        <f>IF(B386="",0,IF(ISNA(_xlfn.XLOOKUP(A386,Vortex!F$5:F$302,Vortex!M$5:M$302)),0,_xlfn.XLOOKUP(A386,Vortex!F$5:F$302,Vortex!M$5:M$302)))</f>
        <v>0</v>
      </c>
      <c r="Q386" s="49">
        <f t="shared" si="32"/>
        <v>0</v>
      </c>
      <c r="R386" s="49" t="str">
        <f t="shared" si="33"/>
        <v/>
      </c>
      <c r="S386" s="49" t="str">
        <f t="shared" si="34"/>
        <v/>
      </c>
      <c r="T386" s="49" t="str">
        <f t="shared" si="35"/>
        <v/>
      </c>
      <c r="U386" s="49" t="str">
        <f t="shared" si="36"/>
        <v/>
      </c>
    </row>
    <row r="387" spans="1:21">
      <c r="A387" s="49">
        <f>IF(Declarations!B144=0,"",Declarations!B144)</f>
        <v>139</v>
      </c>
      <c r="B387" s="150" t="str">
        <f>IF(ISNA(VLOOKUP(A387,Declarations!B$6:C$185,2,FALSE)),"",IF(VLOOKUP(A387,Declarations!B$6:C$185,2,FALSE)="","",VLOOKUP(A387,Declarations!B$6:C$185,2,FALSE)))</f>
        <v/>
      </c>
      <c r="C387" s="150" t="str">
        <f>IF(ISNA(VLOOKUP(A387,Declarations!B$6:F$185,5,FALSE)),"",IF(VLOOKUP(A387,Declarations!B$6:F$185,5,FALSE)="","",VLOOKUP(A387,Declarations!B$6:F$185,5,FALSE)))</f>
        <v/>
      </c>
      <c r="D387" s="150" t="str">
        <f>IF(ISNA(VLOOKUP(A387,Declarations!B$6:F$185,4,FALSE)),"",IF(VLOOKUP(A387,Declarations!B$6:F$185,4,FALSE)="","",VLOOKUP(A387,Declarations!B$6:F$185,4,FALSE)))</f>
        <v>BOYS</v>
      </c>
      <c r="E387" s="150" t="str">
        <f>IF(ISNA(VLOOKUP(A387,Declarations!B$6:D$185,3,FALSE)),"",IF(VLOOKUP(A387,Declarations!B$6:D$185,3,FALSE)="","",VLOOKUP(A387,Declarations!B$6:D$185,3,FALSE)))</f>
        <v>U12</v>
      </c>
      <c r="F387" s="49" t="str">
        <f>IF(B387="","",IF(ISNA(VLOOKUP(A387,'75m'!F$5:G$302,2,FALSE)),"",VLOOKUP(A387,'75m'!F$5:G$302,2,FALSE)))</f>
        <v/>
      </c>
      <c r="G387" s="49">
        <f>IF(B387="",0,IF(ISNA(_xlfn.XLOOKUP(A387,'75m'!F$5:F$302,'75m'!M$5:M$302)),0,_xlfn.XLOOKUP(A387,'75m'!F$5:F$302,'75m'!M$5:M$302)))</f>
        <v>0</v>
      </c>
      <c r="H387" s="49" t="str">
        <f>IF(B387="","",IF(ISNA(VLOOKUP(A387,'75m'!F$5:K$302,6,FALSE)),"",VLOOKUP(A387,'75m'!F$5:K$302,6,FALSE)))</f>
        <v/>
      </c>
      <c r="I387" s="51">
        <f>IF(B387="",0,IF(ISNA(VLOOKUP(A387,'600m'!F$5:J$302,2,FALSE)),0,VLOOKUP(A387,'600m'!F$5:J$302,2,FALSE)))</f>
        <v>0</v>
      </c>
      <c r="J387" s="49">
        <f>IF(B387="",0,IF(ISNA(_xlfn.XLOOKUP(A387,'600m'!F$5:F$302,'600m'!M$5:M$302)),0,_xlfn.XLOOKUP(A387,'600m'!F$5:F$302,'600m'!M$5:M$302)))</f>
        <v>0</v>
      </c>
      <c r="K387" s="49" t="str">
        <f>IF(B387="","",IF(ISNA(VLOOKUP(A387,'600m'!F$5:K$302,6,FALSE)),"",VLOOKUP(A387,'600m'!F$5:K$302,6,FALSE)))</f>
        <v/>
      </c>
      <c r="L387" s="49" t="str">
        <f>IF(B387="","",IF(ISNA(VLOOKUP(A387,LongJump!F$5:G$302,2,FALSE)),"",VLOOKUP(A387,LongJump!F$5:G$302,2,FALSE)))</f>
        <v/>
      </c>
      <c r="M387" s="49">
        <f>IF(B387="",0,IF(ISNA(_xlfn.XLOOKUP(A387,LongJump!F$5:F$302,LongJump!M$5:M$302)),0,_xlfn.XLOOKUP(A387,LongJump!F$5:F$302,LongJump!M$5:M$302)))</f>
        <v>0</v>
      </c>
      <c r="N387" s="49" t="str">
        <f>IF(B387="","",IF(ISNA(VLOOKUP(A387,LongJump!F$5:K$302,6,FALSE)),0,VLOOKUP(A387,LongJump!F$5:K$302,6,FALSE)))</f>
        <v/>
      </c>
      <c r="O387" s="49" t="str">
        <f>IF(B387="","",IF(ISNA(VLOOKUP(A387,Vortex!F$5:J$302,2,FALSE)),"",VLOOKUP(A387,Vortex!F$5:J$302,2,FALSE)))</f>
        <v/>
      </c>
      <c r="P387" s="49">
        <f>IF(B387="",0,IF(ISNA(_xlfn.XLOOKUP(A387,Vortex!F$5:F$302,Vortex!M$5:M$302)),0,_xlfn.XLOOKUP(A387,Vortex!F$5:F$302,Vortex!M$5:M$302)))</f>
        <v>0</v>
      </c>
      <c r="Q387" s="49">
        <f t="shared" si="32"/>
        <v>0</v>
      </c>
      <c r="R387" s="49" t="str">
        <f t="shared" si="33"/>
        <v/>
      </c>
      <c r="S387" s="49" t="str">
        <f t="shared" si="34"/>
        <v/>
      </c>
      <c r="T387" s="49" t="str">
        <f t="shared" si="35"/>
        <v/>
      </c>
      <c r="U387" s="49" t="str">
        <f t="shared" si="36"/>
        <v/>
      </c>
    </row>
    <row r="388" spans="1:21">
      <c r="A388" s="49">
        <f>IF(Declarations!B145=0,"",Declarations!B145)</f>
        <v>140</v>
      </c>
      <c r="B388" s="150" t="str">
        <f>IF(ISNA(VLOOKUP(A388,Declarations!B$6:C$185,2,FALSE)),"",IF(VLOOKUP(A388,Declarations!B$6:C$185,2,FALSE)="","",VLOOKUP(A388,Declarations!B$6:C$185,2,FALSE)))</f>
        <v/>
      </c>
      <c r="C388" s="150" t="str">
        <f>IF(ISNA(VLOOKUP(A388,Declarations!B$6:F$185,5,FALSE)),"",IF(VLOOKUP(A388,Declarations!B$6:F$185,5,FALSE)="","",VLOOKUP(A388,Declarations!B$6:F$185,5,FALSE)))</f>
        <v/>
      </c>
      <c r="D388" s="150" t="str">
        <f>IF(ISNA(VLOOKUP(A388,Declarations!B$6:F$185,4,FALSE)),"",IF(VLOOKUP(A388,Declarations!B$6:F$185,4,FALSE)="","",VLOOKUP(A388,Declarations!B$6:F$185,4,FALSE)))</f>
        <v>BOYS</v>
      </c>
      <c r="E388" s="150" t="str">
        <f>IF(ISNA(VLOOKUP(A388,Declarations!B$6:D$185,3,FALSE)),"",IF(VLOOKUP(A388,Declarations!B$6:D$185,3,FALSE)="","",VLOOKUP(A388,Declarations!B$6:D$185,3,FALSE)))</f>
        <v>U12</v>
      </c>
      <c r="F388" s="49" t="str">
        <f>IF(B388="","",IF(ISNA(VLOOKUP(A388,'75m'!F$5:G$302,2,FALSE)),"",VLOOKUP(A388,'75m'!F$5:G$302,2,FALSE)))</f>
        <v/>
      </c>
      <c r="G388" s="49">
        <f>IF(B388="",0,IF(ISNA(_xlfn.XLOOKUP(A388,'75m'!F$5:F$302,'75m'!M$5:M$302)),0,_xlfn.XLOOKUP(A388,'75m'!F$5:F$302,'75m'!M$5:M$302)))</f>
        <v>0</v>
      </c>
      <c r="H388" s="49" t="str">
        <f>IF(B388="","",IF(ISNA(VLOOKUP(A388,'75m'!F$5:K$302,6,FALSE)),"",VLOOKUP(A388,'75m'!F$5:K$302,6,FALSE)))</f>
        <v/>
      </c>
      <c r="I388" s="51">
        <f>IF(B388="",0,IF(ISNA(VLOOKUP(A388,'600m'!F$5:J$302,2,FALSE)),0,VLOOKUP(A388,'600m'!F$5:J$302,2,FALSE)))</f>
        <v>0</v>
      </c>
      <c r="J388" s="49">
        <f>IF(B388="",0,IF(ISNA(_xlfn.XLOOKUP(A388,'600m'!F$5:F$302,'600m'!M$5:M$302)),0,_xlfn.XLOOKUP(A388,'600m'!F$5:F$302,'600m'!M$5:M$302)))</f>
        <v>0</v>
      </c>
      <c r="K388" s="49" t="str">
        <f>IF(B388="","",IF(ISNA(VLOOKUP(A388,'600m'!F$5:K$302,6,FALSE)),"",VLOOKUP(A388,'600m'!F$5:K$302,6,FALSE)))</f>
        <v/>
      </c>
      <c r="L388" s="49" t="str">
        <f>IF(B388="","",IF(ISNA(VLOOKUP(A388,LongJump!F$5:G$302,2,FALSE)),"",VLOOKUP(A388,LongJump!F$5:G$302,2,FALSE)))</f>
        <v/>
      </c>
      <c r="M388" s="49">
        <f>IF(B388="",0,IF(ISNA(_xlfn.XLOOKUP(A388,LongJump!F$5:F$302,LongJump!M$5:M$302)),0,_xlfn.XLOOKUP(A388,LongJump!F$5:F$302,LongJump!M$5:M$302)))</f>
        <v>0</v>
      </c>
      <c r="N388" s="49" t="str">
        <f>IF(B388="","",IF(ISNA(VLOOKUP(A388,LongJump!F$5:K$302,6,FALSE)),0,VLOOKUP(A388,LongJump!F$5:K$302,6,FALSE)))</f>
        <v/>
      </c>
      <c r="O388" s="49" t="str">
        <f>IF(B388="","",IF(ISNA(VLOOKUP(A388,Vortex!F$5:J$302,2,FALSE)),"",VLOOKUP(A388,Vortex!F$5:J$302,2,FALSE)))</f>
        <v/>
      </c>
      <c r="P388" s="49">
        <f>IF(B388="",0,IF(ISNA(_xlfn.XLOOKUP(A388,Vortex!F$5:F$302,Vortex!M$5:M$302)),0,_xlfn.XLOOKUP(A388,Vortex!F$5:F$302,Vortex!M$5:M$302)))</f>
        <v>0</v>
      </c>
      <c r="Q388" s="49">
        <f t="shared" si="32"/>
        <v>0</v>
      </c>
      <c r="R388" s="49" t="str">
        <f t="shared" si="33"/>
        <v/>
      </c>
      <c r="S388" s="49" t="str">
        <f t="shared" si="34"/>
        <v/>
      </c>
      <c r="T388" s="49" t="str">
        <f t="shared" si="35"/>
        <v/>
      </c>
      <c r="U388" s="49" t="str">
        <f t="shared" si="36"/>
        <v/>
      </c>
    </row>
    <row r="389" spans="1:21">
      <c r="A389" s="49" t="str">
        <f>IF(Declarations!B146=0,"",Declarations!B146)</f>
        <v/>
      </c>
      <c r="B389" s="150" t="str">
        <f>IF(ISNA(VLOOKUP(A389,Declarations!B$6:C$185,2,FALSE)),"",IF(VLOOKUP(A389,Declarations!B$6:C$185,2,FALSE)="","",VLOOKUP(A389,Declarations!B$6:C$185,2,FALSE)))</f>
        <v/>
      </c>
      <c r="C389" s="150" t="str">
        <f>IF(ISNA(VLOOKUP(A389,Declarations!B$6:F$185,5,FALSE)),"",IF(VLOOKUP(A389,Declarations!B$6:F$185,5,FALSE)="","",VLOOKUP(A389,Declarations!B$6:F$185,5,FALSE)))</f>
        <v/>
      </c>
      <c r="D389" s="150" t="str">
        <f>IF(ISNA(VLOOKUP(A389,Declarations!B$6:F$185,4,FALSE)),"",IF(VLOOKUP(A389,Declarations!B$6:F$185,4,FALSE)="","",VLOOKUP(A389,Declarations!B$6:F$185,4,FALSE)))</f>
        <v/>
      </c>
      <c r="E389" s="150" t="str">
        <f>IF(ISNA(VLOOKUP(A389,Declarations!B$6:D$185,3,FALSE)),"",IF(VLOOKUP(A389,Declarations!B$6:D$185,3,FALSE)="","",VLOOKUP(A389,Declarations!B$6:D$185,3,FALSE)))</f>
        <v/>
      </c>
      <c r="F389" s="49" t="str">
        <f>IF(B389="","",IF(ISNA(VLOOKUP(A389,'75m'!F$5:G$302,2,FALSE)),"",VLOOKUP(A389,'75m'!F$5:G$302,2,FALSE)))</f>
        <v/>
      </c>
      <c r="G389" s="49">
        <f>IF(B389="",0,IF(ISNA(_xlfn.XLOOKUP(A389,'75m'!F$5:F$302,'75m'!M$5:M$302)),0,_xlfn.XLOOKUP(A389,'75m'!F$5:F$302,'75m'!M$5:M$302)))</f>
        <v>0</v>
      </c>
      <c r="H389" s="49" t="str">
        <f>IF(B389="","",IF(ISNA(VLOOKUP(A389,'75m'!F$5:K$302,6,FALSE)),"",VLOOKUP(A389,'75m'!F$5:K$302,6,FALSE)))</f>
        <v/>
      </c>
      <c r="I389" s="51">
        <f>IF(B389="",0,IF(ISNA(VLOOKUP(A389,'600m'!F$5:J$302,2,FALSE)),0,VLOOKUP(A389,'600m'!F$5:J$302,2,FALSE)))</f>
        <v>0</v>
      </c>
      <c r="J389" s="49">
        <f>IF(B389="",0,IF(ISNA(_xlfn.XLOOKUP(A389,'600m'!F$5:F$302,'600m'!M$5:M$302)),0,_xlfn.XLOOKUP(A389,'600m'!F$5:F$302,'600m'!M$5:M$302)))</f>
        <v>0</v>
      </c>
      <c r="K389" s="49" t="str">
        <f>IF(B389="","",IF(ISNA(VLOOKUP(A389,'600m'!F$5:K$302,6,FALSE)),"",VLOOKUP(A389,'600m'!F$5:K$302,6,FALSE)))</f>
        <v/>
      </c>
      <c r="L389" s="49" t="str">
        <f>IF(B389="","",IF(ISNA(VLOOKUP(A389,LongJump!F$5:G$302,2,FALSE)),"",VLOOKUP(A389,LongJump!F$5:G$302,2,FALSE)))</f>
        <v/>
      </c>
      <c r="M389" s="49">
        <f>IF(B389="",0,IF(ISNA(_xlfn.XLOOKUP(A389,LongJump!F$5:F$302,LongJump!M$5:M$302)),0,_xlfn.XLOOKUP(A389,LongJump!F$5:F$302,LongJump!M$5:M$302)))</f>
        <v>0</v>
      </c>
      <c r="N389" s="49" t="str">
        <f>IF(B389="","",IF(ISNA(VLOOKUP(A389,LongJump!F$5:K$302,6,FALSE)),0,VLOOKUP(A389,LongJump!F$5:K$302,6,FALSE)))</f>
        <v/>
      </c>
      <c r="O389" s="49" t="str">
        <f>IF(B389="","",IF(ISNA(VLOOKUP(A389,Vortex!F$5:J$302,2,FALSE)),"",VLOOKUP(A389,Vortex!F$5:J$302,2,FALSE)))</f>
        <v/>
      </c>
      <c r="P389" s="49">
        <f>IF(B389="",0,IF(ISNA(_xlfn.XLOOKUP(A389,Vortex!F$5:F$302,Vortex!M$5:M$302)),0,_xlfn.XLOOKUP(A389,Vortex!F$5:F$302,Vortex!M$5:M$302)))</f>
        <v>0</v>
      </c>
      <c r="Q389" s="49">
        <f t="shared" si="32"/>
        <v>0</v>
      </c>
      <c r="R389" s="49" t="str">
        <f t="shared" si="33"/>
        <v/>
      </c>
      <c r="S389" s="49" t="str">
        <f t="shared" si="34"/>
        <v/>
      </c>
      <c r="T389" s="49" t="str">
        <f t="shared" si="35"/>
        <v/>
      </c>
      <c r="U389" s="49" t="str">
        <f t="shared" si="36"/>
        <v/>
      </c>
    </row>
    <row r="390" spans="1:21">
      <c r="A390" s="49" t="str">
        <f>IF(Declarations!B147=0,"",Declarations!B147)</f>
        <v/>
      </c>
      <c r="B390" s="150" t="str">
        <f>IF(ISNA(VLOOKUP(A390,Declarations!B$6:C$185,2,FALSE)),"",IF(VLOOKUP(A390,Declarations!B$6:C$185,2,FALSE)="","",VLOOKUP(A390,Declarations!B$6:C$185,2,FALSE)))</f>
        <v/>
      </c>
      <c r="C390" s="150" t="str">
        <f>IF(ISNA(VLOOKUP(A390,Declarations!B$6:F$185,5,FALSE)),"",IF(VLOOKUP(A390,Declarations!B$6:F$185,5,FALSE)="","",VLOOKUP(A390,Declarations!B$6:F$185,5,FALSE)))</f>
        <v/>
      </c>
      <c r="D390" s="150" t="str">
        <f>IF(ISNA(VLOOKUP(A390,Declarations!B$6:F$185,4,FALSE)),"",IF(VLOOKUP(A390,Declarations!B$6:F$185,4,FALSE)="","",VLOOKUP(A390,Declarations!B$6:F$185,4,FALSE)))</f>
        <v/>
      </c>
      <c r="E390" s="150" t="str">
        <f>IF(ISNA(VLOOKUP(A390,Declarations!B$6:D$185,3,FALSE)),"",IF(VLOOKUP(A390,Declarations!B$6:D$185,3,FALSE)="","",VLOOKUP(A390,Declarations!B$6:D$185,3,FALSE)))</f>
        <v/>
      </c>
      <c r="F390" s="49" t="str">
        <f>IF(B390="","",IF(ISNA(VLOOKUP(A390,'75m'!F$5:G$302,2,FALSE)),"",VLOOKUP(A390,'75m'!F$5:G$302,2,FALSE)))</f>
        <v/>
      </c>
      <c r="G390" s="49">
        <f>IF(B390="",0,IF(ISNA(_xlfn.XLOOKUP(A390,'75m'!F$5:F$302,'75m'!M$5:M$302)),0,_xlfn.XLOOKUP(A390,'75m'!F$5:F$302,'75m'!M$5:M$302)))</f>
        <v>0</v>
      </c>
      <c r="H390" s="49" t="str">
        <f>IF(B390="","",IF(ISNA(VLOOKUP(A390,'75m'!F$5:K$302,6,FALSE)),"",VLOOKUP(A390,'75m'!F$5:K$302,6,FALSE)))</f>
        <v/>
      </c>
      <c r="I390" s="51">
        <f>IF(B390="",0,IF(ISNA(VLOOKUP(A390,'600m'!F$5:J$302,2,FALSE)),0,VLOOKUP(A390,'600m'!F$5:J$302,2,FALSE)))</f>
        <v>0</v>
      </c>
      <c r="J390" s="49">
        <f>IF(B390="",0,IF(ISNA(_xlfn.XLOOKUP(A390,'600m'!F$5:F$302,'600m'!M$5:M$302)),0,_xlfn.XLOOKUP(A390,'600m'!F$5:F$302,'600m'!M$5:M$302)))</f>
        <v>0</v>
      </c>
      <c r="K390" s="49" t="str">
        <f>IF(B390="","",IF(ISNA(VLOOKUP(A390,'600m'!F$5:K$302,6,FALSE)),"",VLOOKUP(A390,'600m'!F$5:K$302,6,FALSE)))</f>
        <v/>
      </c>
      <c r="L390" s="49" t="str">
        <f>IF(B390="","",IF(ISNA(VLOOKUP(A390,LongJump!F$5:G$302,2,FALSE)),"",VLOOKUP(A390,LongJump!F$5:G$302,2,FALSE)))</f>
        <v/>
      </c>
      <c r="M390" s="49">
        <f>IF(B390="",0,IF(ISNA(_xlfn.XLOOKUP(A390,LongJump!F$5:F$302,LongJump!M$5:M$302)),0,_xlfn.XLOOKUP(A390,LongJump!F$5:F$302,LongJump!M$5:M$302)))</f>
        <v>0</v>
      </c>
      <c r="N390" s="49" t="str">
        <f>IF(B390="","",IF(ISNA(VLOOKUP(A390,LongJump!F$5:K$302,6,FALSE)),0,VLOOKUP(A390,LongJump!F$5:K$302,6,FALSE)))</f>
        <v/>
      </c>
      <c r="O390" s="49" t="str">
        <f>IF(B390="","",IF(ISNA(VLOOKUP(A390,Vortex!F$5:J$302,2,FALSE)),"",VLOOKUP(A390,Vortex!F$5:J$302,2,FALSE)))</f>
        <v/>
      </c>
      <c r="P390" s="49">
        <f>IF(B390="",0,IF(ISNA(_xlfn.XLOOKUP(A390,Vortex!F$5:F$302,Vortex!M$5:M$302)),0,_xlfn.XLOOKUP(A390,Vortex!F$5:F$302,Vortex!M$5:M$302)))</f>
        <v>0</v>
      </c>
      <c r="Q390" s="49">
        <f t="shared" si="32"/>
        <v>0</v>
      </c>
      <c r="R390" s="49" t="str">
        <f t="shared" si="33"/>
        <v/>
      </c>
      <c r="S390" s="49" t="str">
        <f t="shared" si="34"/>
        <v/>
      </c>
      <c r="T390" s="49" t="str">
        <f t="shared" si="35"/>
        <v/>
      </c>
      <c r="U390" s="49" t="str">
        <f t="shared" si="36"/>
        <v/>
      </c>
    </row>
    <row r="391" spans="1:21">
      <c r="A391" s="49" t="str">
        <f>IF(Declarations!B148=0,"",Declarations!B148)</f>
        <v/>
      </c>
      <c r="B391" s="150" t="str">
        <f>IF(ISNA(VLOOKUP(A391,Declarations!B$6:C$185,2,FALSE)),"",IF(VLOOKUP(A391,Declarations!B$6:C$185,2,FALSE)="","",VLOOKUP(A391,Declarations!B$6:C$185,2,FALSE)))</f>
        <v/>
      </c>
      <c r="C391" s="150" t="str">
        <f>IF(ISNA(VLOOKUP(A391,Declarations!B$6:F$185,5,FALSE)),"",IF(VLOOKUP(A391,Declarations!B$6:F$185,5,FALSE)="","",VLOOKUP(A391,Declarations!B$6:F$185,5,FALSE)))</f>
        <v/>
      </c>
      <c r="D391" s="150" t="str">
        <f>IF(ISNA(VLOOKUP(A391,Declarations!B$6:F$185,4,FALSE)),"",IF(VLOOKUP(A391,Declarations!B$6:F$185,4,FALSE)="","",VLOOKUP(A391,Declarations!B$6:F$185,4,FALSE)))</f>
        <v/>
      </c>
      <c r="E391" s="150" t="str">
        <f>IF(ISNA(VLOOKUP(A391,Declarations!B$6:D$185,3,FALSE)),"",IF(VLOOKUP(A391,Declarations!B$6:D$185,3,FALSE)="","",VLOOKUP(A391,Declarations!B$6:D$185,3,FALSE)))</f>
        <v/>
      </c>
      <c r="F391" s="49" t="str">
        <f>IF(B391="","",IF(ISNA(VLOOKUP(A391,'75m'!F$5:G$302,2,FALSE)),"",VLOOKUP(A391,'75m'!F$5:G$302,2,FALSE)))</f>
        <v/>
      </c>
      <c r="G391" s="49">
        <f>IF(B391="",0,IF(ISNA(_xlfn.XLOOKUP(A391,'75m'!F$5:F$302,'75m'!M$5:M$302)),0,_xlfn.XLOOKUP(A391,'75m'!F$5:F$302,'75m'!M$5:M$302)))</f>
        <v>0</v>
      </c>
      <c r="H391" s="49" t="str">
        <f>IF(B391="","",IF(ISNA(VLOOKUP(A391,'75m'!F$5:K$302,6,FALSE)),"",VLOOKUP(A391,'75m'!F$5:K$302,6,FALSE)))</f>
        <v/>
      </c>
      <c r="I391" s="51">
        <f>IF(B391="",0,IF(ISNA(VLOOKUP(A391,'600m'!F$5:J$302,2,FALSE)),0,VLOOKUP(A391,'600m'!F$5:J$302,2,FALSE)))</f>
        <v>0</v>
      </c>
      <c r="J391" s="49">
        <f>IF(B391="",0,IF(ISNA(_xlfn.XLOOKUP(A391,'600m'!F$5:F$302,'600m'!M$5:M$302)),0,_xlfn.XLOOKUP(A391,'600m'!F$5:F$302,'600m'!M$5:M$302)))</f>
        <v>0</v>
      </c>
      <c r="K391" s="49" t="str">
        <f>IF(B391="","",IF(ISNA(VLOOKUP(A391,'600m'!F$5:K$302,6,FALSE)),"",VLOOKUP(A391,'600m'!F$5:K$302,6,FALSE)))</f>
        <v/>
      </c>
      <c r="L391" s="49" t="str">
        <f>IF(B391="","",IF(ISNA(VLOOKUP(A391,LongJump!F$5:G$302,2,FALSE)),"",VLOOKUP(A391,LongJump!F$5:G$302,2,FALSE)))</f>
        <v/>
      </c>
      <c r="M391" s="49">
        <f>IF(B391="",0,IF(ISNA(_xlfn.XLOOKUP(A391,LongJump!F$5:F$302,LongJump!M$5:M$302)),0,_xlfn.XLOOKUP(A391,LongJump!F$5:F$302,LongJump!M$5:M$302)))</f>
        <v>0</v>
      </c>
      <c r="N391" s="49" t="str">
        <f>IF(B391="","",IF(ISNA(VLOOKUP(A391,LongJump!F$5:K$302,6,FALSE)),0,VLOOKUP(A391,LongJump!F$5:K$302,6,FALSE)))</f>
        <v/>
      </c>
      <c r="O391" s="49" t="str">
        <f>IF(B391="","",IF(ISNA(VLOOKUP(A391,Vortex!F$5:J$302,2,FALSE)),"",VLOOKUP(A391,Vortex!F$5:J$302,2,FALSE)))</f>
        <v/>
      </c>
      <c r="P391" s="49">
        <f>IF(B391="",0,IF(ISNA(_xlfn.XLOOKUP(A391,Vortex!F$5:F$302,Vortex!M$5:M$302)),0,_xlfn.XLOOKUP(A391,Vortex!F$5:F$302,Vortex!M$5:M$302)))</f>
        <v>0</v>
      </c>
      <c r="Q391" s="49">
        <f t="shared" si="32"/>
        <v>0</v>
      </c>
      <c r="R391" s="49" t="str">
        <f t="shared" si="33"/>
        <v/>
      </c>
      <c r="S391" s="49" t="str">
        <f t="shared" si="34"/>
        <v/>
      </c>
      <c r="T391" s="49" t="str">
        <f t="shared" si="35"/>
        <v/>
      </c>
      <c r="U391" s="49" t="str">
        <f t="shared" si="36"/>
        <v/>
      </c>
    </row>
    <row r="392" spans="1:21">
      <c r="A392" s="49" t="str">
        <f>IF(Declarations!B149=0,"",Declarations!B149)</f>
        <v/>
      </c>
      <c r="B392" s="150" t="str">
        <f>IF(ISNA(VLOOKUP(A392,Declarations!B$6:C$185,2,FALSE)),"",IF(VLOOKUP(A392,Declarations!B$6:C$185,2,FALSE)="","",VLOOKUP(A392,Declarations!B$6:C$185,2,FALSE)))</f>
        <v/>
      </c>
      <c r="C392" s="150" t="str">
        <f>IF(ISNA(VLOOKUP(A392,Declarations!B$6:F$185,5,FALSE)),"",IF(VLOOKUP(A392,Declarations!B$6:F$185,5,FALSE)="","",VLOOKUP(A392,Declarations!B$6:F$185,5,FALSE)))</f>
        <v/>
      </c>
      <c r="D392" s="150" t="str">
        <f>IF(ISNA(VLOOKUP(A392,Declarations!B$6:F$185,4,FALSE)),"",IF(VLOOKUP(A392,Declarations!B$6:F$185,4,FALSE)="","",VLOOKUP(A392,Declarations!B$6:F$185,4,FALSE)))</f>
        <v/>
      </c>
      <c r="E392" s="150" t="str">
        <f>IF(ISNA(VLOOKUP(A392,Declarations!B$6:D$185,3,FALSE)),"",IF(VLOOKUP(A392,Declarations!B$6:D$185,3,FALSE)="","",VLOOKUP(A392,Declarations!B$6:D$185,3,FALSE)))</f>
        <v/>
      </c>
      <c r="F392" s="49" t="str">
        <f>IF(B392="","",IF(ISNA(VLOOKUP(A392,'75m'!F$5:G$302,2,FALSE)),"",VLOOKUP(A392,'75m'!F$5:G$302,2,FALSE)))</f>
        <v/>
      </c>
      <c r="G392" s="49">
        <f>IF(B392="",0,IF(ISNA(_xlfn.XLOOKUP(A392,'75m'!F$5:F$302,'75m'!M$5:M$302)),0,_xlfn.XLOOKUP(A392,'75m'!F$5:F$302,'75m'!M$5:M$302)))</f>
        <v>0</v>
      </c>
      <c r="H392" s="49" t="str">
        <f>IF(B392="","",IF(ISNA(VLOOKUP(A392,'75m'!F$5:K$302,6,FALSE)),"",VLOOKUP(A392,'75m'!F$5:K$302,6,FALSE)))</f>
        <v/>
      </c>
      <c r="I392" s="51">
        <f>IF(B392="",0,IF(ISNA(VLOOKUP(A392,'600m'!F$5:J$302,2,FALSE)),0,VLOOKUP(A392,'600m'!F$5:J$302,2,FALSE)))</f>
        <v>0</v>
      </c>
      <c r="J392" s="49">
        <f>IF(B392="",0,IF(ISNA(_xlfn.XLOOKUP(A392,'600m'!F$5:F$302,'600m'!M$5:M$302)),0,_xlfn.XLOOKUP(A392,'600m'!F$5:F$302,'600m'!M$5:M$302)))</f>
        <v>0</v>
      </c>
      <c r="K392" s="49" t="str">
        <f>IF(B392="","",IF(ISNA(VLOOKUP(A392,'600m'!F$5:K$302,6,FALSE)),"",VLOOKUP(A392,'600m'!F$5:K$302,6,FALSE)))</f>
        <v/>
      </c>
      <c r="L392" s="49" t="str">
        <f>IF(B392="","",IF(ISNA(VLOOKUP(A392,LongJump!F$5:G$302,2,FALSE)),"",VLOOKUP(A392,LongJump!F$5:G$302,2,FALSE)))</f>
        <v/>
      </c>
      <c r="M392" s="49">
        <f>IF(B392="",0,IF(ISNA(_xlfn.XLOOKUP(A392,LongJump!F$5:F$302,LongJump!M$5:M$302)),0,_xlfn.XLOOKUP(A392,LongJump!F$5:F$302,LongJump!M$5:M$302)))</f>
        <v>0</v>
      </c>
      <c r="N392" s="49" t="str">
        <f>IF(B392="","",IF(ISNA(VLOOKUP(A392,LongJump!F$5:K$302,6,FALSE)),0,VLOOKUP(A392,LongJump!F$5:K$302,6,FALSE)))</f>
        <v/>
      </c>
      <c r="O392" s="49" t="str">
        <f>IF(B392="","",IF(ISNA(VLOOKUP(A392,Vortex!F$5:J$302,2,FALSE)),"",VLOOKUP(A392,Vortex!F$5:J$302,2,FALSE)))</f>
        <v/>
      </c>
      <c r="P392" s="49">
        <f>IF(B392="",0,IF(ISNA(_xlfn.XLOOKUP(A392,Vortex!F$5:F$302,Vortex!M$5:M$302)),0,_xlfn.XLOOKUP(A392,Vortex!F$5:F$302,Vortex!M$5:M$302)))</f>
        <v>0</v>
      </c>
      <c r="Q392" s="49">
        <f t="shared" si="32"/>
        <v>0</v>
      </c>
      <c r="R392" s="49" t="str">
        <f t="shared" si="33"/>
        <v/>
      </c>
      <c r="S392" s="49" t="str">
        <f t="shared" si="34"/>
        <v/>
      </c>
      <c r="T392" s="49" t="str">
        <f t="shared" si="35"/>
        <v/>
      </c>
      <c r="U392" s="49" t="str">
        <f t="shared" si="36"/>
        <v/>
      </c>
    </row>
    <row r="393" spans="1:21">
      <c r="A393" s="49" t="str">
        <f>IF(Declarations!B150=0,"",Declarations!B150)</f>
        <v/>
      </c>
      <c r="B393" s="150" t="str">
        <f>IF(ISNA(VLOOKUP(A393,Declarations!B$6:C$185,2,FALSE)),"",IF(VLOOKUP(A393,Declarations!B$6:C$185,2,FALSE)="","",VLOOKUP(A393,Declarations!B$6:C$185,2,FALSE)))</f>
        <v/>
      </c>
      <c r="C393" s="150" t="str">
        <f>IF(ISNA(VLOOKUP(A393,Declarations!B$6:F$185,5,FALSE)),"",IF(VLOOKUP(A393,Declarations!B$6:F$185,5,FALSE)="","",VLOOKUP(A393,Declarations!B$6:F$185,5,FALSE)))</f>
        <v/>
      </c>
      <c r="D393" s="150" t="str">
        <f>IF(ISNA(VLOOKUP(A393,Declarations!B$6:F$185,4,FALSE)),"",IF(VLOOKUP(A393,Declarations!B$6:F$185,4,FALSE)="","",VLOOKUP(A393,Declarations!B$6:F$185,4,FALSE)))</f>
        <v/>
      </c>
      <c r="E393" s="150" t="str">
        <f>IF(ISNA(VLOOKUP(A393,Declarations!B$6:D$185,3,FALSE)),"",IF(VLOOKUP(A393,Declarations!B$6:D$185,3,FALSE)="","",VLOOKUP(A393,Declarations!B$6:D$185,3,FALSE)))</f>
        <v/>
      </c>
      <c r="F393" s="49" t="str">
        <f>IF(B393="","",IF(ISNA(VLOOKUP(A393,'75m'!F$5:G$302,2,FALSE)),"",VLOOKUP(A393,'75m'!F$5:G$302,2,FALSE)))</f>
        <v/>
      </c>
      <c r="G393" s="49">
        <f>IF(B393="",0,IF(ISNA(_xlfn.XLOOKUP(A393,'75m'!F$5:F$302,'75m'!M$5:M$302)),0,_xlfn.XLOOKUP(A393,'75m'!F$5:F$302,'75m'!M$5:M$302)))</f>
        <v>0</v>
      </c>
      <c r="H393" s="49" t="str">
        <f>IF(B393="","",IF(ISNA(VLOOKUP(A393,'75m'!F$5:K$302,6,FALSE)),"",VLOOKUP(A393,'75m'!F$5:K$302,6,FALSE)))</f>
        <v/>
      </c>
      <c r="I393" s="51">
        <f>IF(B393="",0,IF(ISNA(VLOOKUP(A393,'600m'!F$5:J$302,2,FALSE)),0,VLOOKUP(A393,'600m'!F$5:J$302,2,FALSE)))</f>
        <v>0</v>
      </c>
      <c r="J393" s="49">
        <f>IF(B393="",0,IF(ISNA(_xlfn.XLOOKUP(A393,'600m'!F$5:F$302,'600m'!M$5:M$302)),0,_xlfn.XLOOKUP(A393,'600m'!F$5:F$302,'600m'!M$5:M$302)))</f>
        <v>0</v>
      </c>
      <c r="K393" s="49" t="str">
        <f>IF(B393="","",IF(ISNA(VLOOKUP(A393,'600m'!F$5:K$302,6,FALSE)),"",VLOOKUP(A393,'600m'!F$5:K$302,6,FALSE)))</f>
        <v/>
      </c>
      <c r="L393" s="49" t="str">
        <f>IF(B393="","",IF(ISNA(VLOOKUP(A393,LongJump!F$5:G$302,2,FALSE)),"",VLOOKUP(A393,LongJump!F$5:G$302,2,FALSE)))</f>
        <v/>
      </c>
      <c r="M393" s="49">
        <f>IF(B393="",0,IF(ISNA(_xlfn.XLOOKUP(A393,LongJump!F$5:F$302,LongJump!M$5:M$302)),0,_xlfn.XLOOKUP(A393,LongJump!F$5:F$302,LongJump!M$5:M$302)))</f>
        <v>0</v>
      </c>
      <c r="N393" s="49" t="str">
        <f>IF(B393="","",IF(ISNA(VLOOKUP(A393,LongJump!F$5:K$302,6,FALSE)),0,VLOOKUP(A393,LongJump!F$5:K$302,6,FALSE)))</f>
        <v/>
      </c>
      <c r="O393" s="49" t="str">
        <f>IF(B393="","",IF(ISNA(VLOOKUP(A393,Vortex!F$5:J$302,2,FALSE)),"",VLOOKUP(A393,Vortex!F$5:J$302,2,FALSE)))</f>
        <v/>
      </c>
      <c r="P393" s="49">
        <f>IF(B393="",0,IF(ISNA(_xlfn.XLOOKUP(A393,Vortex!F$5:F$302,Vortex!M$5:M$302)),0,_xlfn.XLOOKUP(A393,Vortex!F$5:F$302,Vortex!M$5:M$302)))</f>
        <v>0</v>
      </c>
      <c r="Q393" s="49">
        <f t="shared" si="32"/>
        <v>0</v>
      </c>
      <c r="R393" s="49" t="str">
        <f t="shared" si="33"/>
        <v/>
      </c>
      <c r="S393" s="49" t="str">
        <f t="shared" si="34"/>
        <v/>
      </c>
      <c r="T393" s="49" t="str">
        <f t="shared" si="35"/>
        <v/>
      </c>
      <c r="U393" s="49" t="str">
        <f t="shared" si="36"/>
        <v/>
      </c>
    </row>
    <row r="394" spans="1:21">
      <c r="A394" s="49" t="str">
        <f>IF(Declarations!B151=0,"",Declarations!B151)</f>
        <v/>
      </c>
      <c r="B394" s="150" t="str">
        <f>IF(ISNA(VLOOKUP(A394,Declarations!B$6:C$185,2,FALSE)),"",IF(VLOOKUP(A394,Declarations!B$6:C$185,2,FALSE)="","",VLOOKUP(A394,Declarations!B$6:C$185,2,FALSE)))</f>
        <v/>
      </c>
      <c r="C394" s="150" t="str">
        <f>IF(ISNA(VLOOKUP(A394,Declarations!B$6:F$185,5,FALSE)),"",IF(VLOOKUP(A394,Declarations!B$6:F$185,5,FALSE)="","",VLOOKUP(A394,Declarations!B$6:F$185,5,FALSE)))</f>
        <v/>
      </c>
      <c r="D394" s="150" t="str">
        <f>IF(ISNA(VLOOKUP(A394,Declarations!B$6:F$185,4,FALSE)),"",IF(VLOOKUP(A394,Declarations!B$6:F$185,4,FALSE)="","",VLOOKUP(A394,Declarations!B$6:F$185,4,FALSE)))</f>
        <v/>
      </c>
      <c r="E394" s="150" t="str">
        <f>IF(ISNA(VLOOKUP(A394,Declarations!B$6:D$185,3,FALSE)),"",IF(VLOOKUP(A394,Declarations!B$6:D$185,3,FALSE)="","",VLOOKUP(A394,Declarations!B$6:D$185,3,FALSE)))</f>
        <v/>
      </c>
      <c r="F394" s="49" t="str">
        <f>IF(B394="","",IF(ISNA(VLOOKUP(A394,'75m'!F$5:G$302,2,FALSE)),"",VLOOKUP(A394,'75m'!F$5:G$302,2,FALSE)))</f>
        <v/>
      </c>
      <c r="G394" s="49">
        <f>IF(B394="",0,IF(ISNA(_xlfn.XLOOKUP(A394,'75m'!F$5:F$302,'75m'!M$5:M$302)),0,_xlfn.XLOOKUP(A394,'75m'!F$5:F$302,'75m'!M$5:M$302)))</f>
        <v>0</v>
      </c>
      <c r="H394" s="49" t="str">
        <f>IF(B394="","",IF(ISNA(VLOOKUP(A394,'75m'!F$5:K$302,6,FALSE)),"",VLOOKUP(A394,'75m'!F$5:K$302,6,FALSE)))</f>
        <v/>
      </c>
      <c r="I394" s="51">
        <f>IF(B394="",0,IF(ISNA(VLOOKUP(A394,'600m'!F$5:J$302,2,FALSE)),0,VLOOKUP(A394,'600m'!F$5:J$302,2,FALSE)))</f>
        <v>0</v>
      </c>
      <c r="J394" s="49">
        <f>IF(B394="",0,IF(ISNA(_xlfn.XLOOKUP(A394,'600m'!F$5:F$302,'600m'!M$5:M$302)),0,_xlfn.XLOOKUP(A394,'600m'!F$5:F$302,'600m'!M$5:M$302)))</f>
        <v>0</v>
      </c>
      <c r="K394" s="49" t="str">
        <f>IF(B394="","",IF(ISNA(VLOOKUP(A394,'600m'!F$5:K$302,6,FALSE)),"",VLOOKUP(A394,'600m'!F$5:K$302,6,FALSE)))</f>
        <v/>
      </c>
      <c r="L394" s="49" t="str">
        <f>IF(B394="","",IF(ISNA(VLOOKUP(A394,LongJump!F$5:G$302,2,FALSE)),"",VLOOKUP(A394,LongJump!F$5:G$302,2,FALSE)))</f>
        <v/>
      </c>
      <c r="M394" s="49">
        <f>IF(B394="",0,IF(ISNA(_xlfn.XLOOKUP(A394,LongJump!F$5:F$302,LongJump!M$5:M$302)),0,_xlfn.XLOOKUP(A394,LongJump!F$5:F$302,LongJump!M$5:M$302)))</f>
        <v>0</v>
      </c>
      <c r="N394" s="49" t="str">
        <f>IF(B394="","",IF(ISNA(VLOOKUP(A394,LongJump!F$5:K$302,6,FALSE)),0,VLOOKUP(A394,LongJump!F$5:K$302,6,FALSE)))</f>
        <v/>
      </c>
      <c r="O394" s="49" t="str">
        <f>IF(B394="","",IF(ISNA(VLOOKUP(A394,Vortex!F$5:J$302,2,FALSE)),"",VLOOKUP(A394,Vortex!F$5:J$302,2,FALSE)))</f>
        <v/>
      </c>
      <c r="P394" s="49">
        <f>IF(B394="",0,IF(ISNA(_xlfn.XLOOKUP(A394,Vortex!F$5:F$302,Vortex!M$5:M$302)),0,_xlfn.XLOOKUP(A394,Vortex!F$5:F$302,Vortex!M$5:M$302)))</f>
        <v>0</v>
      </c>
      <c r="Q394" s="49">
        <f t="shared" si="32"/>
        <v>0</v>
      </c>
      <c r="R394" s="49" t="str">
        <f t="shared" si="33"/>
        <v/>
      </c>
      <c r="S394" s="49" t="str">
        <f t="shared" si="34"/>
        <v/>
      </c>
      <c r="T394" s="49" t="str">
        <f t="shared" si="35"/>
        <v/>
      </c>
      <c r="U394" s="49" t="str">
        <f t="shared" si="36"/>
        <v/>
      </c>
    </row>
    <row r="395" spans="1:21">
      <c r="A395" s="49" t="str">
        <f>IF(Declarations!B152=0,"",Declarations!B152)</f>
        <v/>
      </c>
      <c r="B395" s="150" t="str">
        <f>IF(ISNA(VLOOKUP(A395,Declarations!B$6:C$185,2,FALSE)),"",IF(VLOOKUP(A395,Declarations!B$6:C$185,2,FALSE)="","",VLOOKUP(A395,Declarations!B$6:C$185,2,FALSE)))</f>
        <v/>
      </c>
      <c r="C395" s="150" t="str">
        <f>IF(ISNA(VLOOKUP(A395,Declarations!B$6:F$185,5,FALSE)),"",IF(VLOOKUP(A395,Declarations!B$6:F$185,5,FALSE)="","",VLOOKUP(A395,Declarations!B$6:F$185,5,FALSE)))</f>
        <v/>
      </c>
      <c r="D395" s="150" t="str">
        <f>IF(ISNA(VLOOKUP(A395,Declarations!B$6:F$185,4,FALSE)),"",IF(VLOOKUP(A395,Declarations!B$6:F$185,4,FALSE)="","",VLOOKUP(A395,Declarations!B$6:F$185,4,FALSE)))</f>
        <v/>
      </c>
      <c r="E395" s="150" t="str">
        <f>IF(ISNA(VLOOKUP(A395,Declarations!B$6:D$185,3,FALSE)),"",IF(VLOOKUP(A395,Declarations!B$6:D$185,3,FALSE)="","",VLOOKUP(A395,Declarations!B$6:D$185,3,FALSE)))</f>
        <v/>
      </c>
      <c r="F395" s="49" t="str">
        <f>IF(B395="","",IF(ISNA(VLOOKUP(A395,'75m'!F$5:G$302,2,FALSE)),"",VLOOKUP(A395,'75m'!F$5:G$302,2,FALSE)))</f>
        <v/>
      </c>
      <c r="G395" s="49">
        <f>IF(B395="",0,IF(ISNA(_xlfn.XLOOKUP(A395,'75m'!F$5:F$302,'75m'!M$5:M$302)),0,_xlfn.XLOOKUP(A395,'75m'!F$5:F$302,'75m'!M$5:M$302)))</f>
        <v>0</v>
      </c>
      <c r="H395" s="49" t="str">
        <f>IF(B395="","",IF(ISNA(VLOOKUP(A395,'75m'!F$5:K$302,6,FALSE)),"",VLOOKUP(A395,'75m'!F$5:K$302,6,FALSE)))</f>
        <v/>
      </c>
      <c r="I395" s="51">
        <f>IF(B395="",0,IF(ISNA(VLOOKUP(A395,'600m'!F$5:J$302,2,FALSE)),0,VLOOKUP(A395,'600m'!F$5:J$302,2,FALSE)))</f>
        <v>0</v>
      </c>
      <c r="J395" s="49">
        <f>IF(B395="",0,IF(ISNA(_xlfn.XLOOKUP(A395,'600m'!F$5:F$302,'600m'!M$5:M$302)),0,_xlfn.XLOOKUP(A395,'600m'!F$5:F$302,'600m'!M$5:M$302)))</f>
        <v>0</v>
      </c>
      <c r="K395" s="49" t="str">
        <f>IF(B395="","",IF(ISNA(VLOOKUP(A395,'600m'!F$5:K$302,6,FALSE)),"",VLOOKUP(A395,'600m'!F$5:K$302,6,FALSE)))</f>
        <v/>
      </c>
      <c r="L395" s="49" t="str">
        <f>IF(B395="","",IF(ISNA(VLOOKUP(A395,LongJump!F$5:G$302,2,FALSE)),"",VLOOKUP(A395,LongJump!F$5:G$302,2,FALSE)))</f>
        <v/>
      </c>
      <c r="M395" s="49">
        <f>IF(B395="",0,IF(ISNA(_xlfn.XLOOKUP(A395,LongJump!F$5:F$302,LongJump!M$5:M$302)),0,_xlfn.XLOOKUP(A395,LongJump!F$5:F$302,LongJump!M$5:M$302)))</f>
        <v>0</v>
      </c>
      <c r="N395" s="49" t="str">
        <f>IF(B395="","",IF(ISNA(VLOOKUP(A395,LongJump!F$5:K$302,6,FALSE)),0,VLOOKUP(A395,LongJump!F$5:K$302,6,FALSE)))</f>
        <v/>
      </c>
      <c r="O395" s="49" t="str">
        <f>IF(B395="","",IF(ISNA(VLOOKUP(A395,Vortex!F$5:J$302,2,FALSE)),"",VLOOKUP(A395,Vortex!F$5:J$302,2,FALSE)))</f>
        <v/>
      </c>
      <c r="P395" s="49">
        <f>IF(B395="",0,IF(ISNA(_xlfn.XLOOKUP(A395,Vortex!F$5:F$302,Vortex!M$5:M$302)),0,_xlfn.XLOOKUP(A395,Vortex!F$5:F$302,Vortex!M$5:M$302)))</f>
        <v>0</v>
      </c>
      <c r="Q395" s="49">
        <f t="shared" si="32"/>
        <v>0</v>
      </c>
      <c r="R395" s="49" t="str">
        <f t="shared" si="33"/>
        <v/>
      </c>
      <c r="S395" s="49" t="str">
        <f t="shared" si="34"/>
        <v/>
      </c>
      <c r="T395" s="49" t="str">
        <f t="shared" si="35"/>
        <v/>
      </c>
      <c r="U395" s="49" t="str">
        <f t="shared" si="36"/>
        <v/>
      </c>
    </row>
    <row r="396" spans="1:21">
      <c r="A396" s="49" t="str">
        <f>IF(Declarations!B153=0,"",Declarations!B153)</f>
        <v/>
      </c>
      <c r="B396" s="150" t="str">
        <f>IF(ISNA(VLOOKUP(A396,Declarations!B$6:C$185,2,FALSE)),"",IF(VLOOKUP(A396,Declarations!B$6:C$185,2,FALSE)="","",VLOOKUP(A396,Declarations!B$6:C$185,2,FALSE)))</f>
        <v/>
      </c>
      <c r="C396" s="150" t="str">
        <f>IF(ISNA(VLOOKUP(A396,Declarations!B$6:F$185,5,FALSE)),"",IF(VLOOKUP(A396,Declarations!B$6:F$185,5,FALSE)="","",VLOOKUP(A396,Declarations!B$6:F$185,5,FALSE)))</f>
        <v/>
      </c>
      <c r="D396" s="150" t="str">
        <f>IF(ISNA(VLOOKUP(A396,Declarations!B$6:F$185,4,FALSE)),"",IF(VLOOKUP(A396,Declarations!B$6:F$185,4,FALSE)="","",VLOOKUP(A396,Declarations!B$6:F$185,4,FALSE)))</f>
        <v/>
      </c>
      <c r="E396" s="150" t="str">
        <f>IF(ISNA(VLOOKUP(A396,Declarations!B$6:D$185,3,FALSE)),"",IF(VLOOKUP(A396,Declarations!B$6:D$185,3,FALSE)="","",VLOOKUP(A396,Declarations!B$6:D$185,3,FALSE)))</f>
        <v/>
      </c>
      <c r="F396" s="49" t="str">
        <f>IF(B396="","",IF(ISNA(VLOOKUP(A396,'75m'!F$5:G$302,2,FALSE)),"",VLOOKUP(A396,'75m'!F$5:G$302,2,FALSE)))</f>
        <v/>
      </c>
      <c r="G396" s="49">
        <f>IF(B396="",0,IF(ISNA(_xlfn.XLOOKUP(A396,'75m'!F$5:F$302,'75m'!M$5:M$302)),0,_xlfn.XLOOKUP(A396,'75m'!F$5:F$302,'75m'!M$5:M$302)))</f>
        <v>0</v>
      </c>
      <c r="H396" s="49" t="str">
        <f>IF(B396="","",IF(ISNA(VLOOKUP(A396,'75m'!F$5:K$302,6,FALSE)),"",VLOOKUP(A396,'75m'!F$5:K$302,6,FALSE)))</f>
        <v/>
      </c>
      <c r="I396" s="51">
        <f>IF(B396="",0,IF(ISNA(VLOOKUP(A396,'600m'!F$5:J$302,2,FALSE)),0,VLOOKUP(A396,'600m'!F$5:J$302,2,FALSE)))</f>
        <v>0</v>
      </c>
      <c r="J396" s="49">
        <f>IF(B396="",0,IF(ISNA(_xlfn.XLOOKUP(A396,'600m'!F$5:F$302,'600m'!M$5:M$302)),0,_xlfn.XLOOKUP(A396,'600m'!F$5:F$302,'600m'!M$5:M$302)))</f>
        <v>0</v>
      </c>
      <c r="K396" s="49" t="str">
        <f>IF(B396="","",IF(ISNA(VLOOKUP(A396,'600m'!F$5:K$302,6,FALSE)),"",VLOOKUP(A396,'600m'!F$5:K$302,6,FALSE)))</f>
        <v/>
      </c>
      <c r="L396" s="49" t="str">
        <f>IF(B396="","",IF(ISNA(VLOOKUP(A396,LongJump!F$5:G$302,2,FALSE)),"",VLOOKUP(A396,LongJump!F$5:G$302,2,FALSE)))</f>
        <v/>
      </c>
      <c r="M396" s="49">
        <f>IF(B396="",0,IF(ISNA(_xlfn.XLOOKUP(A396,LongJump!F$5:F$302,LongJump!M$5:M$302)),0,_xlfn.XLOOKUP(A396,LongJump!F$5:F$302,LongJump!M$5:M$302)))</f>
        <v>0</v>
      </c>
      <c r="N396" s="49" t="str">
        <f>IF(B396="","",IF(ISNA(VLOOKUP(A396,LongJump!F$5:K$302,6,FALSE)),0,VLOOKUP(A396,LongJump!F$5:K$302,6,FALSE)))</f>
        <v/>
      </c>
      <c r="O396" s="49" t="str">
        <f>IF(B396="","",IF(ISNA(VLOOKUP(A396,Vortex!F$5:J$302,2,FALSE)),"",VLOOKUP(A396,Vortex!F$5:J$302,2,FALSE)))</f>
        <v/>
      </c>
      <c r="P396" s="49">
        <f>IF(B396="",0,IF(ISNA(_xlfn.XLOOKUP(A396,Vortex!F$5:F$302,Vortex!M$5:M$302)),0,_xlfn.XLOOKUP(A396,Vortex!F$5:F$302,Vortex!M$5:M$302)))</f>
        <v>0</v>
      </c>
      <c r="Q396" s="49">
        <f t="shared" si="32"/>
        <v>0</v>
      </c>
      <c r="R396" s="49" t="str">
        <f t="shared" si="33"/>
        <v/>
      </c>
      <c r="S396" s="49" t="str">
        <f t="shared" si="34"/>
        <v/>
      </c>
      <c r="T396" s="49" t="str">
        <f t="shared" si="35"/>
        <v/>
      </c>
      <c r="U396" s="49" t="str">
        <f t="shared" si="36"/>
        <v/>
      </c>
    </row>
    <row r="397" spans="1:21">
      <c r="A397" s="49" t="str">
        <f>IF(Declarations!B154=0,"",Declarations!B154)</f>
        <v/>
      </c>
      <c r="B397" s="150" t="str">
        <f>IF(ISNA(VLOOKUP(A397,Declarations!B$6:C$185,2,FALSE)),"",IF(VLOOKUP(A397,Declarations!B$6:C$185,2,FALSE)="","",VLOOKUP(A397,Declarations!B$6:C$185,2,FALSE)))</f>
        <v/>
      </c>
      <c r="C397" s="150" t="str">
        <f>IF(ISNA(VLOOKUP(A397,Declarations!B$6:F$185,5,FALSE)),"",IF(VLOOKUP(A397,Declarations!B$6:F$185,5,FALSE)="","",VLOOKUP(A397,Declarations!B$6:F$185,5,FALSE)))</f>
        <v/>
      </c>
      <c r="D397" s="150" t="str">
        <f>IF(ISNA(VLOOKUP(A397,Declarations!B$6:F$185,4,FALSE)),"",IF(VLOOKUP(A397,Declarations!B$6:F$185,4,FALSE)="","",VLOOKUP(A397,Declarations!B$6:F$185,4,FALSE)))</f>
        <v/>
      </c>
      <c r="E397" s="150" t="str">
        <f>IF(ISNA(VLOOKUP(A397,Declarations!B$6:D$185,3,FALSE)),"",IF(VLOOKUP(A397,Declarations!B$6:D$185,3,FALSE)="","",VLOOKUP(A397,Declarations!B$6:D$185,3,FALSE)))</f>
        <v/>
      </c>
      <c r="F397" s="49" t="str">
        <f>IF(B397="","",IF(ISNA(VLOOKUP(A397,'75m'!F$5:G$302,2,FALSE)),"",VLOOKUP(A397,'75m'!F$5:G$302,2,FALSE)))</f>
        <v/>
      </c>
      <c r="G397" s="49">
        <f>IF(B397="",0,IF(ISNA(_xlfn.XLOOKUP(A397,'75m'!F$5:F$302,'75m'!M$5:M$302)),0,_xlfn.XLOOKUP(A397,'75m'!F$5:F$302,'75m'!M$5:M$302)))</f>
        <v>0</v>
      </c>
      <c r="H397" s="49" t="str">
        <f>IF(B397="","",IF(ISNA(VLOOKUP(A397,'75m'!F$5:K$302,6,FALSE)),"",VLOOKUP(A397,'75m'!F$5:K$302,6,FALSE)))</f>
        <v/>
      </c>
      <c r="I397" s="51">
        <f>IF(B397="",0,IF(ISNA(VLOOKUP(A397,'600m'!F$5:J$302,2,FALSE)),0,VLOOKUP(A397,'600m'!F$5:J$302,2,FALSE)))</f>
        <v>0</v>
      </c>
      <c r="J397" s="49">
        <f>IF(B397="",0,IF(ISNA(_xlfn.XLOOKUP(A397,'600m'!F$5:F$302,'600m'!M$5:M$302)),0,_xlfn.XLOOKUP(A397,'600m'!F$5:F$302,'600m'!M$5:M$302)))</f>
        <v>0</v>
      </c>
      <c r="K397" s="49" t="str">
        <f>IF(B397="","",IF(ISNA(VLOOKUP(A397,'600m'!F$5:K$302,6,FALSE)),"",VLOOKUP(A397,'600m'!F$5:K$302,6,FALSE)))</f>
        <v/>
      </c>
      <c r="L397" s="49" t="str">
        <f>IF(B397="","",IF(ISNA(VLOOKUP(A397,LongJump!F$5:G$302,2,FALSE)),"",VLOOKUP(A397,LongJump!F$5:G$302,2,FALSE)))</f>
        <v/>
      </c>
      <c r="M397" s="49">
        <f>IF(B397="",0,IF(ISNA(_xlfn.XLOOKUP(A397,LongJump!F$5:F$302,LongJump!M$5:M$302)),0,_xlfn.XLOOKUP(A397,LongJump!F$5:F$302,LongJump!M$5:M$302)))</f>
        <v>0</v>
      </c>
      <c r="N397" s="49" t="str">
        <f>IF(B397="","",IF(ISNA(VLOOKUP(A397,LongJump!F$5:K$302,6,FALSE)),0,VLOOKUP(A397,LongJump!F$5:K$302,6,FALSE)))</f>
        <v/>
      </c>
      <c r="O397" s="49" t="str">
        <f>IF(B397="","",IF(ISNA(VLOOKUP(A397,Vortex!F$5:J$302,2,FALSE)),"",VLOOKUP(A397,Vortex!F$5:J$302,2,FALSE)))</f>
        <v/>
      </c>
      <c r="P397" s="49">
        <f>IF(B397="",0,IF(ISNA(_xlfn.XLOOKUP(A397,Vortex!F$5:F$302,Vortex!M$5:M$302)),0,_xlfn.XLOOKUP(A397,Vortex!F$5:F$302,Vortex!M$5:M$302)))</f>
        <v>0</v>
      </c>
      <c r="Q397" s="49">
        <f t="shared" si="32"/>
        <v>0</v>
      </c>
      <c r="R397" s="49" t="str">
        <f t="shared" si="33"/>
        <v/>
      </c>
      <c r="S397" s="49" t="str">
        <f t="shared" si="34"/>
        <v/>
      </c>
      <c r="T397" s="49" t="str">
        <f t="shared" si="35"/>
        <v/>
      </c>
      <c r="U397" s="49" t="str">
        <f t="shared" si="36"/>
        <v/>
      </c>
    </row>
    <row r="398" spans="1:21">
      <c r="A398" s="49" t="str">
        <f>IF(Declarations!B155=0,"",Declarations!B155)</f>
        <v/>
      </c>
      <c r="B398" s="150" t="str">
        <f>IF(ISNA(VLOOKUP(A398,Declarations!B$6:C$185,2,FALSE)),"",IF(VLOOKUP(A398,Declarations!B$6:C$185,2,FALSE)="","",VLOOKUP(A398,Declarations!B$6:C$185,2,FALSE)))</f>
        <v/>
      </c>
      <c r="C398" s="150" t="str">
        <f>IF(ISNA(VLOOKUP(A398,Declarations!B$6:F$185,5,FALSE)),"",IF(VLOOKUP(A398,Declarations!B$6:F$185,5,FALSE)="","",VLOOKUP(A398,Declarations!B$6:F$185,5,FALSE)))</f>
        <v/>
      </c>
      <c r="D398" s="150" t="str">
        <f>IF(ISNA(VLOOKUP(A398,Declarations!B$6:F$185,4,FALSE)),"",IF(VLOOKUP(A398,Declarations!B$6:F$185,4,FALSE)="","",VLOOKUP(A398,Declarations!B$6:F$185,4,FALSE)))</f>
        <v/>
      </c>
      <c r="E398" s="150" t="str">
        <f>IF(ISNA(VLOOKUP(A398,Declarations!B$6:D$185,3,FALSE)),"",IF(VLOOKUP(A398,Declarations!B$6:D$185,3,FALSE)="","",VLOOKUP(A398,Declarations!B$6:D$185,3,FALSE)))</f>
        <v/>
      </c>
      <c r="F398" s="49" t="str">
        <f>IF(B398="","",IF(ISNA(VLOOKUP(A398,'75m'!F$5:G$302,2,FALSE)),"",VLOOKUP(A398,'75m'!F$5:G$302,2,FALSE)))</f>
        <v/>
      </c>
      <c r="G398" s="49">
        <f>IF(B398="",0,IF(ISNA(_xlfn.XLOOKUP(A398,'75m'!F$5:F$302,'75m'!M$5:M$302)),0,_xlfn.XLOOKUP(A398,'75m'!F$5:F$302,'75m'!M$5:M$302)))</f>
        <v>0</v>
      </c>
      <c r="H398" s="49" t="str">
        <f>IF(B398="","",IF(ISNA(VLOOKUP(A398,'75m'!F$5:K$302,6,FALSE)),"",VLOOKUP(A398,'75m'!F$5:K$302,6,FALSE)))</f>
        <v/>
      </c>
      <c r="I398" s="51">
        <f>IF(B398="",0,IF(ISNA(VLOOKUP(A398,'600m'!F$5:J$302,2,FALSE)),0,VLOOKUP(A398,'600m'!F$5:J$302,2,FALSE)))</f>
        <v>0</v>
      </c>
      <c r="J398" s="49">
        <f>IF(B398="",0,IF(ISNA(_xlfn.XLOOKUP(A398,'600m'!F$5:F$302,'600m'!M$5:M$302)),0,_xlfn.XLOOKUP(A398,'600m'!F$5:F$302,'600m'!M$5:M$302)))</f>
        <v>0</v>
      </c>
      <c r="K398" s="49" t="str">
        <f>IF(B398="","",IF(ISNA(VLOOKUP(A398,'600m'!F$5:K$302,6,FALSE)),"",VLOOKUP(A398,'600m'!F$5:K$302,6,FALSE)))</f>
        <v/>
      </c>
      <c r="L398" s="49" t="str">
        <f>IF(B398="","",IF(ISNA(VLOOKUP(A398,LongJump!F$5:G$302,2,FALSE)),"",VLOOKUP(A398,LongJump!F$5:G$302,2,FALSE)))</f>
        <v/>
      </c>
      <c r="M398" s="49">
        <f>IF(B398="",0,IF(ISNA(_xlfn.XLOOKUP(A398,LongJump!F$5:F$302,LongJump!M$5:M$302)),0,_xlfn.XLOOKUP(A398,LongJump!F$5:F$302,LongJump!M$5:M$302)))</f>
        <v>0</v>
      </c>
      <c r="N398" s="49" t="str">
        <f>IF(B398="","",IF(ISNA(VLOOKUP(A398,LongJump!F$5:K$302,6,FALSE)),0,VLOOKUP(A398,LongJump!F$5:K$302,6,FALSE)))</f>
        <v/>
      </c>
      <c r="O398" s="49" t="str">
        <f>IF(B398="","",IF(ISNA(VLOOKUP(A398,Vortex!F$5:J$302,2,FALSE)),"",VLOOKUP(A398,Vortex!F$5:J$302,2,FALSE)))</f>
        <v/>
      </c>
      <c r="P398" s="49">
        <f>IF(B398="",0,IF(ISNA(_xlfn.XLOOKUP(A398,Vortex!F$5:F$302,Vortex!M$5:M$302)),0,_xlfn.XLOOKUP(A398,Vortex!F$5:F$302,Vortex!M$5:M$302)))</f>
        <v>0</v>
      </c>
      <c r="Q398" s="49">
        <f t="shared" si="32"/>
        <v>0</v>
      </c>
      <c r="R398" s="49" t="str">
        <f t="shared" si="33"/>
        <v/>
      </c>
      <c r="S398" s="49" t="str">
        <f t="shared" si="34"/>
        <v/>
      </c>
      <c r="T398" s="49" t="str">
        <f t="shared" si="35"/>
        <v/>
      </c>
      <c r="U398" s="49" t="str">
        <f t="shared" si="36"/>
        <v/>
      </c>
    </row>
    <row r="399" spans="1:21">
      <c r="A399" s="49" t="str">
        <f>IF(Declarations!B156=0,"",Declarations!B156)</f>
        <v/>
      </c>
      <c r="B399" s="150" t="str">
        <f>IF(ISNA(VLOOKUP(A399,Declarations!B$6:C$185,2,FALSE)),"",IF(VLOOKUP(A399,Declarations!B$6:C$185,2,FALSE)="","",VLOOKUP(A399,Declarations!B$6:C$185,2,FALSE)))</f>
        <v/>
      </c>
      <c r="C399" s="150" t="str">
        <f>IF(ISNA(VLOOKUP(A399,Declarations!B$6:F$185,5,FALSE)),"",IF(VLOOKUP(A399,Declarations!B$6:F$185,5,FALSE)="","",VLOOKUP(A399,Declarations!B$6:F$185,5,FALSE)))</f>
        <v/>
      </c>
      <c r="D399" s="150" t="str">
        <f>IF(ISNA(VLOOKUP(A399,Declarations!B$6:F$185,4,FALSE)),"",IF(VLOOKUP(A399,Declarations!B$6:F$185,4,FALSE)="","",VLOOKUP(A399,Declarations!B$6:F$185,4,FALSE)))</f>
        <v/>
      </c>
      <c r="E399" s="150" t="str">
        <f>IF(ISNA(VLOOKUP(A399,Declarations!B$6:D$185,3,FALSE)),"",IF(VLOOKUP(A399,Declarations!B$6:D$185,3,FALSE)="","",VLOOKUP(A399,Declarations!B$6:D$185,3,FALSE)))</f>
        <v/>
      </c>
      <c r="F399" s="49" t="str">
        <f>IF(B399="","",IF(ISNA(VLOOKUP(A399,'75m'!F$5:G$302,2,FALSE)),"",VLOOKUP(A399,'75m'!F$5:G$302,2,FALSE)))</f>
        <v/>
      </c>
      <c r="G399" s="49">
        <f>IF(B399="",0,IF(ISNA(_xlfn.XLOOKUP(A399,'75m'!F$5:F$302,'75m'!M$5:M$302)),0,_xlfn.XLOOKUP(A399,'75m'!F$5:F$302,'75m'!M$5:M$302)))</f>
        <v>0</v>
      </c>
      <c r="H399" s="49" t="str">
        <f>IF(B399="","",IF(ISNA(VLOOKUP(A399,'75m'!F$5:K$302,6,FALSE)),"",VLOOKUP(A399,'75m'!F$5:K$302,6,FALSE)))</f>
        <v/>
      </c>
      <c r="I399" s="51">
        <f>IF(B399="",0,IF(ISNA(VLOOKUP(A399,'600m'!F$5:J$302,2,FALSE)),0,VLOOKUP(A399,'600m'!F$5:J$302,2,FALSE)))</f>
        <v>0</v>
      </c>
      <c r="J399" s="49">
        <f>IF(B399="",0,IF(ISNA(_xlfn.XLOOKUP(A399,'600m'!F$5:F$302,'600m'!M$5:M$302)),0,_xlfn.XLOOKUP(A399,'600m'!F$5:F$302,'600m'!M$5:M$302)))</f>
        <v>0</v>
      </c>
      <c r="K399" s="49" t="str">
        <f>IF(B399="","",IF(ISNA(VLOOKUP(A399,'600m'!F$5:K$302,6,FALSE)),"",VLOOKUP(A399,'600m'!F$5:K$302,6,FALSE)))</f>
        <v/>
      </c>
      <c r="L399" s="49" t="str">
        <f>IF(B399="","",IF(ISNA(VLOOKUP(A399,LongJump!F$5:G$302,2,FALSE)),"",VLOOKUP(A399,LongJump!F$5:G$302,2,FALSE)))</f>
        <v/>
      </c>
      <c r="M399" s="49">
        <f>IF(B399="",0,IF(ISNA(_xlfn.XLOOKUP(A399,LongJump!F$5:F$302,LongJump!M$5:M$302)),0,_xlfn.XLOOKUP(A399,LongJump!F$5:F$302,LongJump!M$5:M$302)))</f>
        <v>0</v>
      </c>
      <c r="N399" s="49" t="str">
        <f>IF(B399="","",IF(ISNA(VLOOKUP(A399,LongJump!F$5:K$302,6,FALSE)),0,VLOOKUP(A399,LongJump!F$5:K$302,6,FALSE)))</f>
        <v/>
      </c>
      <c r="O399" s="49" t="str">
        <f>IF(B399="","",IF(ISNA(VLOOKUP(A399,Vortex!F$5:J$302,2,FALSE)),"",VLOOKUP(A399,Vortex!F$5:J$302,2,FALSE)))</f>
        <v/>
      </c>
      <c r="P399" s="49">
        <f>IF(B399="",0,IF(ISNA(_xlfn.XLOOKUP(A399,Vortex!F$5:F$302,Vortex!M$5:M$302)),0,_xlfn.XLOOKUP(A399,Vortex!F$5:F$302,Vortex!M$5:M$302)))</f>
        <v>0</v>
      </c>
      <c r="Q399" s="49">
        <f t="shared" si="32"/>
        <v>0</v>
      </c>
      <c r="R399" s="49" t="str">
        <f t="shared" si="33"/>
        <v/>
      </c>
      <c r="S399" s="49" t="str">
        <f t="shared" si="34"/>
        <v/>
      </c>
      <c r="T399" s="49" t="str">
        <f t="shared" si="35"/>
        <v/>
      </c>
      <c r="U399" s="49" t="str">
        <f t="shared" si="36"/>
        <v/>
      </c>
    </row>
    <row r="400" spans="1:21">
      <c r="A400" s="49" t="str">
        <f>IF(Declarations!B157=0,"",Declarations!B157)</f>
        <v/>
      </c>
      <c r="B400" s="150" t="str">
        <f>IF(ISNA(VLOOKUP(A400,Declarations!B$6:C$185,2,FALSE)),"",IF(VLOOKUP(A400,Declarations!B$6:C$185,2,FALSE)="","",VLOOKUP(A400,Declarations!B$6:C$185,2,FALSE)))</f>
        <v/>
      </c>
      <c r="C400" s="150" t="str">
        <f>IF(ISNA(VLOOKUP(A400,Declarations!B$6:F$185,5,FALSE)),"",IF(VLOOKUP(A400,Declarations!B$6:F$185,5,FALSE)="","",VLOOKUP(A400,Declarations!B$6:F$185,5,FALSE)))</f>
        <v/>
      </c>
      <c r="D400" s="150" t="str">
        <f>IF(ISNA(VLOOKUP(A400,Declarations!B$6:F$185,4,FALSE)),"",IF(VLOOKUP(A400,Declarations!B$6:F$185,4,FALSE)="","",VLOOKUP(A400,Declarations!B$6:F$185,4,FALSE)))</f>
        <v/>
      </c>
      <c r="E400" s="150" t="str">
        <f>IF(ISNA(VLOOKUP(A400,Declarations!B$6:D$185,3,FALSE)),"",IF(VLOOKUP(A400,Declarations!B$6:D$185,3,FALSE)="","",VLOOKUP(A400,Declarations!B$6:D$185,3,FALSE)))</f>
        <v/>
      </c>
      <c r="F400" s="49" t="str">
        <f>IF(B400="","",IF(ISNA(VLOOKUP(A400,'75m'!F$5:G$302,2,FALSE)),"",VLOOKUP(A400,'75m'!F$5:G$302,2,FALSE)))</f>
        <v/>
      </c>
      <c r="G400" s="49">
        <f>IF(B400="",0,IF(ISNA(_xlfn.XLOOKUP(A400,'75m'!F$5:F$302,'75m'!M$5:M$302)),0,_xlfn.XLOOKUP(A400,'75m'!F$5:F$302,'75m'!M$5:M$302)))</f>
        <v>0</v>
      </c>
      <c r="H400" s="49" t="str">
        <f>IF(B400="","",IF(ISNA(VLOOKUP(A400,'75m'!F$5:K$302,6,FALSE)),"",VLOOKUP(A400,'75m'!F$5:K$302,6,FALSE)))</f>
        <v/>
      </c>
      <c r="I400" s="51">
        <f>IF(B400="",0,IF(ISNA(VLOOKUP(A400,'600m'!F$5:J$302,2,FALSE)),0,VLOOKUP(A400,'600m'!F$5:J$302,2,FALSE)))</f>
        <v>0</v>
      </c>
      <c r="J400" s="49">
        <f>IF(B400="",0,IF(ISNA(_xlfn.XLOOKUP(A400,'600m'!F$5:F$302,'600m'!M$5:M$302)),0,_xlfn.XLOOKUP(A400,'600m'!F$5:F$302,'600m'!M$5:M$302)))</f>
        <v>0</v>
      </c>
      <c r="K400" s="49" t="str">
        <f>IF(B400="","",IF(ISNA(VLOOKUP(A400,'600m'!F$5:K$302,6,FALSE)),"",VLOOKUP(A400,'600m'!F$5:K$302,6,FALSE)))</f>
        <v/>
      </c>
      <c r="L400" s="49" t="str">
        <f>IF(B400="","",IF(ISNA(VLOOKUP(A400,LongJump!F$5:G$302,2,FALSE)),"",VLOOKUP(A400,LongJump!F$5:G$302,2,FALSE)))</f>
        <v/>
      </c>
      <c r="M400" s="49">
        <f>IF(B400="",0,IF(ISNA(_xlfn.XLOOKUP(A400,LongJump!F$5:F$302,LongJump!M$5:M$302)),0,_xlfn.XLOOKUP(A400,LongJump!F$5:F$302,LongJump!M$5:M$302)))</f>
        <v>0</v>
      </c>
      <c r="N400" s="49" t="str">
        <f>IF(B400="","",IF(ISNA(VLOOKUP(A400,LongJump!F$5:K$302,6,FALSE)),0,VLOOKUP(A400,LongJump!F$5:K$302,6,FALSE)))</f>
        <v/>
      </c>
      <c r="O400" s="49" t="str">
        <f>IF(B400="","",IF(ISNA(VLOOKUP(A400,Vortex!F$5:J$302,2,FALSE)),"",VLOOKUP(A400,Vortex!F$5:J$302,2,FALSE)))</f>
        <v/>
      </c>
      <c r="P400" s="49">
        <f>IF(B400="",0,IF(ISNA(_xlfn.XLOOKUP(A400,Vortex!F$5:F$302,Vortex!M$5:M$302)),0,_xlfn.XLOOKUP(A400,Vortex!F$5:F$302,Vortex!M$5:M$302)))</f>
        <v>0</v>
      </c>
      <c r="Q400" s="49">
        <f t="shared" si="32"/>
        <v>0</v>
      </c>
      <c r="R400" s="49" t="str">
        <f t="shared" si="33"/>
        <v/>
      </c>
      <c r="S400" s="49" t="str">
        <f t="shared" si="34"/>
        <v/>
      </c>
      <c r="T400" s="49" t="str">
        <f t="shared" si="35"/>
        <v/>
      </c>
      <c r="U400" s="49" t="str">
        <f t="shared" si="36"/>
        <v/>
      </c>
    </row>
    <row r="401" spans="1:21">
      <c r="A401" s="49" t="str">
        <f>IF(Declarations!B158=0,"",Declarations!B158)</f>
        <v/>
      </c>
      <c r="B401" s="150" t="str">
        <f>IF(ISNA(VLOOKUP(A401,Declarations!B$6:C$185,2,FALSE)),"",IF(VLOOKUP(A401,Declarations!B$6:C$185,2,FALSE)="","",VLOOKUP(A401,Declarations!B$6:C$185,2,FALSE)))</f>
        <v/>
      </c>
      <c r="C401" s="150" t="str">
        <f>IF(ISNA(VLOOKUP(A401,Declarations!B$6:F$185,5,FALSE)),"",IF(VLOOKUP(A401,Declarations!B$6:F$185,5,FALSE)="","",VLOOKUP(A401,Declarations!B$6:F$185,5,FALSE)))</f>
        <v/>
      </c>
      <c r="D401" s="150" t="str">
        <f>IF(ISNA(VLOOKUP(A401,Declarations!B$6:F$185,4,FALSE)),"",IF(VLOOKUP(A401,Declarations!B$6:F$185,4,FALSE)="","",VLOOKUP(A401,Declarations!B$6:F$185,4,FALSE)))</f>
        <v/>
      </c>
      <c r="E401" s="150" t="str">
        <f>IF(ISNA(VLOOKUP(A401,Declarations!B$6:D$185,3,FALSE)),"",IF(VLOOKUP(A401,Declarations!B$6:D$185,3,FALSE)="","",VLOOKUP(A401,Declarations!B$6:D$185,3,FALSE)))</f>
        <v/>
      </c>
      <c r="F401" s="49" t="str">
        <f>IF(B401="","",IF(ISNA(VLOOKUP(A401,'75m'!F$5:G$302,2,FALSE)),"",VLOOKUP(A401,'75m'!F$5:G$302,2,FALSE)))</f>
        <v/>
      </c>
      <c r="G401" s="49">
        <f>IF(B401="",0,IF(ISNA(_xlfn.XLOOKUP(A401,'75m'!F$5:F$302,'75m'!M$5:M$302)),0,_xlfn.XLOOKUP(A401,'75m'!F$5:F$302,'75m'!M$5:M$302)))</f>
        <v>0</v>
      </c>
      <c r="H401" s="49" t="str">
        <f>IF(B401="","",IF(ISNA(VLOOKUP(A401,'75m'!F$5:K$302,6,FALSE)),"",VLOOKUP(A401,'75m'!F$5:K$302,6,FALSE)))</f>
        <v/>
      </c>
      <c r="I401" s="51">
        <f>IF(B401="",0,IF(ISNA(VLOOKUP(A401,'600m'!F$5:J$302,2,FALSE)),0,VLOOKUP(A401,'600m'!F$5:J$302,2,FALSE)))</f>
        <v>0</v>
      </c>
      <c r="J401" s="49">
        <f>IF(B401="",0,IF(ISNA(_xlfn.XLOOKUP(A401,'600m'!F$5:F$302,'600m'!M$5:M$302)),0,_xlfn.XLOOKUP(A401,'600m'!F$5:F$302,'600m'!M$5:M$302)))</f>
        <v>0</v>
      </c>
      <c r="K401" s="49" t="str">
        <f>IF(B401="","",IF(ISNA(VLOOKUP(A401,'600m'!F$5:K$302,6,FALSE)),"",VLOOKUP(A401,'600m'!F$5:K$302,6,FALSE)))</f>
        <v/>
      </c>
      <c r="L401" s="49" t="str">
        <f>IF(B401="","",IF(ISNA(VLOOKUP(A401,LongJump!F$5:G$302,2,FALSE)),"",VLOOKUP(A401,LongJump!F$5:G$302,2,FALSE)))</f>
        <v/>
      </c>
      <c r="M401" s="49">
        <f>IF(B401="",0,IF(ISNA(_xlfn.XLOOKUP(A401,LongJump!F$5:F$302,LongJump!M$5:M$302)),0,_xlfn.XLOOKUP(A401,LongJump!F$5:F$302,LongJump!M$5:M$302)))</f>
        <v>0</v>
      </c>
      <c r="N401" s="49" t="str">
        <f>IF(B401="","",IF(ISNA(VLOOKUP(A401,LongJump!F$5:K$302,6,FALSE)),0,VLOOKUP(A401,LongJump!F$5:K$302,6,FALSE)))</f>
        <v/>
      </c>
      <c r="O401" s="49" t="str">
        <f>IF(B401="","",IF(ISNA(VLOOKUP(A401,Vortex!F$5:J$302,2,FALSE)),"",VLOOKUP(A401,Vortex!F$5:J$302,2,FALSE)))</f>
        <v/>
      </c>
      <c r="P401" s="49">
        <f>IF(B401="",0,IF(ISNA(_xlfn.XLOOKUP(A401,Vortex!F$5:F$302,Vortex!M$5:M$302)),0,_xlfn.XLOOKUP(A401,Vortex!F$5:F$302,Vortex!M$5:M$302)))</f>
        <v>0</v>
      </c>
      <c r="Q401" s="49">
        <f t="shared" si="32"/>
        <v>0</v>
      </c>
      <c r="R401" s="49" t="str">
        <f t="shared" si="33"/>
        <v/>
      </c>
      <c r="S401" s="49" t="str">
        <f t="shared" si="34"/>
        <v/>
      </c>
      <c r="T401" s="49" t="str">
        <f t="shared" si="35"/>
        <v/>
      </c>
      <c r="U401" s="49" t="str">
        <f t="shared" si="36"/>
        <v/>
      </c>
    </row>
    <row r="402" spans="1:21">
      <c r="A402" s="49" t="str">
        <f>IF(Declarations!B159=0,"",Declarations!B159)</f>
        <v/>
      </c>
      <c r="B402" s="150" t="str">
        <f>IF(ISNA(VLOOKUP(A402,Declarations!B$6:C$185,2,FALSE)),"",IF(VLOOKUP(A402,Declarations!B$6:C$185,2,FALSE)="","",VLOOKUP(A402,Declarations!B$6:C$185,2,FALSE)))</f>
        <v/>
      </c>
      <c r="C402" s="150" t="str">
        <f>IF(ISNA(VLOOKUP(A402,Declarations!B$6:F$185,5,FALSE)),"",IF(VLOOKUP(A402,Declarations!B$6:F$185,5,FALSE)="","",VLOOKUP(A402,Declarations!B$6:F$185,5,FALSE)))</f>
        <v/>
      </c>
      <c r="D402" s="150" t="str">
        <f>IF(ISNA(VLOOKUP(A402,Declarations!B$6:F$185,4,FALSE)),"",IF(VLOOKUP(A402,Declarations!B$6:F$185,4,FALSE)="","",VLOOKUP(A402,Declarations!B$6:F$185,4,FALSE)))</f>
        <v/>
      </c>
      <c r="E402" s="150" t="str">
        <f>IF(ISNA(VLOOKUP(A402,Declarations!B$6:D$185,3,FALSE)),"",IF(VLOOKUP(A402,Declarations!B$6:D$185,3,FALSE)="","",VLOOKUP(A402,Declarations!B$6:D$185,3,FALSE)))</f>
        <v/>
      </c>
      <c r="F402" s="49" t="str">
        <f>IF(B402="","",IF(ISNA(VLOOKUP(A402,'75m'!F$5:G$302,2,FALSE)),"",VLOOKUP(A402,'75m'!F$5:G$302,2,FALSE)))</f>
        <v/>
      </c>
      <c r="G402" s="49">
        <f>IF(B402="",0,IF(ISNA(_xlfn.XLOOKUP(A402,'75m'!F$5:F$302,'75m'!M$5:M$302)),0,_xlfn.XLOOKUP(A402,'75m'!F$5:F$302,'75m'!M$5:M$302)))</f>
        <v>0</v>
      </c>
      <c r="H402" s="49" t="str">
        <f>IF(B402="","",IF(ISNA(VLOOKUP(A402,'75m'!F$5:K$302,6,FALSE)),"",VLOOKUP(A402,'75m'!F$5:K$302,6,FALSE)))</f>
        <v/>
      </c>
      <c r="I402" s="51">
        <f>IF(B402="",0,IF(ISNA(VLOOKUP(A402,'600m'!F$5:J$302,2,FALSE)),0,VLOOKUP(A402,'600m'!F$5:J$302,2,FALSE)))</f>
        <v>0</v>
      </c>
      <c r="J402" s="49">
        <f>IF(B402="",0,IF(ISNA(_xlfn.XLOOKUP(A402,'600m'!F$5:F$302,'600m'!M$5:M$302)),0,_xlfn.XLOOKUP(A402,'600m'!F$5:F$302,'600m'!M$5:M$302)))</f>
        <v>0</v>
      </c>
      <c r="K402" s="49" t="str">
        <f>IF(B402="","",IF(ISNA(VLOOKUP(A402,'600m'!F$5:K$302,6,FALSE)),"",VLOOKUP(A402,'600m'!F$5:K$302,6,FALSE)))</f>
        <v/>
      </c>
      <c r="L402" s="49" t="str">
        <f>IF(B402="","",IF(ISNA(VLOOKUP(A402,LongJump!F$5:G$302,2,FALSE)),"",VLOOKUP(A402,LongJump!F$5:G$302,2,FALSE)))</f>
        <v/>
      </c>
      <c r="M402" s="49">
        <f>IF(B402="",0,IF(ISNA(_xlfn.XLOOKUP(A402,LongJump!F$5:F$302,LongJump!M$5:M$302)),0,_xlfn.XLOOKUP(A402,LongJump!F$5:F$302,LongJump!M$5:M$302)))</f>
        <v>0</v>
      </c>
      <c r="N402" s="49" t="str">
        <f>IF(B402="","",IF(ISNA(VLOOKUP(A402,LongJump!F$5:K$302,6,FALSE)),0,VLOOKUP(A402,LongJump!F$5:K$302,6,FALSE)))</f>
        <v/>
      </c>
      <c r="O402" s="49" t="str">
        <f>IF(B402="","",IF(ISNA(VLOOKUP(A402,Vortex!F$5:J$302,2,FALSE)),"",VLOOKUP(A402,Vortex!F$5:J$302,2,FALSE)))</f>
        <v/>
      </c>
      <c r="P402" s="49">
        <f>IF(B402="",0,IF(ISNA(_xlfn.XLOOKUP(A402,Vortex!F$5:F$302,Vortex!M$5:M$302)),0,_xlfn.XLOOKUP(A402,Vortex!F$5:F$302,Vortex!M$5:M$302)))</f>
        <v>0</v>
      </c>
      <c r="Q402" s="49">
        <f t="shared" si="32"/>
        <v>0</v>
      </c>
      <c r="R402" s="49" t="str">
        <f t="shared" si="33"/>
        <v/>
      </c>
      <c r="S402" s="49" t="str">
        <f t="shared" si="34"/>
        <v/>
      </c>
      <c r="T402" s="49" t="str">
        <f t="shared" si="35"/>
        <v/>
      </c>
      <c r="U402" s="49" t="str">
        <f t="shared" si="36"/>
        <v/>
      </c>
    </row>
    <row r="403" spans="1:21">
      <c r="A403" s="49" t="str">
        <f>IF(Declarations!B160=0,"",Declarations!B160)</f>
        <v/>
      </c>
      <c r="B403" s="150" t="str">
        <f>IF(ISNA(VLOOKUP(A403,Declarations!B$6:C$185,2,FALSE)),"",IF(VLOOKUP(A403,Declarations!B$6:C$185,2,FALSE)="","",VLOOKUP(A403,Declarations!B$6:C$185,2,FALSE)))</f>
        <v/>
      </c>
      <c r="C403" s="150" t="str">
        <f>IF(ISNA(VLOOKUP(A403,Declarations!B$6:F$185,5,FALSE)),"",IF(VLOOKUP(A403,Declarations!B$6:F$185,5,FALSE)="","",VLOOKUP(A403,Declarations!B$6:F$185,5,FALSE)))</f>
        <v/>
      </c>
      <c r="D403" s="150" t="str">
        <f>IF(ISNA(VLOOKUP(A403,Declarations!B$6:F$185,4,FALSE)),"",IF(VLOOKUP(A403,Declarations!B$6:F$185,4,FALSE)="","",VLOOKUP(A403,Declarations!B$6:F$185,4,FALSE)))</f>
        <v/>
      </c>
      <c r="E403" s="150" t="str">
        <f>IF(ISNA(VLOOKUP(A403,Declarations!B$6:D$185,3,FALSE)),"",IF(VLOOKUP(A403,Declarations!B$6:D$185,3,FALSE)="","",VLOOKUP(A403,Declarations!B$6:D$185,3,FALSE)))</f>
        <v/>
      </c>
      <c r="F403" s="49" t="str">
        <f>IF(B403="","",IF(ISNA(VLOOKUP(A403,'75m'!F$5:G$302,2,FALSE)),"",VLOOKUP(A403,'75m'!F$5:G$302,2,FALSE)))</f>
        <v/>
      </c>
      <c r="G403" s="49">
        <f>IF(B403="",0,IF(ISNA(_xlfn.XLOOKUP(A403,'75m'!F$5:F$302,'75m'!M$5:M$302)),0,_xlfn.XLOOKUP(A403,'75m'!F$5:F$302,'75m'!M$5:M$302)))</f>
        <v>0</v>
      </c>
      <c r="H403" s="49" t="str">
        <f>IF(B403="","",IF(ISNA(VLOOKUP(A403,'75m'!F$5:K$302,6,FALSE)),"",VLOOKUP(A403,'75m'!F$5:K$302,6,FALSE)))</f>
        <v/>
      </c>
      <c r="I403" s="51">
        <f>IF(B403="",0,IF(ISNA(VLOOKUP(A403,'600m'!F$5:J$302,2,FALSE)),0,VLOOKUP(A403,'600m'!F$5:J$302,2,FALSE)))</f>
        <v>0</v>
      </c>
      <c r="J403" s="49">
        <f>IF(B403="",0,IF(ISNA(_xlfn.XLOOKUP(A403,'600m'!F$5:F$302,'600m'!M$5:M$302)),0,_xlfn.XLOOKUP(A403,'600m'!F$5:F$302,'600m'!M$5:M$302)))</f>
        <v>0</v>
      </c>
      <c r="K403" s="49" t="str">
        <f>IF(B403="","",IF(ISNA(VLOOKUP(A403,'600m'!F$5:K$302,6,FALSE)),"",VLOOKUP(A403,'600m'!F$5:K$302,6,FALSE)))</f>
        <v/>
      </c>
      <c r="L403" s="49" t="str">
        <f>IF(B403="","",IF(ISNA(VLOOKUP(A403,LongJump!F$5:G$302,2,FALSE)),"",VLOOKUP(A403,LongJump!F$5:G$302,2,FALSE)))</f>
        <v/>
      </c>
      <c r="M403" s="49">
        <f>IF(B403="",0,IF(ISNA(_xlfn.XLOOKUP(A403,LongJump!F$5:F$302,LongJump!M$5:M$302)),0,_xlfn.XLOOKUP(A403,LongJump!F$5:F$302,LongJump!M$5:M$302)))</f>
        <v>0</v>
      </c>
      <c r="N403" s="49" t="str">
        <f>IF(B403="","",IF(ISNA(VLOOKUP(A403,LongJump!F$5:K$302,6,FALSE)),0,VLOOKUP(A403,LongJump!F$5:K$302,6,FALSE)))</f>
        <v/>
      </c>
      <c r="O403" s="49" t="str">
        <f>IF(B403="","",IF(ISNA(VLOOKUP(A403,Vortex!F$5:J$302,2,FALSE)),"",VLOOKUP(A403,Vortex!F$5:J$302,2,FALSE)))</f>
        <v/>
      </c>
      <c r="P403" s="49">
        <f>IF(B403="",0,IF(ISNA(_xlfn.XLOOKUP(A403,Vortex!F$5:F$302,Vortex!M$5:M$302)),0,_xlfn.XLOOKUP(A403,Vortex!F$5:F$302,Vortex!M$5:M$302)))</f>
        <v>0</v>
      </c>
      <c r="Q403" s="49">
        <f t="shared" si="32"/>
        <v>0</v>
      </c>
      <c r="R403" s="49" t="str">
        <f t="shared" si="33"/>
        <v/>
      </c>
      <c r="S403" s="49" t="str">
        <f t="shared" si="34"/>
        <v/>
      </c>
      <c r="T403" s="49" t="str">
        <f t="shared" si="35"/>
        <v/>
      </c>
      <c r="U403" s="49" t="str">
        <f t="shared" si="36"/>
        <v/>
      </c>
    </row>
    <row r="404" spans="1:21">
      <c r="A404" s="49" t="str">
        <f>IF(Declarations!B161=0,"",Declarations!B161)</f>
        <v/>
      </c>
      <c r="B404" s="150" t="str">
        <f>IF(ISNA(VLOOKUP(A404,Declarations!B$6:C$185,2,FALSE)),"",IF(VLOOKUP(A404,Declarations!B$6:C$185,2,FALSE)="","",VLOOKUP(A404,Declarations!B$6:C$185,2,FALSE)))</f>
        <v/>
      </c>
      <c r="C404" s="150" t="str">
        <f>IF(ISNA(VLOOKUP(A404,Declarations!B$6:F$185,5,FALSE)),"",IF(VLOOKUP(A404,Declarations!B$6:F$185,5,FALSE)="","",VLOOKUP(A404,Declarations!B$6:F$185,5,FALSE)))</f>
        <v/>
      </c>
      <c r="D404" s="150" t="str">
        <f>IF(ISNA(VLOOKUP(A404,Declarations!B$6:F$185,4,FALSE)),"",IF(VLOOKUP(A404,Declarations!B$6:F$185,4,FALSE)="","",VLOOKUP(A404,Declarations!B$6:F$185,4,FALSE)))</f>
        <v/>
      </c>
      <c r="E404" s="150" t="str">
        <f>IF(ISNA(VLOOKUP(A404,Declarations!B$6:D$185,3,FALSE)),"",IF(VLOOKUP(A404,Declarations!B$6:D$185,3,FALSE)="","",VLOOKUP(A404,Declarations!B$6:D$185,3,FALSE)))</f>
        <v/>
      </c>
      <c r="F404" s="49" t="str">
        <f>IF(B404="","",IF(ISNA(VLOOKUP(A404,'75m'!F$5:G$302,2,FALSE)),"",VLOOKUP(A404,'75m'!F$5:G$302,2,FALSE)))</f>
        <v/>
      </c>
      <c r="G404" s="49">
        <f>IF(B404="",0,IF(ISNA(_xlfn.XLOOKUP(A404,'75m'!F$5:F$302,'75m'!M$5:M$302)),0,_xlfn.XLOOKUP(A404,'75m'!F$5:F$302,'75m'!M$5:M$302)))</f>
        <v>0</v>
      </c>
      <c r="H404" s="49" t="str">
        <f>IF(B404="","",IF(ISNA(VLOOKUP(A404,'75m'!F$5:K$302,6,FALSE)),"",VLOOKUP(A404,'75m'!F$5:K$302,6,FALSE)))</f>
        <v/>
      </c>
      <c r="I404" s="51">
        <f>IF(B404="",0,IF(ISNA(VLOOKUP(A404,'600m'!F$5:J$302,2,FALSE)),0,VLOOKUP(A404,'600m'!F$5:J$302,2,FALSE)))</f>
        <v>0</v>
      </c>
      <c r="J404" s="49">
        <f>IF(B404="",0,IF(ISNA(_xlfn.XLOOKUP(A404,'600m'!F$5:F$302,'600m'!M$5:M$302)),0,_xlfn.XLOOKUP(A404,'600m'!F$5:F$302,'600m'!M$5:M$302)))</f>
        <v>0</v>
      </c>
      <c r="K404" s="49" t="str">
        <f>IF(B404="","",IF(ISNA(VLOOKUP(A404,'600m'!F$5:K$302,6,FALSE)),"",VLOOKUP(A404,'600m'!F$5:K$302,6,FALSE)))</f>
        <v/>
      </c>
      <c r="L404" s="49" t="str">
        <f>IF(B404="","",IF(ISNA(VLOOKUP(A404,LongJump!F$5:G$302,2,FALSE)),"",VLOOKUP(A404,LongJump!F$5:G$302,2,FALSE)))</f>
        <v/>
      </c>
      <c r="M404" s="49">
        <f>IF(B404="",0,IF(ISNA(_xlfn.XLOOKUP(A404,LongJump!F$5:F$302,LongJump!M$5:M$302)),0,_xlfn.XLOOKUP(A404,LongJump!F$5:F$302,LongJump!M$5:M$302)))</f>
        <v>0</v>
      </c>
      <c r="N404" s="49" t="str">
        <f>IF(B404="","",IF(ISNA(VLOOKUP(A404,LongJump!F$5:K$302,6,FALSE)),0,VLOOKUP(A404,LongJump!F$5:K$302,6,FALSE)))</f>
        <v/>
      </c>
      <c r="O404" s="49" t="str">
        <f>IF(B404="","",IF(ISNA(VLOOKUP(A404,Vortex!F$5:J$302,2,FALSE)),"",VLOOKUP(A404,Vortex!F$5:J$302,2,FALSE)))</f>
        <v/>
      </c>
      <c r="P404" s="49">
        <f>IF(B404="",0,IF(ISNA(_xlfn.XLOOKUP(A404,Vortex!F$5:F$302,Vortex!M$5:M$302)),0,_xlfn.XLOOKUP(A404,Vortex!F$5:F$302,Vortex!M$5:M$302)))</f>
        <v>0</v>
      </c>
      <c r="Q404" s="49">
        <f t="shared" si="32"/>
        <v>0</v>
      </c>
      <c r="R404" s="49" t="str">
        <f t="shared" si="33"/>
        <v/>
      </c>
      <c r="S404" s="49" t="str">
        <f t="shared" si="34"/>
        <v/>
      </c>
      <c r="T404" s="49" t="str">
        <f t="shared" si="35"/>
        <v/>
      </c>
      <c r="U404" s="49" t="str">
        <f t="shared" si="36"/>
        <v/>
      </c>
    </row>
    <row r="405" spans="1:21">
      <c r="A405" s="49" t="str">
        <f>IF(Declarations!B162=0,"",Declarations!B162)</f>
        <v/>
      </c>
      <c r="B405" s="150" t="str">
        <f>IF(ISNA(VLOOKUP(A405,Declarations!B$6:C$185,2,FALSE)),"",IF(VLOOKUP(A405,Declarations!B$6:C$185,2,FALSE)="","",VLOOKUP(A405,Declarations!B$6:C$185,2,FALSE)))</f>
        <v/>
      </c>
      <c r="C405" s="150" t="str">
        <f>IF(ISNA(VLOOKUP(A405,Declarations!B$6:F$185,5,FALSE)),"",IF(VLOOKUP(A405,Declarations!B$6:F$185,5,FALSE)="","",VLOOKUP(A405,Declarations!B$6:F$185,5,FALSE)))</f>
        <v/>
      </c>
      <c r="D405" s="150" t="str">
        <f>IF(ISNA(VLOOKUP(A405,Declarations!B$6:F$185,4,FALSE)),"",IF(VLOOKUP(A405,Declarations!B$6:F$185,4,FALSE)="","",VLOOKUP(A405,Declarations!B$6:F$185,4,FALSE)))</f>
        <v/>
      </c>
      <c r="E405" s="150" t="str">
        <f>IF(ISNA(VLOOKUP(A405,Declarations!B$6:D$185,3,FALSE)),"",IF(VLOOKUP(A405,Declarations!B$6:D$185,3,FALSE)="","",VLOOKUP(A405,Declarations!B$6:D$185,3,FALSE)))</f>
        <v/>
      </c>
      <c r="F405" s="49" t="str">
        <f>IF(B405="","",IF(ISNA(VLOOKUP(A405,'75m'!F$5:G$302,2,FALSE)),"",VLOOKUP(A405,'75m'!F$5:G$302,2,FALSE)))</f>
        <v/>
      </c>
      <c r="G405" s="49">
        <f>IF(B405="",0,IF(ISNA(_xlfn.XLOOKUP(A405,'75m'!F$5:F$302,'75m'!M$5:M$302)),0,_xlfn.XLOOKUP(A405,'75m'!F$5:F$302,'75m'!M$5:M$302)))</f>
        <v>0</v>
      </c>
      <c r="H405" s="49" t="str">
        <f>IF(B405="","",IF(ISNA(VLOOKUP(A405,'75m'!F$5:K$302,6,FALSE)),"",VLOOKUP(A405,'75m'!F$5:K$302,6,FALSE)))</f>
        <v/>
      </c>
      <c r="I405" s="51">
        <f>IF(B405="",0,IF(ISNA(VLOOKUP(A405,'600m'!F$5:J$302,2,FALSE)),0,VLOOKUP(A405,'600m'!F$5:J$302,2,FALSE)))</f>
        <v>0</v>
      </c>
      <c r="J405" s="49">
        <f>IF(B405="",0,IF(ISNA(_xlfn.XLOOKUP(A405,'600m'!F$5:F$302,'600m'!M$5:M$302)),0,_xlfn.XLOOKUP(A405,'600m'!F$5:F$302,'600m'!M$5:M$302)))</f>
        <v>0</v>
      </c>
      <c r="K405" s="49" t="str">
        <f>IF(B405="","",IF(ISNA(VLOOKUP(A405,'600m'!F$5:K$302,6,FALSE)),"",VLOOKUP(A405,'600m'!F$5:K$302,6,FALSE)))</f>
        <v/>
      </c>
      <c r="L405" s="49" t="str">
        <f>IF(B405="","",IF(ISNA(VLOOKUP(A405,LongJump!F$5:G$302,2,FALSE)),"",VLOOKUP(A405,LongJump!F$5:G$302,2,FALSE)))</f>
        <v/>
      </c>
      <c r="M405" s="49">
        <f>IF(B405="",0,IF(ISNA(_xlfn.XLOOKUP(A405,LongJump!F$5:F$302,LongJump!M$5:M$302)),0,_xlfn.XLOOKUP(A405,LongJump!F$5:F$302,LongJump!M$5:M$302)))</f>
        <v>0</v>
      </c>
      <c r="N405" s="49" t="str">
        <f>IF(B405="","",IF(ISNA(VLOOKUP(A405,LongJump!F$5:K$302,6,FALSE)),0,VLOOKUP(A405,LongJump!F$5:K$302,6,FALSE)))</f>
        <v/>
      </c>
      <c r="O405" s="49" t="str">
        <f>IF(B405="","",IF(ISNA(VLOOKUP(A405,Vortex!F$5:J$302,2,FALSE)),"",VLOOKUP(A405,Vortex!F$5:J$302,2,FALSE)))</f>
        <v/>
      </c>
      <c r="P405" s="49">
        <f>IF(B405="",0,IF(ISNA(_xlfn.XLOOKUP(A405,Vortex!F$5:F$302,Vortex!M$5:M$302)),0,_xlfn.XLOOKUP(A405,Vortex!F$5:F$302,Vortex!M$5:M$302)))</f>
        <v>0</v>
      </c>
      <c r="Q405" s="49">
        <f t="shared" si="32"/>
        <v>0</v>
      </c>
      <c r="R405" s="49" t="str">
        <f t="shared" si="33"/>
        <v/>
      </c>
      <c r="S405" s="49" t="str">
        <f t="shared" si="34"/>
        <v/>
      </c>
      <c r="T405" s="49" t="str">
        <f t="shared" si="35"/>
        <v/>
      </c>
      <c r="U405" s="49" t="str">
        <f t="shared" si="36"/>
        <v/>
      </c>
    </row>
    <row r="406" spans="1:21">
      <c r="A406" s="49" t="str">
        <f>IF(Declarations!B163=0,"",Declarations!B163)</f>
        <v/>
      </c>
      <c r="B406" s="150" t="str">
        <f>IF(ISNA(VLOOKUP(A406,Declarations!B$6:C$185,2,FALSE)),"",IF(VLOOKUP(A406,Declarations!B$6:C$185,2,FALSE)="","",VLOOKUP(A406,Declarations!B$6:C$185,2,FALSE)))</f>
        <v/>
      </c>
      <c r="C406" s="150" t="str">
        <f>IF(ISNA(VLOOKUP(A406,Declarations!B$6:F$185,5,FALSE)),"",IF(VLOOKUP(A406,Declarations!B$6:F$185,5,FALSE)="","",VLOOKUP(A406,Declarations!B$6:F$185,5,FALSE)))</f>
        <v/>
      </c>
      <c r="D406" s="150" t="str">
        <f>IF(ISNA(VLOOKUP(A406,Declarations!B$6:F$185,4,FALSE)),"",IF(VLOOKUP(A406,Declarations!B$6:F$185,4,FALSE)="","",VLOOKUP(A406,Declarations!B$6:F$185,4,FALSE)))</f>
        <v/>
      </c>
      <c r="E406" s="150" t="str">
        <f>IF(ISNA(VLOOKUP(A406,Declarations!B$6:D$185,3,FALSE)),"",IF(VLOOKUP(A406,Declarations!B$6:D$185,3,FALSE)="","",VLOOKUP(A406,Declarations!B$6:D$185,3,FALSE)))</f>
        <v/>
      </c>
      <c r="F406" s="49" t="str">
        <f>IF(B406="","",IF(ISNA(VLOOKUP(A406,'75m'!F$5:G$302,2,FALSE)),"",VLOOKUP(A406,'75m'!F$5:G$302,2,FALSE)))</f>
        <v/>
      </c>
      <c r="G406" s="49">
        <f>IF(B406="",0,IF(ISNA(_xlfn.XLOOKUP(A406,'75m'!F$5:F$302,'75m'!M$5:M$302)),0,_xlfn.XLOOKUP(A406,'75m'!F$5:F$302,'75m'!M$5:M$302)))</f>
        <v>0</v>
      </c>
      <c r="H406" s="49" t="str">
        <f>IF(B406="","",IF(ISNA(VLOOKUP(A406,'75m'!F$5:K$302,6,FALSE)),"",VLOOKUP(A406,'75m'!F$5:K$302,6,FALSE)))</f>
        <v/>
      </c>
      <c r="I406" s="51">
        <f>IF(B406="",0,IF(ISNA(VLOOKUP(A406,'600m'!F$5:J$302,2,FALSE)),0,VLOOKUP(A406,'600m'!F$5:J$302,2,FALSE)))</f>
        <v>0</v>
      </c>
      <c r="J406" s="49">
        <f>IF(B406="",0,IF(ISNA(_xlfn.XLOOKUP(A406,'600m'!F$5:F$302,'600m'!M$5:M$302)),0,_xlfn.XLOOKUP(A406,'600m'!F$5:F$302,'600m'!M$5:M$302)))</f>
        <v>0</v>
      </c>
      <c r="K406" s="49" t="str">
        <f>IF(B406="","",IF(ISNA(VLOOKUP(A406,'600m'!F$5:K$302,6,FALSE)),"",VLOOKUP(A406,'600m'!F$5:K$302,6,FALSE)))</f>
        <v/>
      </c>
      <c r="L406" s="49" t="str">
        <f>IF(B406="","",IF(ISNA(VLOOKUP(A406,LongJump!F$5:G$302,2,FALSE)),"",VLOOKUP(A406,LongJump!F$5:G$302,2,FALSE)))</f>
        <v/>
      </c>
      <c r="M406" s="49">
        <f>IF(B406="",0,IF(ISNA(_xlfn.XLOOKUP(A406,LongJump!F$5:F$302,LongJump!M$5:M$302)),0,_xlfn.XLOOKUP(A406,LongJump!F$5:F$302,LongJump!M$5:M$302)))</f>
        <v>0</v>
      </c>
      <c r="N406" s="49" t="str">
        <f>IF(B406="","",IF(ISNA(VLOOKUP(A406,LongJump!F$5:K$302,6,FALSE)),0,VLOOKUP(A406,LongJump!F$5:K$302,6,FALSE)))</f>
        <v/>
      </c>
      <c r="O406" s="49" t="str">
        <f>IF(B406="","",IF(ISNA(VLOOKUP(A406,Vortex!F$5:J$302,2,FALSE)),"",VLOOKUP(A406,Vortex!F$5:J$302,2,FALSE)))</f>
        <v/>
      </c>
      <c r="P406" s="49">
        <f>IF(B406="",0,IF(ISNA(_xlfn.XLOOKUP(A406,Vortex!F$5:F$302,Vortex!M$5:M$302)),0,_xlfn.XLOOKUP(A406,Vortex!F$5:F$302,Vortex!M$5:M$302)))</f>
        <v>0</v>
      </c>
      <c r="Q406" s="49">
        <f t="shared" si="32"/>
        <v>0</v>
      </c>
      <c r="R406" s="49" t="str">
        <f t="shared" si="33"/>
        <v/>
      </c>
      <c r="S406" s="49" t="str">
        <f t="shared" si="34"/>
        <v/>
      </c>
      <c r="T406" s="49" t="str">
        <f t="shared" si="35"/>
        <v/>
      </c>
      <c r="U406" s="49" t="str">
        <f t="shared" si="36"/>
        <v/>
      </c>
    </row>
    <row r="407" spans="1:21">
      <c r="A407" s="49" t="str">
        <f>IF(Declarations!B164=0,"",Declarations!B164)</f>
        <v/>
      </c>
      <c r="B407" s="150" t="str">
        <f>IF(ISNA(VLOOKUP(A407,Declarations!B$6:C$185,2,FALSE)),"",IF(VLOOKUP(A407,Declarations!B$6:C$185,2,FALSE)="","",VLOOKUP(A407,Declarations!B$6:C$185,2,FALSE)))</f>
        <v/>
      </c>
      <c r="C407" s="150" t="str">
        <f>IF(ISNA(VLOOKUP(A407,Declarations!B$6:F$185,5,FALSE)),"",IF(VLOOKUP(A407,Declarations!B$6:F$185,5,FALSE)="","",VLOOKUP(A407,Declarations!B$6:F$185,5,FALSE)))</f>
        <v/>
      </c>
      <c r="D407" s="150" t="str">
        <f>IF(ISNA(VLOOKUP(A407,Declarations!B$6:F$185,4,FALSE)),"",IF(VLOOKUP(A407,Declarations!B$6:F$185,4,FALSE)="","",VLOOKUP(A407,Declarations!B$6:F$185,4,FALSE)))</f>
        <v/>
      </c>
      <c r="E407" s="150" t="str">
        <f>IF(ISNA(VLOOKUP(A407,Declarations!B$6:D$185,3,FALSE)),"",IF(VLOOKUP(A407,Declarations!B$6:D$185,3,FALSE)="","",VLOOKUP(A407,Declarations!B$6:D$185,3,FALSE)))</f>
        <v/>
      </c>
      <c r="F407" s="49" t="str">
        <f>IF(B407="","",IF(ISNA(VLOOKUP(A407,'75m'!F$5:G$302,2,FALSE)),"",VLOOKUP(A407,'75m'!F$5:G$302,2,FALSE)))</f>
        <v/>
      </c>
      <c r="G407" s="49">
        <f>IF(B407="",0,IF(ISNA(_xlfn.XLOOKUP(A407,'75m'!F$5:F$302,'75m'!M$5:M$302)),0,_xlfn.XLOOKUP(A407,'75m'!F$5:F$302,'75m'!M$5:M$302)))</f>
        <v>0</v>
      </c>
      <c r="H407" s="49" t="str">
        <f>IF(B407="","",IF(ISNA(VLOOKUP(A407,'75m'!F$5:K$302,6,FALSE)),"",VLOOKUP(A407,'75m'!F$5:K$302,6,FALSE)))</f>
        <v/>
      </c>
      <c r="I407" s="51">
        <f>IF(B407="",0,IF(ISNA(VLOOKUP(A407,'600m'!F$5:J$302,2,FALSE)),0,VLOOKUP(A407,'600m'!F$5:J$302,2,FALSE)))</f>
        <v>0</v>
      </c>
      <c r="J407" s="49">
        <f>IF(B407="",0,IF(ISNA(_xlfn.XLOOKUP(A407,'600m'!F$5:F$302,'600m'!M$5:M$302)),0,_xlfn.XLOOKUP(A407,'600m'!F$5:F$302,'600m'!M$5:M$302)))</f>
        <v>0</v>
      </c>
      <c r="K407" s="49" t="str">
        <f>IF(B407="","",IF(ISNA(VLOOKUP(A407,'600m'!F$5:K$302,6,FALSE)),"",VLOOKUP(A407,'600m'!F$5:K$302,6,FALSE)))</f>
        <v/>
      </c>
      <c r="L407" s="49" t="str">
        <f>IF(B407="","",IF(ISNA(VLOOKUP(A407,LongJump!F$5:G$302,2,FALSE)),"",VLOOKUP(A407,LongJump!F$5:G$302,2,FALSE)))</f>
        <v/>
      </c>
      <c r="M407" s="49">
        <f>IF(B407="",0,IF(ISNA(_xlfn.XLOOKUP(A407,LongJump!F$5:F$302,LongJump!M$5:M$302)),0,_xlfn.XLOOKUP(A407,LongJump!F$5:F$302,LongJump!M$5:M$302)))</f>
        <v>0</v>
      </c>
      <c r="N407" s="49" t="str">
        <f>IF(B407="","",IF(ISNA(VLOOKUP(A407,LongJump!F$5:K$302,6,FALSE)),0,VLOOKUP(A407,LongJump!F$5:K$302,6,FALSE)))</f>
        <v/>
      </c>
      <c r="O407" s="49" t="str">
        <f>IF(B407="","",IF(ISNA(VLOOKUP(A407,Vortex!F$5:J$302,2,FALSE)),"",VLOOKUP(A407,Vortex!F$5:J$302,2,FALSE)))</f>
        <v/>
      </c>
      <c r="P407" s="49">
        <f>IF(B407="",0,IF(ISNA(_xlfn.XLOOKUP(A407,Vortex!F$5:F$302,Vortex!M$5:M$302)),0,_xlfn.XLOOKUP(A407,Vortex!F$5:F$302,Vortex!M$5:M$302)))</f>
        <v>0</v>
      </c>
      <c r="Q407" s="49">
        <f t="shared" si="32"/>
        <v>0</v>
      </c>
      <c r="R407" s="49" t="str">
        <f t="shared" si="33"/>
        <v/>
      </c>
      <c r="S407" s="49" t="str">
        <f t="shared" si="34"/>
        <v/>
      </c>
      <c r="T407" s="49" t="str">
        <f t="shared" si="35"/>
        <v/>
      </c>
      <c r="U407" s="49" t="str">
        <f t="shared" si="36"/>
        <v/>
      </c>
    </row>
    <row r="408" spans="1:21">
      <c r="A408" s="49" t="str">
        <f>IF(Declarations!B165=0,"",Declarations!B165)</f>
        <v/>
      </c>
      <c r="B408" s="150" t="str">
        <f>IF(ISNA(VLOOKUP(A408,Declarations!B$6:C$185,2,FALSE)),"",IF(VLOOKUP(A408,Declarations!B$6:C$185,2,FALSE)="","",VLOOKUP(A408,Declarations!B$6:C$185,2,FALSE)))</f>
        <v/>
      </c>
      <c r="C408" s="150" t="str">
        <f>IF(ISNA(VLOOKUP(A408,Declarations!B$6:F$185,5,FALSE)),"",IF(VLOOKUP(A408,Declarations!B$6:F$185,5,FALSE)="","",VLOOKUP(A408,Declarations!B$6:F$185,5,FALSE)))</f>
        <v/>
      </c>
      <c r="D408" s="150" t="str">
        <f>IF(ISNA(VLOOKUP(A408,Declarations!B$6:F$185,4,FALSE)),"",IF(VLOOKUP(A408,Declarations!B$6:F$185,4,FALSE)="","",VLOOKUP(A408,Declarations!B$6:F$185,4,FALSE)))</f>
        <v/>
      </c>
      <c r="E408" s="150" t="str">
        <f>IF(ISNA(VLOOKUP(A408,Declarations!B$6:D$185,3,FALSE)),"",IF(VLOOKUP(A408,Declarations!B$6:D$185,3,FALSE)="","",VLOOKUP(A408,Declarations!B$6:D$185,3,FALSE)))</f>
        <v/>
      </c>
      <c r="F408" s="49" t="str">
        <f>IF(B408="","",IF(ISNA(VLOOKUP(A408,'75m'!F$5:G$302,2,FALSE)),"",VLOOKUP(A408,'75m'!F$5:G$302,2,FALSE)))</f>
        <v/>
      </c>
      <c r="G408" s="49">
        <f>IF(B408="",0,IF(ISNA(_xlfn.XLOOKUP(A408,'75m'!F$5:F$302,'75m'!M$5:M$302)),0,_xlfn.XLOOKUP(A408,'75m'!F$5:F$302,'75m'!M$5:M$302)))</f>
        <v>0</v>
      </c>
      <c r="H408" s="49" t="str">
        <f>IF(B408="","",IF(ISNA(VLOOKUP(A408,'75m'!F$5:K$302,6,FALSE)),"",VLOOKUP(A408,'75m'!F$5:K$302,6,FALSE)))</f>
        <v/>
      </c>
      <c r="I408" s="51">
        <f>IF(B408="",0,IF(ISNA(VLOOKUP(A408,'600m'!F$5:J$302,2,FALSE)),0,VLOOKUP(A408,'600m'!F$5:J$302,2,FALSE)))</f>
        <v>0</v>
      </c>
      <c r="J408" s="49">
        <f>IF(B408="",0,IF(ISNA(_xlfn.XLOOKUP(A408,'600m'!F$5:F$302,'600m'!M$5:M$302)),0,_xlfn.XLOOKUP(A408,'600m'!F$5:F$302,'600m'!M$5:M$302)))</f>
        <v>0</v>
      </c>
      <c r="K408" s="49" t="str">
        <f>IF(B408="","",IF(ISNA(VLOOKUP(A408,'600m'!F$5:K$302,6,FALSE)),"",VLOOKUP(A408,'600m'!F$5:K$302,6,FALSE)))</f>
        <v/>
      </c>
      <c r="L408" s="49" t="str">
        <f>IF(B408="","",IF(ISNA(VLOOKUP(A408,LongJump!F$5:G$302,2,FALSE)),"",VLOOKUP(A408,LongJump!F$5:G$302,2,FALSE)))</f>
        <v/>
      </c>
      <c r="M408" s="49">
        <f>IF(B408="",0,IF(ISNA(_xlfn.XLOOKUP(A408,LongJump!F$5:F$302,LongJump!M$5:M$302)),0,_xlfn.XLOOKUP(A408,LongJump!F$5:F$302,LongJump!M$5:M$302)))</f>
        <v>0</v>
      </c>
      <c r="N408" s="49" t="str">
        <f>IF(B408="","",IF(ISNA(VLOOKUP(A408,LongJump!F$5:K$302,6,FALSE)),0,VLOOKUP(A408,LongJump!F$5:K$302,6,FALSE)))</f>
        <v/>
      </c>
      <c r="O408" s="49" t="str">
        <f>IF(B408="","",IF(ISNA(VLOOKUP(A408,Vortex!F$5:J$302,2,FALSE)),"",VLOOKUP(A408,Vortex!F$5:J$302,2,FALSE)))</f>
        <v/>
      </c>
      <c r="P408" s="49">
        <f>IF(B408="",0,IF(ISNA(_xlfn.XLOOKUP(A408,Vortex!F$5:F$302,Vortex!M$5:M$302)),0,_xlfn.XLOOKUP(A408,Vortex!F$5:F$302,Vortex!M$5:M$302)))</f>
        <v>0</v>
      </c>
      <c r="Q408" s="49">
        <f t="shared" si="32"/>
        <v>0</v>
      </c>
      <c r="R408" s="49" t="str">
        <f t="shared" si="33"/>
        <v/>
      </c>
      <c r="S408" s="49" t="str">
        <f t="shared" si="34"/>
        <v/>
      </c>
      <c r="T408" s="49" t="str">
        <f t="shared" si="35"/>
        <v/>
      </c>
      <c r="U408" s="49" t="str">
        <f t="shared" si="36"/>
        <v/>
      </c>
    </row>
    <row r="409" spans="1:21">
      <c r="A409" s="49" t="str">
        <f>IF(Declarations!B166=0,"",Declarations!B166)</f>
        <v/>
      </c>
      <c r="B409" s="150" t="str">
        <f>IF(ISNA(VLOOKUP(A409,Declarations!B$6:C$185,2,FALSE)),"",IF(VLOOKUP(A409,Declarations!B$6:C$185,2,FALSE)="","",VLOOKUP(A409,Declarations!B$6:C$185,2,FALSE)))</f>
        <v/>
      </c>
      <c r="C409" s="150" t="str">
        <f>IF(ISNA(VLOOKUP(A409,Declarations!B$6:F$185,5,FALSE)),"",IF(VLOOKUP(A409,Declarations!B$6:F$185,5,FALSE)="","",VLOOKUP(A409,Declarations!B$6:F$185,5,FALSE)))</f>
        <v/>
      </c>
      <c r="D409" s="150" t="str">
        <f>IF(ISNA(VLOOKUP(A409,Declarations!B$6:F$185,4,FALSE)),"",IF(VLOOKUP(A409,Declarations!B$6:F$185,4,FALSE)="","",VLOOKUP(A409,Declarations!B$6:F$185,4,FALSE)))</f>
        <v/>
      </c>
      <c r="E409" s="150" t="str">
        <f>IF(ISNA(VLOOKUP(A409,Declarations!B$6:D$185,3,FALSE)),"",IF(VLOOKUP(A409,Declarations!B$6:D$185,3,FALSE)="","",VLOOKUP(A409,Declarations!B$6:D$185,3,FALSE)))</f>
        <v/>
      </c>
      <c r="F409" s="49" t="str">
        <f>IF(B409="","",IF(ISNA(VLOOKUP(A409,'75m'!F$5:G$302,2,FALSE)),"",VLOOKUP(A409,'75m'!F$5:G$302,2,FALSE)))</f>
        <v/>
      </c>
      <c r="G409" s="49">
        <f>IF(B409="",0,IF(ISNA(_xlfn.XLOOKUP(A409,'75m'!F$5:F$302,'75m'!M$5:M$302)),0,_xlfn.XLOOKUP(A409,'75m'!F$5:F$302,'75m'!M$5:M$302)))</f>
        <v>0</v>
      </c>
      <c r="H409" s="49" t="str">
        <f>IF(B409="","",IF(ISNA(VLOOKUP(A409,'75m'!F$5:K$302,6,FALSE)),"",VLOOKUP(A409,'75m'!F$5:K$302,6,FALSE)))</f>
        <v/>
      </c>
      <c r="I409" s="51">
        <f>IF(B409="",0,IF(ISNA(VLOOKUP(A409,'600m'!F$5:J$302,2,FALSE)),0,VLOOKUP(A409,'600m'!F$5:J$302,2,FALSE)))</f>
        <v>0</v>
      </c>
      <c r="J409" s="49">
        <f>IF(B409="",0,IF(ISNA(_xlfn.XLOOKUP(A409,'600m'!F$5:F$302,'600m'!M$5:M$302)),0,_xlfn.XLOOKUP(A409,'600m'!F$5:F$302,'600m'!M$5:M$302)))</f>
        <v>0</v>
      </c>
      <c r="K409" s="49" t="str">
        <f>IF(B409="","",IF(ISNA(VLOOKUP(A409,'600m'!F$5:K$302,6,FALSE)),"",VLOOKUP(A409,'600m'!F$5:K$302,6,FALSE)))</f>
        <v/>
      </c>
      <c r="L409" s="49" t="str">
        <f>IF(B409="","",IF(ISNA(VLOOKUP(A409,LongJump!F$5:G$302,2,FALSE)),"",VLOOKUP(A409,LongJump!F$5:G$302,2,FALSE)))</f>
        <v/>
      </c>
      <c r="M409" s="49">
        <f>IF(B409="",0,IF(ISNA(_xlfn.XLOOKUP(A409,LongJump!F$5:F$302,LongJump!M$5:M$302)),0,_xlfn.XLOOKUP(A409,LongJump!F$5:F$302,LongJump!M$5:M$302)))</f>
        <v>0</v>
      </c>
      <c r="N409" s="49" t="str">
        <f>IF(B409="","",IF(ISNA(VLOOKUP(A409,LongJump!F$5:K$302,6,FALSE)),0,VLOOKUP(A409,LongJump!F$5:K$302,6,FALSE)))</f>
        <v/>
      </c>
      <c r="O409" s="49" t="str">
        <f>IF(B409="","",IF(ISNA(VLOOKUP(A409,Vortex!F$5:J$302,2,FALSE)),"",VLOOKUP(A409,Vortex!F$5:J$302,2,FALSE)))</f>
        <v/>
      </c>
      <c r="P409" s="49">
        <f>IF(B409="",0,IF(ISNA(_xlfn.XLOOKUP(A409,Vortex!F$5:F$302,Vortex!M$5:M$302)),0,_xlfn.XLOOKUP(A409,Vortex!F$5:F$302,Vortex!M$5:M$302)))</f>
        <v>0</v>
      </c>
      <c r="Q409" s="49">
        <f t="shared" si="32"/>
        <v>0</v>
      </c>
      <c r="R409" s="49" t="str">
        <f t="shared" si="33"/>
        <v/>
      </c>
      <c r="S409" s="49" t="str">
        <f t="shared" si="34"/>
        <v/>
      </c>
      <c r="T409" s="49" t="str">
        <f t="shared" si="35"/>
        <v/>
      </c>
      <c r="U409" s="49" t="str">
        <f t="shared" si="36"/>
        <v/>
      </c>
    </row>
    <row r="410" spans="1:21">
      <c r="A410" s="49" t="str">
        <f>IF(Declarations!B167=0,"",Declarations!B167)</f>
        <v/>
      </c>
      <c r="B410" s="150" t="str">
        <f>IF(ISNA(VLOOKUP(A410,Declarations!B$6:C$185,2,FALSE)),"",IF(VLOOKUP(A410,Declarations!B$6:C$185,2,FALSE)="","",VLOOKUP(A410,Declarations!B$6:C$185,2,FALSE)))</f>
        <v/>
      </c>
      <c r="C410" s="150" t="str">
        <f>IF(ISNA(VLOOKUP(A410,Declarations!B$6:F$185,5,FALSE)),"",IF(VLOOKUP(A410,Declarations!B$6:F$185,5,FALSE)="","",VLOOKUP(A410,Declarations!B$6:F$185,5,FALSE)))</f>
        <v/>
      </c>
      <c r="D410" s="150" t="str">
        <f>IF(ISNA(VLOOKUP(A410,Declarations!B$6:F$185,4,FALSE)),"",IF(VLOOKUP(A410,Declarations!B$6:F$185,4,FALSE)="","",VLOOKUP(A410,Declarations!B$6:F$185,4,FALSE)))</f>
        <v/>
      </c>
      <c r="E410" s="150" t="str">
        <f>IF(ISNA(VLOOKUP(A410,Declarations!B$6:D$185,3,FALSE)),"",IF(VLOOKUP(A410,Declarations!B$6:D$185,3,FALSE)="","",VLOOKUP(A410,Declarations!B$6:D$185,3,FALSE)))</f>
        <v/>
      </c>
      <c r="F410" s="49" t="str">
        <f>IF(B410="","",IF(ISNA(VLOOKUP(A410,'75m'!F$5:G$302,2,FALSE)),"",VLOOKUP(A410,'75m'!F$5:G$302,2,FALSE)))</f>
        <v/>
      </c>
      <c r="G410" s="49">
        <f>IF(B410="",0,IF(ISNA(_xlfn.XLOOKUP(A410,'75m'!F$5:F$302,'75m'!M$5:M$302)),0,_xlfn.XLOOKUP(A410,'75m'!F$5:F$302,'75m'!M$5:M$302)))</f>
        <v>0</v>
      </c>
      <c r="H410" s="49" t="str">
        <f>IF(B410="","",IF(ISNA(VLOOKUP(A410,'75m'!F$5:K$302,6,FALSE)),"",VLOOKUP(A410,'75m'!F$5:K$302,6,FALSE)))</f>
        <v/>
      </c>
      <c r="I410" s="51">
        <f>IF(B410="",0,IF(ISNA(VLOOKUP(A410,'600m'!F$5:J$302,2,FALSE)),0,VLOOKUP(A410,'600m'!F$5:J$302,2,FALSE)))</f>
        <v>0</v>
      </c>
      <c r="J410" s="49">
        <f>IF(B410="",0,IF(ISNA(_xlfn.XLOOKUP(A410,'600m'!F$5:F$302,'600m'!M$5:M$302)),0,_xlfn.XLOOKUP(A410,'600m'!F$5:F$302,'600m'!M$5:M$302)))</f>
        <v>0</v>
      </c>
      <c r="K410" s="49" t="str">
        <f>IF(B410="","",IF(ISNA(VLOOKUP(A410,'600m'!F$5:K$302,6,FALSE)),"",VLOOKUP(A410,'600m'!F$5:K$302,6,FALSE)))</f>
        <v/>
      </c>
      <c r="L410" s="49" t="str">
        <f>IF(B410="","",IF(ISNA(VLOOKUP(A410,LongJump!F$5:G$302,2,FALSE)),"",VLOOKUP(A410,LongJump!F$5:G$302,2,FALSE)))</f>
        <v/>
      </c>
      <c r="M410" s="49">
        <f>IF(B410="",0,IF(ISNA(_xlfn.XLOOKUP(A410,LongJump!F$5:F$302,LongJump!M$5:M$302)),0,_xlfn.XLOOKUP(A410,LongJump!F$5:F$302,LongJump!M$5:M$302)))</f>
        <v>0</v>
      </c>
      <c r="N410" s="49" t="str">
        <f>IF(B410="","",IF(ISNA(VLOOKUP(A410,LongJump!F$5:K$302,6,FALSE)),0,VLOOKUP(A410,LongJump!F$5:K$302,6,FALSE)))</f>
        <v/>
      </c>
      <c r="O410" s="49" t="str">
        <f>IF(B410="","",IF(ISNA(VLOOKUP(A410,Vortex!F$5:J$302,2,FALSE)),"",VLOOKUP(A410,Vortex!F$5:J$302,2,FALSE)))</f>
        <v/>
      </c>
      <c r="P410" s="49">
        <f>IF(B410="",0,IF(ISNA(_xlfn.XLOOKUP(A410,Vortex!F$5:F$302,Vortex!M$5:M$302)),0,_xlfn.XLOOKUP(A410,Vortex!F$5:F$302,Vortex!M$5:M$302)))</f>
        <v>0</v>
      </c>
      <c r="Q410" s="49">
        <f t="shared" si="32"/>
        <v>0</v>
      </c>
      <c r="R410" s="49" t="str">
        <f t="shared" si="33"/>
        <v/>
      </c>
      <c r="S410" s="49" t="str">
        <f t="shared" si="34"/>
        <v/>
      </c>
      <c r="T410" s="49" t="str">
        <f t="shared" si="35"/>
        <v/>
      </c>
      <c r="U410" s="49" t="str">
        <f t="shared" si="36"/>
        <v/>
      </c>
    </row>
    <row r="411" spans="1:21">
      <c r="A411" s="49" t="str">
        <f>IF(Declarations!B168=0,"",Declarations!B168)</f>
        <v/>
      </c>
      <c r="B411" s="150" t="str">
        <f>IF(ISNA(VLOOKUP(A411,Declarations!B$6:C$185,2,FALSE)),"",IF(VLOOKUP(A411,Declarations!B$6:C$185,2,FALSE)="","",VLOOKUP(A411,Declarations!B$6:C$185,2,FALSE)))</f>
        <v/>
      </c>
      <c r="C411" s="150" t="str">
        <f>IF(ISNA(VLOOKUP(A411,Declarations!B$6:F$185,5,FALSE)),"",IF(VLOOKUP(A411,Declarations!B$6:F$185,5,FALSE)="","",VLOOKUP(A411,Declarations!B$6:F$185,5,FALSE)))</f>
        <v/>
      </c>
      <c r="D411" s="150" t="str">
        <f>IF(ISNA(VLOOKUP(A411,Declarations!B$6:F$185,4,FALSE)),"",IF(VLOOKUP(A411,Declarations!B$6:F$185,4,FALSE)="","",VLOOKUP(A411,Declarations!B$6:F$185,4,FALSE)))</f>
        <v/>
      </c>
      <c r="E411" s="150" t="str">
        <f>IF(ISNA(VLOOKUP(A411,Declarations!B$6:D$185,3,FALSE)),"",IF(VLOOKUP(A411,Declarations!B$6:D$185,3,FALSE)="","",VLOOKUP(A411,Declarations!B$6:D$185,3,FALSE)))</f>
        <v/>
      </c>
      <c r="F411" s="49" t="str">
        <f>IF(B411="","",IF(ISNA(VLOOKUP(A411,'75m'!F$5:G$302,2,FALSE)),"",VLOOKUP(A411,'75m'!F$5:G$302,2,FALSE)))</f>
        <v/>
      </c>
      <c r="G411" s="49">
        <f>IF(B411="",0,IF(ISNA(_xlfn.XLOOKUP(A411,'75m'!F$5:F$302,'75m'!M$5:M$302)),0,_xlfn.XLOOKUP(A411,'75m'!F$5:F$302,'75m'!M$5:M$302)))</f>
        <v>0</v>
      </c>
      <c r="H411" s="49" t="str">
        <f>IF(B411="","",IF(ISNA(VLOOKUP(A411,'75m'!F$5:K$302,6,FALSE)),"",VLOOKUP(A411,'75m'!F$5:K$302,6,FALSE)))</f>
        <v/>
      </c>
      <c r="I411" s="51">
        <f>IF(B411="",0,IF(ISNA(VLOOKUP(A411,'600m'!F$5:J$302,2,FALSE)),0,VLOOKUP(A411,'600m'!F$5:J$302,2,FALSE)))</f>
        <v>0</v>
      </c>
      <c r="J411" s="49">
        <f>IF(B411="",0,IF(ISNA(_xlfn.XLOOKUP(A411,'600m'!F$5:F$302,'600m'!M$5:M$302)),0,_xlfn.XLOOKUP(A411,'600m'!F$5:F$302,'600m'!M$5:M$302)))</f>
        <v>0</v>
      </c>
      <c r="K411" s="49" t="str">
        <f>IF(B411="","",IF(ISNA(VLOOKUP(A411,'600m'!F$5:K$302,6,FALSE)),"",VLOOKUP(A411,'600m'!F$5:K$302,6,FALSE)))</f>
        <v/>
      </c>
      <c r="L411" s="49" t="str">
        <f>IF(B411="","",IF(ISNA(VLOOKUP(A411,LongJump!F$5:G$302,2,FALSE)),"",VLOOKUP(A411,LongJump!F$5:G$302,2,FALSE)))</f>
        <v/>
      </c>
      <c r="M411" s="49">
        <f>IF(B411="",0,IF(ISNA(_xlfn.XLOOKUP(A411,LongJump!F$5:F$302,LongJump!M$5:M$302)),0,_xlfn.XLOOKUP(A411,LongJump!F$5:F$302,LongJump!M$5:M$302)))</f>
        <v>0</v>
      </c>
      <c r="N411" s="49" t="str">
        <f>IF(B411="","",IF(ISNA(VLOOKUP(A411,LongJump!F$5:K$302,6,FALSE)),0,VLOOKUP(A411,LongJump!F$5:K$302,6,FALSE)))</f>
        <v/>
      </c>
      <c r="O411" s="49" t="str">
        <f>IF(B411="","",IF(ISNA(VLOOKUP(A411,Vortex!F$5:J$302,2,FALSE)),"",VLOOKUP(A411,Vortex!F$5:J$302,2,FALSE)))</f>
        <v/>
      </c>
      <c r="P411" s="49">
        <f>IF(B411="",0,IF(ISNA(_xlfn.XLOOKUP(A411,Vortex!F$5:F$302,Vortex!M$5:M$302)),0,_xlfn.XLOOKUP(A411,Vortex!F$5:F$302,Vortex!M$5:M$302)))</f>
        <v>0</v>
      </c>
      <c r="Q411" s="49">
        <f t="shared" si="32"/>
        <v>0</v>
      </c>
      <c r="R411" s="49" t="str">
        <f t="shared" si="33"/>
        <v/>
      </c>
      <c r="S411" s="49" t="str">
        <f t="shared" si="34"/>
        <v/>
      </c>
      <c r="T411" s="49" t="str">
        <f t="shared" si="35"/>
        <v/>
      </c>
      <c r="U411" s="49" t="str">
        <f t="shared" si="36"/>
        <v/>
      </c>
    </row>
    <row r="412" spans="1:21">
      <c r="A412" s="49" t="str">
        <f>IF(Declarations!B169=0,"",Declarations!B169)</f>
        <v/>
      </c>
      <c r="B412" s="150" t="str">
        <f>IF(ISNA(VLOOKUP(A412,Declarations!B$6:C$185,2,FALSE)),"",IF(VLOOKUP(A412,Declarations!B$6:C$185,2,FALSE)="","",VLOOKUP(A412,Declarations!B$6:C$185,2,FALSE)))</f>
        <v/>
      </c>
      <c r="C412" s="150" t="str">
        <f>IF(ISNA(VLOOKUP(A412,Declarations!B$6:F$185,5,FALSE)),"",IF(VLOOKUP(A412,Declarations!B$6:F$185,5,FALSE)="","",VLOOKUP(A412,Declarations!B$6:F$185,5,FALSE)))</f>
        <v/>
      </c>
      <c r="D412" s="150" t="str">
        <f>IF(ISNA(VLOOKUP(A412,Declarations!B$6:F$185,4,FALSE)),"",IF(VLOOKUP(A412,Declarations!B$6:F$185,4,FALSE)="","",VLOOKUP(A412,Declarations!B$6:F$185,4,FALSE)))</f>
        <v/>
      </c>
      <c r="E412" s="150" t="str">
        <f>IF(ISNA(VLOOKUP(A412,Declarations!B$6:D$185,3,FALSE)),"",IF(VLOOKUP(A412,Declarations!B$6:D$185,3,FALSE)="","",VLOOKUP(A412,Declarations!B$6:D$185,3,FALSE)))</f>
        <v/>
      </c>
      <c r="F412" s="49" t="str">
        <f>IF(B412="","",IF(ISNA(VLOOKUP(A412,'75m'!F$5:G$302,2,FALSE)),"",VLOOKUP(A412,'75m'!F$5:G$302,2,FALSE)))</f>
        <v/>
      </c>
      <c r="G412" s="49">
        <f>IF(B412="",0,IF(ISNA(_xlfn.XLOOKUP(A412,'75m'!F$5:F$302,'75m'!M$5:M$302)),0,_xlfn.XLOOKUP(A412,'75m'!F$5:F$302,'75m'!M$5:M$302)))</f>
        <v>0</v>
      </c>
      <c r="H412" s="49" t="str">
        <f>IF(B412="","",IF(ISNA(VLOOKUP(A412,'75m'!F$5:K$302,6,FALSE)),"",VLOOKUP(A412,'75m'!F$5:K$302,6,FALSE)))</f>
        <v/>
      </c>
      <c r="I412" s="51">
        <f>IF(B412="",0,IF(ISNA(VLOOKUP(A412,'600m'!F$5:J$302,2,FALSE)),0,VLOOKUP(A412,'600m'!F$5:J$302,2,FALSE)))</f>
        <v>0</v>
      </c>
      <c r="J412" s="49">
        <f>IF(B412="",0,IF(ISNA(_xlfn.XLOOKUP(A412,'600m'!F$5:F$302,'600m'!M$5:M$302)),0,_xlfn.XLOOKUP(A412,'600m'!F$5:F$302,'600m'!M$5:M$302)))</f>
        <v>0</v>
      </c>
      <c r="K412" s="49" t="str">
        <f>IF(B412="","",IF(ISNA(VLOOKUP(A412,'600m'!F$5:K$302,6,FALSE)),"",VLOOKUP(A412,'600m'!F$5:K$302,6,FALSE)))</f>
        <v/>
      </c>
      <c r="L412" s="49" t="str">
        <f>IF(B412="","",IF(ISNA(VLOOKUP(A412,LongJump!F$5:G$302,2,FALSE)),"",VLOOKUP(A412,LongJump!F$5:G$302,2,FALSE)))</f>
        <v/>
      </c>
      <c r="M412" s="49">
        <f>IF(B412="",0,IF(ISNA(_xlfn.XLOOKUP(A412,LongJump!F$5:F$302,LongJump!M$5:M$302)),0,_xlfn.XLOOKUP(A412,LongJump!F$5:F$302,LongJump!M$5:M$302)))</f>
        <v>0</v>
      </c>
      <c r="N412" s="49" t="str">
        <f>IF(B412="","",IF(ISNA(VLOOKUP(A412,LongJump!F$5:K$302,6,FALSE)),0,VLOOKUP(A412,LongJump!F$5:K$302,6,FALSE)))</f>
        <v/>
      </c>
      <c r="O412" s="49" t="str">
        <f>IF(B412="","",IF(ISNA(VLOOKUP(A412,Vortex!F$5:J$302,2,FALSE)),"",VLOOKUP(A412,Vortex!F$5:J$302,2,FALSE)))</f>
        <v/>
      </c>
      <c r="P412" s="49">
        <f>IF(B412="",0,IF(ISNA(_xlfn.XLOOKUP(A412,Vortex!F$5:F$302,Vortex!M$5:M$302)),0,_xlfn.XLOOKUP(A412,Vortex!F$5:F$302,Vortex!M$5:M$302)))</f>
        <v>0</v>
      </c>
      <c r="Q412" s="49">
        <f t="shared" si="32"/>
        <v>0</v>
      </c>
      <c r="R412" s="49" t="str">
        <f t="shared" si="33"/>
        <v/>
      </c>
      <c r="S412" s="49" t="str">
        <f t="shared" si="34"/>
        <v/>
      </c>
      <c r="T412" s="49" t="str">
        <f t="shared" si="35"/>
        <v/>
      </c>
      <c r="U412" s="49" t="str">
        <f t="shared" si="36"/>
        <v/>
      </c>
    </row>
    <row r="413" spans="1:21">
      <c r="A413" s="49" t="str">
        <f>IF(Declarations!B170=0,"",Declarations!B170)</f>
        <v/>
      </c>
      <c r="B413" s="150" t="str">
        <f>IF(ISNA(VLOOKUP(A413,Declarations!B$6:C$185,2,FALSE)),"",IF(VLOOKUP(A413,Declarations!B$6:C$185,2,FALSE)="","",VLOOKUP(A413,Declarations!B$6:C$185,2,FALSE)))</f>
        <v/>
      </c>
      <c r="C413" s="150" t="str">
        <f>IF(ISNA(VLOOKUP(A413,Declarations!B$6:F$185,5,FALSE)),"",IF(VLOOKUP(A413,Declarations!B$6:F$185,5,FALSE)="","",VLOOKUP(A413,Declarations!B$6:F$185,5,FALSE)))</f>
        <v/>
      </c>
      <c r="D413" s="150" t="str">
        <f>IF(ISNA(VLOOKUP(A413,Declarations!B$6:F$185,4,FALSE)),"",IF(VLOOKUP(A413,Declarations!B$6:F$185,4,FALSE)="","",VLOOKUP(A413,Declarations!B$6:F$185,4,FALSE)))</f>
        <v/>
      </c>
      <c r="E413" s="150" t="str">
        <f>IF(ISNA(VLOOKUP(A413,Declarations!B$6:D$185,3,FALSE)),"",IF(VLOOKUP(A413,Declarations!B$6:D$185,3,FALSE)="","",VLOOKUP(A413,Declarations!B$6:D$185,3,FALSE)))</f>
        <v/>
      </c>
      <c r="F413" s="49" t="str">
        <f>IF(B413="","",IF(ISNA(VLOOKUP(A413,'75m'!F$5:G$302,2,FALSE)),"",VLOOKUP(A413,'75m'!F$5:G$302,2,FALSE)))</f>
        <v/>
      </c>
      <c r="G413" s="49">
        <f>IF(B413="",0,IF(ISNA(_xlfn.XLOOKUP(A413,'75m'!F$5:F$302,'75m'!M$5:M$302)),0,_xlfn.XLOOKUP(A413,'75m'!F$5:F$302,'75m'!M$5:M$302)))</f>
        <v>0</v>
      </c>
      <c r="H413" s="49" t="str">
        <f>IF(B413="","",IF(ISNA(VLOOKUP(A413,'75m'!F$5:K$302,6,FALSE)),"",VLOOKUP(A413,'75m'!F$5:K$302,6,FALSE)))</f>
        <v/>
      </c>
      <c r="I413" s="51">
        <f>IF(B413="",0,IF(ISNA(VLOOKUP(A413,'600m'!F$5:J$302,2,FALSE)),0,VLOOKUP(A413,'600m'!F$5:J$302,2,FALSE)))</f>
        <v>0</v>
      </c>
      <c r="J413" s="49">
        <f>IF(B413="",0,IF(ISNA(_xlfn.XLOOKUP(A413,'600m'!F$5:F$302,'600m'!M$5:M$302)),0,_xlfn.XLOOKUP(A413,'600m'!F$5:F$302,'600m'!M$5:M$302)))</f>
        <v>0</v>
      </c>
      <c r="K413" s="49" t="str">
        <f>IF(B413="","",IF(ISNA(VLOOKUP(A413,'600m'!F$5:K$302,6,FALSE)),"",VLOOKUP(A413,'600m'!F$5:K$302,6,FALSE)))</f>
        <v/>
      </c>
      <c r="L413" s="49" t="str">
        <f>IF(B413="","",IF(ISNA(VLOOKUP(A413,LongJump!F$5:G$302,2,FALSE)),"",VLOOKUP(A413,LongJump!F$5:G$302,2,FALSE)))</f>
        <v/>
      </c>
      <c r="M413" s="49">
        <f>IF(B413="",0,IF(ISNA(_xlfn.XLOOKUP(A413,LongJump!F$5:F$302,LongJump!M$5:M$302)),0,_xlfn.XLOOKUP(A413,LongJump!F$5:F$302,LongJump!M$5:M$302)))</f>
        <v>0</v>
      </c>
      <c r="N413" s="49" t="str">
        <f>IF(B413="","",IF(ISNA(VLOOKUP(A413,LongJump!F$5:K$302,6,FALSE)),0,VLOOKUP(A413,LongJump!F$5:K$302,6,FALSE)))</f>
        <v/>
      </c>
      <c r="O413" s="49" t="str">
        <f>IF(B413="","",IF(ISNA(VLOOKUP(A413,Vortex!F$5:J$302,2,FALSE)),"",VLOOKUP(A413,Vortex!F$5:J$302,2,FALSE)))</f>
        <v/>
      </c>
      <c r="P413" s="49">
        <f>IF(B413="",0,IF(ISNA(_xlfn.XLOOKUP(A413,Vortex!F$5:F$302,Vortex!M$5:M$302)),0,_xlfn.XLOOKUP(A413,Vortex!F$5:F$302,Vortex!M$5:M$302)))</f>
        <v>0</v>
      </c>
      <c r="Q413" s="49">
        <f t="shared" si="32"/>
        <v>0</v>
      </c>
      <c r="R413" s="49" t="str">
        <f t="shared" si="33"/>
        <v/>
      </c>
      <c r="S413" s="49" t="str">
        <f t="shared" si="34"/>
        <v/>
      </c>
      <c r="T413" s="49" t="str">
        <f t="shared" si="35"/>
        <v/>
      </c>
      <c r="U413" s="49" t="str">
        <f t="shared" si="36"/>
        <v/>
      </c>
    </row>
    <row r="414" spans="1:21">
      <c r="A414" s="49" t="str">
        <f>IF(Declarations!B171=0,"",Declarations!B171)</f>
        <v/>
      </c>
      <c r="B414" s="150" t="str">
        <f>IF(ISNA(VLOOKUP(A414,Declarations!B$6:C$185,2,FALSE)),"",IF(VLOOKUP(A414,Declarations!B$6:C$185,2,FALSE)="","",VLOOKUP(A414,Declarations!B$6:C$185,2,FALSE)))</f>
        <v/>
      </c>
      <c r="C414" s="150" t="str">
        <f>IF(ISNA(VLOOKUP(A414,Declarations!B$6:F$185,5,FALSE)),"",IF(VLOOKUP(A414,Declarations!B$6:F$185,5,FALSE)="","",VLOOKUP(A414,Declarations!B$6:F$185,5,FALSE)))</f>
        <v/>
      </c>
      <c r="D414" s="150" t="str">
        <f>IF(ISNA(VLOOKUP(A414,Declarations!B$6:F$185,4,FALSE)),"",IF(VLOOKUP(A414,Declarations!B$6:F$185,4,FALSE)="","",VLOOKUP(A414,Declarations!B$6:F$185,4,FALSE)))</f>
        <v/>
      </c>
      <c r="E414" s="150" t="str">
        <f>IF(ISNA(VLOOKUP(A414,Declarations!B$6:D$185,3,FALSE)),"",IF(VLOOKUP(A414,Declarations!B$6:D$185,3,FALSE)="","",VLOOKUP(A414,Declarations!B$6:D$185,3,FALSE)))</f>
        <v/>
      </c>
      <c r="F414" s="49" t="str">
        <f>IF(B414="","",IF(ISNA(VLOOKUP(A414,'75m'!F$5:G$302,2,FALSE)),"",VLOOKUP(A414,'75m'!F$5:G$302,2,FALSE)))</f>
        <v/>
      </c>
      <c r="G414" s="49">
        <f>IF(B414="",0,IF(ISNA(_xlfn.XLOOKUP(A414,'75m'!F$5:F$302,'75m'!M$5:M$302)),0,_xlfn.XLOOKUP(A414,'75m'!F$5:F$302,'75m'!M$5:M$302)))</f>
        <v>0</v>
      </c>
      <c r="H414" s="49" t="str">
        <f>IF(B414="","",IF(ISNA(VLOOKUP(A414,'75m'!F$5:K$302,6,FALSE)),"",VLOOKUP(A414,'75m'!F$5:K$302,6,FALSE)))</f>
        <v/>
      </c>
      <c r="I414" s="51">
        <f>IF(B414="",0,IF(ISNA(VLOOKUP(A414,'600m'!F$5:J$302,2,FALSE)),0,VLOOKUP(A414,'600m'!F$5:J$302,2,FALSE)))</f>
        <v>0</v>
      </c>
      <c r="J414" s="49">
        <f>IF(B414="",0,IF(ISNA(_xlfn.XLOOKUP(A414,'600m'!F$5:F$302,'600m'!M$5:M$302)),0,_xlfn.XLOOKUP(A414,'600m'!F$5:F$302,'600m'!M$5:M$302)))</f>
        <v>0</v>
      </c>
      <c r="K414" s="49" t="str">
        <f>IF(B414="","",IF(ISNA(VLOOKUP(A414,'600m'!F$5:K$302,6,FALSE)),"",VLOOKUP(A414,'600m'!F$5:K$302,6,FALSE)))</f>
        <v/>
      </c>
      <c r="L414" s="49" t="str">
        <f>IF(B414="","",IF(ISNA(VLOOKUP(A414,LongJump!F$5:G$302,2,FALSE)),"",VLOOKUP(A414,LongJump!F$5:G$302,2,FALSE)))</f>
        <v/>
      </c>
      <c r="M414" s="49">
        <f>IF(B414="",0,IF(ISNA(_xlfn.XLOOKUP(A414,LongJump!F$5:F$302,LongJump!M$5:M$302)),0,_xlfn.XLOOKUP(A414,LongJump!F$5:F$302,LongJump!M$5:M$302)))</f>
        <v>0</v>
      </c>
      <c r="N414" s="49" t="str">
        <f>IF(B414="","",IF(ISNA(VLOOKUP(A414,LongJump!F$5:K$302,6,FALSE)),0,VLOOKUP(A414,LongJump!F$5:K$302,6,FALSE)))</f>
        <v/>
      </c>
      <c r="O414" s="49" t="str">
        <f>IF(B414="","",IF(ISNA(VLOOKUP(A414,Vortex!F$5:J$302,2,FALSE)),"",VLOOKUP(A414,Vortex!F$5:J$302,2,FALSE)))</f>
        <v/>
      </c>
      <c r="P414" s="49">
        <f>IF(B414="",0,IF(ISNA(_xlfn.XLOOKUP(A414,Vortex!F$5:F$302,Vortex!M$5:M$302)),0,_xlfn.XLOOKUP(A414,Vortex!F$5:F$302,Vortex!M$5:M$302)))</f>
        <v>0</v>
      </c>
      <c r="Q414" s="49">
        <f t="shared" si="32"/>
        <v>0</v>
      </c>
      <c r="R414" s="49" t="str">
        <f t="shared" si="33"/>
        <v/>
      </c>
      <c r="S414" s="49" t="str">
        <f t="shared" si="34"/>
        <v/>
      </c>
      <c r="T414" s="49" t="str">
        <f t="shared" si="35"/>
        <v/>
      </c>
      <c r="U414" s="49" t="str">
        <f t="shared" si="36"/>
        <v/>
      </c>
    </row>
    <row r="415" spans="1:21">
      <c r="A415" s="49" t="str">
        <f>IF(Declarations!B172=0,"",Declarations!B172)</f>
        <v/>
      </c>
      <c r="B415" s="150" t="str">
        <f>IF(ISNA(VLOOKUP(A415,Declarations!B$6:C$185,2,FALSE)),"",IF(VLOOKUP(A415,Declarations!B$6:C$185,2,FALSE)="","",VLOOKUP(A415,Declarations!B$6:C$185,2,FALSE)))</f>
        <v/>
      </c>
      <c r="C415" s="150" t="str">
        <f>IF(ISNA(VLOOKUP(A415,Declarations!B$6:F$185,5,FALSE)),"",IF(VLOOKUP(A415,Declarations!B$6:F$185,5,FALSE)="","",VLOOKUP(A415,Declarations!B$6:F$185,5,FALSE)))</f>
        <v/>
      </c>
      <c r="D415" s="150" t="str">
        <f>IF(ISNA(VLOOKUP(A415,Declarations!B$6:F$185,4,FALSE)),"",IF(VLOOKUP(A415,Declarations!B$6:F$185,4,FALSE)="","",VLOOKUP(A415,Declarations!B$6:F$185,4,FALSE)))</f>
        <v/>
      </c>
      <c r="E415" s="150" t="str">
        <f>IF(ISNA(VLOOKUP(A415,Declarations!B$6:D$185,3,FALSE)),"",IF(VLOOKUP(A415,Declarations!B$6:D$185,3,FALSE)="","",VLOOKUP(A415,Declarations!B$6:D$185,3,FALSE)))</f>
        <v/>
      </c>
      <c r="F415" s="49" t="str">
        <f>IF(B415="","",IF(ISNA(VLOOKUP(A415,'75m'!F$5:G$302,2,FALSE)),"",VLOOKUP(A415,'75m'!F$5:G$302,2,FALSE)))</f>
        <v/>
      </c>
      <c r="G415" s="49">
        <f>IF(B415="",0,IF(ISNA(_xlfn.XLOOKUP(A415,'75m'!F$5:F$302,'75m'!M$5:M$302)),0,_xlfn.XLOOKUP(A415,'75m'!F$5:F$302,'75m'!M$5:M$302)))</f>
        <v>0</v>
      </c>
      <c r="H415" s="49" t="str">
        <f>IF(B415="","",IF(ISNA(VLOOKUP(A415,'75m'!F$5:K$302,6,FALSE)),"",VLOOKUP(A415,'75m'!F$5:K$302,6,FALSE)))</f>
        <v/>
      </c>
      <c r="I415" s="51">
        <f>IF(B415="",0,IF(ISNA(VLOOKUP(A415,'600m'!F$5:J$302,2,FALSE)),0,VLOOKUP(A415,'600m'!F$5:J$302,2,FALSE)))</f>
        <v>0</v>
      </c>
      <c r="J415" s="49">
        <f>IF(B415="",0,IF(ISNA(_xlfn.XLOOKUP(A415,'600m'!F$5:F$302,'600m'!M$5:M$302)),0,_xlfn.XLOOKUP(A415,'600m'!F$5:F$302,'600m'!M$5:M$302)))</f>
        <v>0</v>
      </c>
      <c r="K415" s="49" t="str">
        <f>IF(B415="","",IF(ISNA(VLOOKUP(A415,'600m'!F$5:K$302,6,FALSE)),"",VLOOKUP(A415,'600m'!F$5:K$302,6,FALSE)))</f>
        <v/>
      </c>
      <c r="L415" s="49" t="str">
        <f>IF(B415="","",IF(ISNA(VLOOKUP(A415,LongJump!F$5:G$302,2,FALSE)),"",VLOOKUP(A415,LongJump!F$5:G$302,2,FALSE)))</f>
        <v/>
      </c>
      <c r="M415" s="49">
        <f>IF(B415="",0,IF(ISNA(_xlfn.XLOOKUP(A415,LongJump!F$5:F$302,LongJump!M$5:M$302)),0,_xlfn.XLOOKUP(A415,LongJump!F$5:F$302,LongJump!M$5:M$302)))</f>
        <v>0</v>
      </c>
      <c r="N415" s="49" t="str">
        <f>IF(B415="","",IF(ISNA(VLOOKUP(A415,LongJump!F$5:K$302,6,FALSE)),0,VLOOKUP(A415,LongJump!F$5:K$302,6,FALSE)))</f>
        <v/>
      </c>
      <c r="O415" s="49" t="str">
        <f>IF(B415="","",IF(ISNA(VLOOKUP(A415,Vortex!F$5:J$302,2,FALSE)),"",VLOOKUP(A415,Vortex!F$5:J$302,2,FALSE)))</f>
        <v/>
      </c>
      <c r="P415" s="49">
        <f>IF(B415="",0,IF(ISNA(_xlfn.XLOOKUP(A415,Vortex!F$5:F$302,Vortex!M$5:M$302)),0,_xlfn.XLOOKUP(A415,Vortex!F$5:F$302,Vortex!M$5:M$302)))</f>
        <v>0</v>
      </c>
      <c r="Q415" s="49">
        <f t="shared" si="32"/>
        <v>0</v>
      </c>
      <c r="R415" s="49" t="str">
        <f t="shared" si="33"/>
        <v/>
      </c>
      <c r="S415" s="49" t="str">
        <f t="shared" si="34"/>
        <v/>
      </c>
      <c r="T415" s="49" t="str">
        <f t="shared" si="35"/>
        <v/>
      </c>
      <c r="U415" s="49" t="str">
        <f t="shared" si="36"/>
        <v/>
      </c>
    </row>
    <row r="416" spans="1:21">
      <c r="A416" s="49" t="str">
        <f>IF(Declarations!B173=0,"",Declarations!B173)</f>
        <v/>
      </c>
      <c r="B416" s="150" t="str">
        <f>IF(ISNA(VLOOKUP(A416,Declarations!B$6:C$185,2,FALSE)),"",IF(VLOOKUP(A416,Declarations!B$6:C$185,2,FALSE)="","",VLOOKUP(A416,Declarations!B$6:C$185,2,FALSE)))</f>
        <v/>
      </c>
      <c r="C416" s="150" t="str">
        <f>IF(ISNA(VLOOKUP(A416,Declarations!B$6:F$185,5,FALSE)),"",IF(VLOOKUP(A416,Declarations!B$6:F$185,5,FALSE)="","",VLOOKUP(A416,Declarations!B$6:F$185,5,FALSE)))</f>
        <v/>
      </c>
      <c r="D416" s="150" t="str">
        <f>IF(ISNA(VLOOKUP(A416,Declarations!B$6:F$185,4,FALSE)),"",IF(VLOOKUP(A416,Declarations!B$6:F$185,4,FALSE)="","",VLOOKUP(A416,Declarations!B$6:F$185,4,FALSE)))</f>
        <v/>
      </c>
      <c r="E416" s="150" t="str">
        <f>IF(ISNA(VLOOKUP(A416,Declarations!B$6:D$185,3,FALSE)),"",IF(VLOOKUP(A416,Declarations!B$6:D$185,3,FALSE)="","",VLOOKUP(A416,Declarations!B$6:D$185,3,FALSE)))</f>
        <v/>
      </c>
      <c r="F416" s="49" t="str">
        <f>IF(B416="","",IF(ISNA(VLOOKUP(A416,'75m'!F$5:G$302,2,FALSE)),"",VLOOKUP(A416,'75m'!F$5:G$302,2,FALSE)))</f>
        <v/>
      </c>
      <c r="G416" s="49">
        <f>IF(B416="",0,IF(ISNA(_xlfn.XLOOKUP(A416,'75m'!F$5:F$302,'75m'!M$5:M$302)),0,_xlfn.XLOOKUP(A416,'75m'!F$5:F$302,'75m'!M$5:M$302)))</f>
        <v>0</v>
      </c>
      <c r="H416" s="49" t="str">
        <f>IF(B416="","",IF(ISNA(VLOOKUP(A416,'75m'!F$5:K$302,6,FALSE)),"",VLOOKUP(A416,'75m'!F$5:K$302,6,FALSE)))</f>
        <v/>
      </c>
      <c r="I416" s="51">
        <f>IF(B416="",0,IF(ISNA(VLOOKUP(A416,'600m'!F$5:J$302,2,FALSE)),0,VLOOKUP(A416,'600m'!F$5:J$302,2,FALSE)))</f>
        <v>0</v>
      </c>
      <c r="J416" s="49">
        <f>IF(B416="",0,IF(ISNA(_xlfn.XLOOKUP(A416,'600m'!F$5:F$302,'600m'!M$5:M$302)),0,_xlfn.XLOOKUP(A416,'600m'!F$5:F$302,'600m'!M$5:M$302)))</f>
        <v>0</v>
      </c>
      <c r="K416" s="49" t="str">
        <f>IF(B416="","",IF(ISNA(VLOOKUP(A416,'600m'!F$5:K$302,6,FALSE)),"",VLOOKUP(A416,'600m'!F$5:K$302,6,FALSE)))</f>
        <v/>
      </c>
      <c r="L416" s="49" t="str">
        <f>IF(B416="","",IF(ISNA(VLOOKUP(A416,LongJump!F$5:G$302,2,FALSE)),"",VLOOKUP(A416,LongJump!F$5:G$302,2,FALSE)))</f>
        <v/>
      </c>
      <c r="M416" s="49">
        <f>IF(B416="",0,IF(ISNA(_xlfn.XLOOKUP(A416,LongJump!F$5:F$302,LongJump!M$5:M$302)),0,_xlfn.XLOOKUP(A416,LongJump!F$5:F$302,LongJump!M$5:M$302)))</f>
        <v>0</v>
      </c>
      <c r="N416" s="49" t="str">
        <f>IF(B416="","",IF(ISNA(VLOOKUP(A416,LongJump!F$5:K$302,6,FALSE)),0,VLOOKUP(A416,LongJump!F$5:K$302,6,FALSE)))</f>
        <v/>
      </c>
      <c r="O416" s="49" t="str">
        <f>IF(B416="","",IF(ISNA(VLOOKUP(A416,Vortex!F$5:J$302,2,FALSE)),"",VLOOKUP(A416,Vortex!F$5:J$302,2,FALSE)))</f>
        <v/>
      </c>
      <c r="P416" s="49">
        <f>IF(B416="",0,IF(ISNA(_xlfn.XLOOKUP(A416,Vortex!F$5:F$302,Vortex!M$5:M$302)),0,_xlfn.XLOOKUP(A416,Vortex!F$5:F$302,Vortex!M$5:M$302)))</f>
        <v>0</v>
      </c>
      <c r="Q416" s="49">
        <f t="shared" si="32"/>
        <v>0</v>
      </c>
      <c r="R416" s="49" t="str">
        <f t="shared" si="33"/>
        <v/>
      </c>
      <c r="S416" s="49" t="str">
        <f t="shared" si="34"/>
        <v/>
      </c>
      <c r="T416" s="49" t="str">
        <f t="shared" si="35"/>
        <v/>
      </c>
      <c r="U416" s="49" t="str">
        <f t="shared" si="36"/>
        <v/>
      </c>
    </row>
    <row r="417" spans="1:21">
      <c r="A417" s="49" t="str">
        <f>IF(Declarations!B174=0,"",Declarations!B174)</f>
        <v/>
      </c>
      <c r="B417" s="150" t="str">
        <f>IF(ISNA(VLOOKUP(A417,Declarations!B$6:C$185,2,FALSE)),"",IF(VLOOKUP(A417,Declarations!B$6:C$185,2,FALSE)="","",VLOOKUP(A417,Declarations!B$6:C$185,2,FALSE)))</f>
        <v/>
      </c>
      <c r="C417" s="150" t="str">
        <f>IF(ISNA(VLOOKUP(A417,Declarations!B$6:F$185,5,FALSE)),"",IF(VLOOKUP(A417,Declarations!B$6:F$185,5,FALSE)="","",VLOOKUP(A417,Declarations!B$6:F$185,5,FALSE)))</f>
        <v/>
      </c>
      <c r="D417" s="150" t="str">
        <f>IF(ISNA(VLOOKUP(A417,Declarations!B$6:F$185,4,FALSE)),"",IF(VLOOKUP(A417,Declarations!B$6:F$185,4,FALSE)="","",VLOOKUP(A417,Declarations!B$6:F$185,4,FALSE)))</f>
        <v/>
      </c>
      <c r="E417" s="150" t="str">
        <f>IF(ISNA(VLOOKUP(A417,Declarations!B$6:D$185,3,FALSE)),"",IF(VLOOKUP(A417,Declarations!B$6:D$185,3,FALSE)="","",VLOOKUP(A417,Declarations!B$6:D$185,3,FALSE)))</f>
        <v/>
      </c>
      <c r="F417" s="49" t="str">
        <f>IF(B417="","",IF(ISNA(VLOOKUP(A417,'75m'!F$5:G$302,2,FALSE)),"",VLOOKUP(A417,'75m'!F$5:G$302,2,FALSE)))</f>
        <v/>
      </c>
      <c r="G417" s="49">
        <f>IF(B417="",0,IF(ISNA(_xlfn.XLOOKUP(A417,'75m'!F$5:F$302,'75m'!M$5:M$302)),0,_xlfn.XLOOKUP(A417,'75m'!F$5:F$302,'75m'!M$5:M$302)))</f>
        <v>0</v>
      </c>
      <c r="H417" s="49" t="str">
        <f>IF(B417="","",IF(ISNA(VLOOKUP(A417,'75m'!F$5:K$302,6,FALSE)),"",VLOOKUP(A417,'75m'!F$5:K$302,6,FALSE)))</f>
        <v/>
      </c>
      <c r="I417" s="51">
        <f>IF(B417="",0,IF(ISNA(VLOOKUP(A417,'600m'!F$5:J$302,2,FALSE)),0,VLOOKUP(A417,'600m'!F$5:J$302,2,FALSE)))</f>
        <v>0</v>
      </c>
      <c r="J417" s="49">
        <f>IF(B417="",0,IF(ISNA(_xlfn.XLOOKUP(A417,'600m'!F$5:F$302,'600m'!M$5:M$302)),0,_xlfn.XLOOKUP(A417,'600m'!F$5:F$302,'600m'!M$5:M$302)))</f>
        <v>0</v>
      </c>
      <c r="K417" s="49" t="str">
        <f>IF(B417="","",IF(ISNA(VLOOKUP(A417,'600m'!F$5:K$302,6,FALSE)),"",VLOOKUP(A417,'600m'!F$5:K$302,6,FALSE)))</f>
        <v/>
      </c>
      <c r="L417" s="49" t="str">
        <f>IF(B417="","",IF(ISNA(VLOOKUP(A417,LongJump!F$5:G$302,2,FALSE)),"",VLOOKUP(A417,LongJump!F$5:G$302,2,FALSE)))</f>
        <v/>
      </c>
      <c r="M417" s="49">
        <f>IF(B417="",0,IF(ISNA(_xlfn.XLOOKUP(A417,LongJump!F$5:F$302,LongJump!M$5:M$302)),0,_xlfn.XLOOKUP(A417,LongJump!F$5:F$302,LongJump!M$5:M$302)))</f>
        <v>0</v>
      </c>
      <c r="N417" s="49" t="str">
        <f>IF(B417="","",IF(ISNA(VLOOKUP(A417,LongJump!F$5:K$302,6,FALSE)),0,VLOOKUP(A417,LongJump!F$5:K$302,6,FALSE)))</f>
        <v/>
      </c>
      <c r="O417" s="49" t="str">
        <f>IF(B417="","",IF(ISNA(VLOOKUP(A417,Vortex!F$5:J$302,2,FALSE)),"",VLOOKUP(A417,Vortex!F$5:J$302,2,FALSE)))</f>
        <v/>
      </c>
      <c r="P417" s="49">
        <f>IF(B417="",0,IF(ISNA(_xlfn.XLOOKUP(A417,Vortex!F$5:F$302,Vortex!M$5:M$302)),0,_xlfn.XLOOKUP(A417,Vortex!F$5:F$302,Vortex!M$5:M$302)))</f>
        <v>0</v>
      </c>
      <c r="Q417" s="49">
        <f t="shared" si="32"/>
        <v>0</v>
      </c>
      <c r="R417" s="49" t="str">
        <f t="shared" si="33"/>
        <v/>
      </c>
      <c r="S417" s="49" t="str">
        <f t="shared" si="34"/>
        <v/>
      </c>
      <c r="T417" s="49" t="str">
        <f t="shared" si="35"/>
        <v/>
      </c>
      <c r="U417" s="49" t="str">
        <f t="shared" si="36"/>
        <v/>
      </c>
    </row>
    <row r="418" spans="1:21">
      <c r="A418" s="49" t="str">
        <f>IF(Declarations!B175=0,"",Declarations!B175)</f>
        <v/>
      </c>
      <c r="B418" s="150" t="str">
        <f>IF(ISNA(VLOOKUP(A418,Declarations!B$6:C$185,2,FALSE)),"",IF(VLOOKUP(A418,Declarations!B$6:C$185,2,FALSE)="","",VLOOKUP(A418,Declarations!B$6:C$185,2,FALSE)))</f>
        <v/>
      </c>
      <c r="C418" s="150" t="str">
        <f>IF(ISNA(VLOOKUP(A418,Declarations!B$6:F$185,5,FALSE)),"",IF(VLOOKUP(A418,Declarations!B$6:F$185,5,FALSE)="","",VLOOKUP(A418,Declarations!B$6:F$185,5,FALSE)))</f>
        <v/>
      </c>
      <c r="D418" s="150" t="str">
        <f>IF(ISNA(VLOOKUP(A418,Declarations!B$6:F$185,4,FALSE)),"",IF(VLOOKUP(A418,Declarations!B$6:F$185,4,FALSE)="","",VLOOKUP(A418,Declarations!B$6:F$185,4,FALSE)))</f>
        <v/>
      </c>
      <c r="E418" s="150" t="str">
        <f>IF(ISNA(VLOOKUP(A418,Declarations!B$6:D$185,3,FALSE)),"",IF(VLOOKUP(A418,Declarations!B$6:D$185,3,FALSE)="","",VLOOKUP(A418,Declarations!B$6:D$185,3,FALSE)))</f>
        <v/>
      </c>
      <c r="F418" s="49" t="str">
        <f>IF(B418="","",IF(ISNA(VLOOKUP(A418,'75m'!F$5:G$302,2,FALSE)),"",VLOOKUP(A418,'75m'!F$5:G$302,2,FALSE)))</f>
        <v/>
      </c>
      <c r="G418" s="49">
        <f>IF(B418="",0,IF(ISNA(_xlfn.XLOOKUP(A418,'75m'!F$5:F$302,'75m'!M$5:M$302)),0,_xlfn.XLOOKUP(A418,'75m'!F$5:F$302,'75m'!M$5:M$302)))</f>
        <v>0</v>
      </c>
      <c r="H418" s="49" t="str">
        <f>IF(B418="","",IF(ISNA(VLOOKUP(A418,'75m'!F$5:K$302,6,FALSE)),"",VLOOKUP(A418,'75m'!F$5:K$302,6,FALSE)))</f>
        <v/>
      </c>
      <c r="I418" s="51">
        <f>IF(B418="",0,IF(ISNA(VLOOKUP(A418,'600m'!F$5:J$302,2,FALSE)),0,VLOOKUP(A418,'600m'!F$5:J$302,2,FALSE)))</f>
        <v>0</v>
      </c>
      <c r="J418" s="49">
        <f>IF(B418="",0,IF(ISNA(_xlfn.XLOOKUP(A418,'600m'!F$5:F$302,'600m'!M$5:M$302)),0,_xlfn.XLOOKUP(A418,'600m'!F$5:F$302,'600m'!M$5:M$302)))</f>
        <v>0</v>
      </c>
      <c r="K418" s="49" t="str">
        <f>IF(B418="","",IF(ISNA(VLOOKUP(A418,'600m'!F$5:K$302,6,FALSE)),"",VLOOKUP(A418,'600m'!F$5:K$302,6,FALSE)))</f>
        <v/>
      </c>
      <c r="L418" s="49" t="str">
        <f>IF(B418="","",IF(ISNA(VLOOKUP(A418,LongJump!F$5:G$302,2,FALSE)),"",VLOOKUP(A418,LongJump!F$5:G$302,2,FALSE)))</f>
        <v/>
      </c>
      <c r="M418" s="49">
        <f>IF(B418="",0,IF(ISNA(_xlfn.XLOOKUP(A418,LongJump!F$5:F$302,LongJump!M$5:M$302)),0,_xlfn.XLOOKUP(A418,LongJump!F$5:F$302,LongJump!M$5:M$302)))</f>
        <v>0</v>
      </c>
      <c r="N418" s="49" t="str">
        <f>IF(B418="","",IF(ISNA(VLOOKUP(A418,LongJump!F$5:K$302,6,FALSE)),0,VLOOKUP(A418,LongJump!F$5:K$302,6,FALSE)))</f>
        <v/>
      </c>
      <c r="O418" s="49" t="str">
        <f>IF(B418="","",IF(ISNA(VLOOKUP(A418,Vortex!F$5:J$302,2,FALSE)),"",VLOOKUP(A418,Vortex!F$5:J$302,2,FALSE)))</f>
        <v/>
      </c>
      <c r="P418" s="49">
        <f>IF(B418="",0,IF(ISNA(_xlfn.XLOOKUP(A418,Vortex!F$5:F$302,Vortex!M$5:M$302)),0,_xlfn.XLOOKUP(A418,Vortex!F$5:F$302,Vortex!M$5:M$302)))</f>
        <v>0</v>
      </c>
      <c r="Q418" s="49">
        <f t="shared" si="32"/>
        <v>0</v>
      </c>
      <c r="R418" s="49" t="str">
        <f t="shared" si="33"/>
        <v/>
      </c>
      <c r="S418" s="49" t="str">
        <f t="shared" si="34"/>
        <v/>
      </c>
      <c r="T418" s="49" t="str">
        <f t="shared" si="35"/>
        <v/>
      </c>
      <c r="U418" s="49" t="str">
        <f t="shared" si="36"/>
        <v/>
      </c>
    </row>
    <row r="419" spans="1:21">
      <c r="A419" s="49" t="str">
        <f>IF(Declarations!B176=0,"",Declarations!B176)</f>
        <v/>
      </c>
      <c r="B419" s="150" t="str">
        <f>IF(ISNA(VLOOKUP(A419,Declarations!B$6:C$185,2,FALSE)),"",IF(VLOOKUP(A419,Declarations!B$6:C$185,2,FALSE)="","",VLOOKUP(A419,Declarations!B$6:C$185,2,FALSE)))</f>
        <v/>
      </c>
      <c r="C419" s="150" t="str">
        <f>IF(ISNA(VLOOKUP(A419,Declarations!B$6:F$185,5,FALSE)),"",IF(VLOOKUP(A419,Declarations!B$6:F$185,5,FALSE)="","",VLOOKUP(A419,Declarations!B$6:F$185,5,FALSE)))</f>
        <v/>
      </c>
      <c r="D419" s="150" t="str">
        <f>IF(ISNA(VLOOKUP(A419,Declarations!B$6:F$185,4,FALSE)),"",IF(VLOOKUP(A419,Declarations!B$6:F$185,4,FALSE)="","",VLOOKUP(A419,Declarations!B$6:F$185,4,FALSE)))</f>
        <v/>
      </c>
      <c r="E419" s="150" t="str">
        <f>IF(ISNA(VLOOKUP(A419,Declarations!B$6:D$185,3,FALSE)),"",IF(VLOOKUP(A419,Declarations!B$6:D$185,3,FALSE)="","",VLOOKUP(A419,Declarations!B$6:D$185,3,FALSE)))</f>
        <v/>
      </c>
      <c r="F419" s="49" t="str">
        <f>IF(B419="","",IF(ISNA(VLOOKUP(A419,'75m'!F$5:G$302,2,FALSE)),"",VLOOKUP(A419,'75m'!F$5:G$302,2,FALSE)))</f>
        <v/>
      </c>
      <c r="G419" s="49">
        <f>IF(B419="",0,IF(ISNA(_xlfn.XLOOKUP(A419,'75m'!F$5:F$302,'75m'!M$5:M$302)),0,_xlfn.XLOOKUP(A419,'75m'!F$5:F$302,'75m'!M$5:M$302)))</f>
        <v>0</v>
      </c>
      <c r="H419" s="49" t="str">
        <f>IF(B419="","",IF(ISNA(VLOOKUP(A419,'75m'!F$5:K$302,6,FALSE)),"",VLOOKUP(A419,'75m'!F$5:K$302,6,FALSE)))</f>
        <v/>
      </c>
      <c r="I419" s="51">
        <f>IF(B419="",0,IF(ISNA(VLOOKUP(A419,'600m'!F$5:J$302,2,FALSE)),0,VLOOKUP(A419,'600m'!F$5:J$302,2,FALSE)))</f>
        <v>0</v>
      </c>
      <c r="J419" s="49">
        <f>IF(B419="",0,IF(ISNA(_xlfn.XLOOKUP(A419,'600m'!F$5:F$302,'600m'!M$5:M$302)),0,_xlfn.XLOOKUP(A419,'600m'!F$5:F$302,'600m'!M$5:M$302)))</f>
        <v>0</v>
      </c>
      <c r="K419" s="49" t="str">
        <f>IF(B419="","",IF(ISNA(VLOOKUP(A419,'600m'!F$5:K$302,6,FALSE)),"",VLOOKUP(A419,'600m'!F$5:K$302,6,FALSE)))</f>
        <v/>
      </c>
      <c r="L419" s="49" t="str">
        <f>IF(B419="","",IF(ISNA(VLOOKUP(A419,LongJump!F$5:G$302,2,FALSE)),"",VLOOKUP(A419,LongJump!F$5:G$302,2,FALSE)))</f>
        <v/>
      </c>
      <c r="M419" s="49">
        <f>IF(B419="",0,IF(ISNA(_xlfn.XLOOKUP(A419,LongJump!F$5:F$302,LongJump!M$5:M$302)),0,_xlfn.XLOOKUP(A419,LongJump!F$5:F$302,LongJump!M$5:M$302)))</f>
        <v>0</v>
      </c>
      <c r="N419" s="49" t="str">
        <f>IF(B419="","",IF(ISNA(VLOOKUP(A419,LongJump!F$5:K$302,6,FALSE)),0,VLOOKUP(A419,LongJump!F$5:K$302,6,FALSE)))</f>
        <v/>
      </c>
      <c r="O419" s="49" t="str">
        <f>IF(B419="","",IF(ISNA(VLOOKUP(A419,Vortex!F$5:J$302,2,FALSE)),"",VLOOKUP(A419,Vortex!F$5:J$302,2,FALSE)))</f>
        <v/>
      </c>
      <c r="P419" s="49">
        <f>IF(B419="",0,IF(ISNA(_xlfn.XLOOKUP(A419,Vortex!F$5:F$302,Vortex!M$5:M$302)),0,_xlfn.XLOOKUP(A419,Vortex!F$5:F$302,Vortex!M$5:M$302)))</f>
        <v>0</v>
      </c>
      <c r="Q419" s="49">
        <f t="shared" si="32"/>
        <v>0</v>
      </c>
      <c r="R419" s="49" t="str">
        <f t="shared" si="33"/>
        <v/>
      </c>
      <c r="S419" s="49" t="str">
        <f t="shared" si="34"/>
        <v/>
      </c>
      <c r="T419" s="49" t="str">
        <f t="shared" si="35"/>
        <v/>
      </c>
      <c r="U419" s="49" t="str">
        <f t="shared" si="36"/>
        <v/>
      </c>
    </row>
    <row r="420" spans="1:21">
      <c r="A420" s="49" t="str">
        <f>IF(Declarations!B177=0,"",Declarations!B177)</f>
        <v/>
      </c>
      <c r="B420" s="150" t="str">
        <f>IF(ISNA(VLOOKUP(A420,Declarations!B$6:C$185,2,FALSE)),"",IF(VLOOKUP(A420,Declarations!B$6:C$185,2,FALSE)="","",VLOOKUP(A420,Declarations!B$6:C$185,2,FALSE)))</f>
        <v/>
      </c>
      <c r="C420" s="150" t="str">
        <f>IF(ISNA(VLOOKUP(A420,Declarations!B$6:F$185,5,FALSE)),"",IF(VLOOKUP(A420,Declarations!B$6:F$185,5,FALSE)="","",VLOOKUP(A420,Declarations!B$6:F$185,5,FALSE)))</f>
        <v/>
      </c>
      <c r="D420" s="150" t="str">
        <f>IF(ISNA(VLOOKUP(A420,Declarations!B$6:F$185,4,FALSE)),"",IF(VLOOKUP(A420,Declarations!B$6:F$185,4,FALSE)="","",VLOOKUP(A420,Declarations!B$6:F$185,4,FALSE)))</f>
        <v/>
      </c>
      <c r="E420" s="150" t="str">
        <f>IF(ISNA(VLOOKUP(A420,Declarations!B$6:D$185,3,FALSE)),"",IF(VLOOKUP(A420,Declarations!B$6:D$185,3,FALSE)="","",VLOOKUP(A420,Declarations!B$6:D$185,3,FALSE)))</f>
        <v/>
      </c>
      <c r="F420" s="49" t="str">
        <f>IF(B420="","",IF(ISNA(VLOOKUP(A420,'75m'!F$5:G$302,2,FALSE)),"",VLOOKUP(A420,'75m'!F$5:G$302,2,FALSE)))</f>
        <v/>
      </c>
      <c r="G420" s="49">
        <f>IF(B420="",0,IF(ISNA(_xlfn.XLOOKUP(A420,'75m'!F$5:F$302,'75m'!M$5:M$302)),0,_xlfn.XLOOKUP(A420,'75m'!F$5:F$302,'75m'!M$5:M$302)))</f>
        <v>0</v>
      </c>
      <c r="H420" s="49" t="str">
        <f>IF(B420="","",IF(ISNA(VLOOKUP(A420,'75m'!F$5:K$302,6,FALSE)),"",VLOOKUP(A420,'75m'!F$5:K$302,6,FALSE)))</f>
        <v/>
      </c>
      <c r="I420" s="51">
        <f>IF(B420="",0,IF(ISNA(VLOOKUP(A420,'600m'!F$5:J$302,2,FALSE)),0,VLOOKUP(A420,'600m'!F$5:J$302,2,FALSE)))</f>
        <v>0</v>
      </c>
      <c r="J420" s="49">
        <f>IF(B420="",0,IF(ISNA(_xlfn.XLOOKUP(A420,'600m'!F$5:F$302,'600m'!M$5:M$302)),0,_xlfn.XLOOKUP(A420,'600m'!F$5:F$302,'600m'!M$5:M$302)))</f>
        <v>0</v>
      </c>
      <c r="K420" s="49" t="str">
        <f>IF(B420="","",IF(ISNA(VLOOKUP(A420,'600m'!F$5:K$302,6,FALSE)),"",VLOOKUP(A420,'600m'!F$5:K$302,6,FALSE)))</f>
        <v/>
      </c>
      <c r="L420" s="49" t="str">
        <f>IF(B420="","",IF(ISNA(VLOOKUP(A420,LongJump!F$5:G$302,2,FALSE)),"",VLOOKUP(A420,LongJump!F$5:G$302,2,FALSE)))</f>
        <v/>
      </c>
      <c r="M420" s="49">
        <f>IF(B420="",0,IF(ISNA(_xlfn.XLOOKUP(A420,LongJump!F$5:F$302,LongJump!M$5:M$302)),0,_xlfn.XLOOKUP(A420,LongJump!F$5:F$302,LongJump!M$5:M$302)))</f>
        <v>0</v>
      </c>
      <c r="N420" s="49" t="str">
        <f>IF(B420="","",IF(ISNA(VLOOKUP(A420,LongJump!F$5:K$302,6,FALSE)),0,VLOOKUP(A420,LongJump!F$5:K$302,6,FALSE)))</f>
        <v/>
      </c>
      <c r="O420" s="49" t="str">
        <f>IF(B420="","",IF(ISNA(VLOOKUP(A420,Vortex!F$5:J$302,2,FALSE)),"",VLOOKUP(A420,Vortex!F$5:J$302,2,FALSE)))</f>
        <v/>
      </c>
      <c r="P420" s="49">
        <f>IF(B420="",0,IF(ISNA(_xlfn.XLOOKUP(A420,Vortex!F$5:F$302,Vortex!M$5:M$302)),0,_xlfn.XLOOKUP(A420,Vortex!F$5:F$302,Vortex!M$5:M$302)))</f>
        <v>0</v>
      </c>
      <c r="Q420" s="49">
        <f t="shared" si="32"/>
        <v>0</v>
      </c>
      <c r="R420" s="49" t="str">
        <f t="shared" si="33"/>
        <v/>
      </c>
      <c r="S420" s="49" t="str">
        <f t="shared" si="34"/>
        <v/>
      </c>
      <c r="T420" s="49" t="str">
        <f t="shared" si="35"/>
        <v/>
      </c>
      <c r="U420" s="49" t="str">
        <f t="shared" si="36"/>
        <v/>
      </c>
    </row>
    <row r="421" spans="1:21">
      <c r="A421" s="49" t="str">
        <f>IF(Declarations!B178=0,"",Declarations!B178)</f>
        <v/>
      </c>
      <c r="B421" s="150" t="str">
        <f>IF(ISNA(VLOOKUP(A421,Declarations!B$6:C$185,2,FALSE)),"",IF(VLOOKUP(A421,Declarations!B$6:C$185,2,FALSE)="","",VLOOKUP(A421,Declarations!B$6:C$185,2,FALSE)))</f>
        <v/>
      </c>
      <c r="C421" s="150" t="str">
        <f>IF(ISNA(VLOOKUP(A421,Declarations!B$6:F$185,5,FALSE)),"",IF(VLOOKUP(A421,Declarations!B$6:F$185,5,FALSE)="","",VLOOKUP(A421,Declarations!B$6:F$185,5,FALSE)))</f>
        <v/>
      </c>
      <c r="D421" s="150" t="str">
        <f>IF(ISNA(VLOOKUP(A421,Declarations!B$6:F$185,4,FALSE)),"",IF(VLOOKUP(A421,Declarations!B$6:F$185,4,FALSE)="","",VLOOKUP(A421,Declarations!B$6:F$185,4,FALSE)))</f>
        <v/>
      </c>
      <c r="E421" s="150" t="str">
        <f>IF(ISNA(VLOOKUP(A421,Declarations!B$6:D$185,3,FALSE)),"",IF(VLOOKUP(A421,Declarations!B$6:D$185,3,FALSE)="","",VLOOKUP(A421,Declarations!B$6:D$185,3,FALSE)))</f>
        <v/>
      </c>
      <c r="F421" s="49" t="str">
        <f>IF(B421="","",IF(ISNA(VLOOKUP(A421,'75m'!F$5:G$302,2,FALSE)),"",VLOOKUP(A421,'75m'!F$5:G$302,2,FALSE)))</f>
        <v/>
      </c>
      <c r="G421" s="49">
        <f>IF(B421="",0,IF(ISNA(_xlfn.XLOOKUP(A421,'75m'!F$5:F$302,'75m'!M$5:M$302)),0,_xlfn.XLOOKUP(A421,'75m'!F$5:F$302,'75m'!M$5:M$302)))</f>
        <v>0</v>
      </c>
      <c r="H421" s="49" t="str">
        <f>IF(B421="","",IF(ISNA(VLOOKUP(A421,'75m'!F$5:K$302,6,FALSE)),"",VLOOKUP(A421,'75m'!F$5:K$302,6,FALSE)))</f>
        <v/>
      </c>
      <c r="I421" s="51">
        <f>IF(B421="",0,IF(ISNA(VLOOKUP(A421,'600m'!F$5:J$302,2,FALSE)),0,VLOOKUP(A421,'600m'!F$5:J$302,2,FALSE)))</f>
        <v>0</v>
      </c>
      <c r="J421" s="49">
        <f>IF(B421="",0,IF(ISNA(_xlfn.XLOOKUP(A421,'600m'!F$5:F$302,'600m'!M$5:M$302)),0,_xlfn.XLOOKUP(A421,'600m'!F$5:F$302,'600m'!M$5:M$302)))</f>
        <v>0</v>
      </c>
      <c r="K421" s="49" t="str">
        <f>IF(B421="","",IF(ISNA(VLOOKUP(A421,'600m'!F$5:K$302,6,FALSE)),"",VLOOKUP(A421,'600m'!F$5:K$302,6,FALSE)))</f>
        <v/>
      </c>
      <c r="L421" s="49" t="str">
        <f>IF(B421="","",IF(ISNA(VLOOKUP(A421,LongJump!F$5:G$302,2,FALSE)),"",VLOOKUP(A421,LongJump!F$5:G$302,2,FALSE)))</f>
        <v/>
      </c>
      <c r="M421" s="49">
        <f>IF(B421="",0,IF(ISNA(_xlfn.XLOOKUP(A421,LongJump!F$5:F$302,LongJump!M$5:M$302)),0,_xlfn.XLOOKUP(A421,LongJump!F$5:F$302,LongJump!M$5:M$302)))</f>
        <v>0</v>
      </c>
      <c r="N421" s="49" t="str">
        <f>IF(B421="","",IF(ISNA(VLOOKUP(A421,LongJump!F$5:K$302,6,FALSE)),0,VLOOKUP(A421,LongJump!F$5:K$302,6,FALSE)))</f>
        <v/>
      </c>
      <c r="O421" s="49" t="str">
        <f>IF(B421="","",IF(ISNA(VLOOKUP(A421,Vortex!F$5:J$302,2,FALSE)),"",VLOOKUP(A421,Vortex!F$5:J$302,2,FALSE)))</f>
        <v/>
      </c>
      <c r="P421" s="49">
        <f>IF(B421="",0,IF(ISNA(_xlfn.XLOOKUP(A421,Vortex!F$5:F$302,Vortex!M$5:M$302)),0,_xlfn.XLOOKUP(A421,Vortex!F$5:F$302,Vortex!M$5:M$302)))</f>
        <v>0</v>
      </c>
      <c r="Q421" s="49">
        <f t="shared" si="32"/>
        <v>0</v>
      </c>
      <c r="R421" s="49" t="str">
        <f t="shared" si="33"/>
        <v/>
      </c>
      <c r="S421" s="49" t="str">
        <f t="shared" si="34"/>
        <v/>
      </c>
      <c r="T421" s="49" t="str">
        <f t="shared" si="35"/>
        <v/>
      </c>
      <c r="U421" s="49" t="str">
        <f t="shared" si="36"/>
        <v/>
      </c>
    </row>
    <row r="422" spans="1:21">
      <c r="A422" s="49" t="str">
        <f>IF(Declarations!B179=0,"",Declarations!B179)</f>
        <v/>
      </c>
      <c r="B422" s="150" t="str">
        <f>IF(ISNA(VLOOKUP(A422,Declarations!B$6:C$185,2,FALSE)),"",IF(VLOOKUP(A422,Declarations!B$6:C$185,2,FALSE)="","",VLOOKUP(A422,Declarations!B$6:C$185,2,FALSE)))</f>
        <v/>
      </c>
      <c r="C422" s="150" t="str">
        <f>IF(ISNA(VLOOKUP(A422,Declarations!B$6:F$185,5,FALSE)),"",IF(VLOOKUP(A422,Declarations!B$6:F$185,5,FALSE)="","",VLOOKUP(A422,Declarations!B$6:F$185,5,FALSE)))</f>
        <v/>
      </c>
      <c r="D422" s="150" t="str">
        <f>IF(ISNA(VLOOKUP(A422,Declarations!B$6:F$185,4,FALSE)),"",IF(VLOOKUP(A422,Declarations!B$6:F$185,4,FALSE)="","",VLOOKUP(A422,Declarations!B$6:F$185,4,FALSE)))</f>
        <v/>
      </c>
      <c r="E422" s="150" t="str">
        <f>IF(ISNA(VLOOKUP(A422,Declarations!B$6:D$185,3,FALSE)),"",IF(VLOOKUP(A422,Declarations!B$6:D$185,3,FALSE)="","",VLOOKUP(A422,Declarations!B$6:D$185,3,FALSE)))</f>
        <v/>
      </c>
      <c r="F422" s="49" t="str">
        <f>IF(B422="","",IF(ISNA(VLOOKUP(A422,'75m'!F$5:G$302,2,FALSE)),"",VLOOKUP(A422,'75m'!F$5:G$302,2,FALSE)))</f>
        <v/>
      </c>
      <c r="G422" s="49">
        <f>IF(B422="",0,IF(ISNA(_xlfn.XLOOKUP(A422,'75m'!F$5:F$302,'75m'!M$5:M$302)),0,_xlfn.XLOOKUP(A422,'75m'!F$5:F$302,'75m'!M$5:M$302)))</f>
        <v>0</v>
      </c>
      <c r="H422" s="49" t="str">
        <f>IF(B422="","",IF(ISNA(VLOOKUP(A422,'75m'!F$5:K$302,6,FALSE)),"",VLOOKUP(A422,'75m'!F$5:K$302,6,FALSE)))</f>
        <v/>
      </c>
      <c r="I422" s="51">
        <f>IF(B422="",0,IF(ISNA(VLOOKUP(A422,'600m'!F$5:J$302,2,FALSE)),0,VLOOKUP(A422,'600m'!F$5:J$302,2,FALSE)))</f>
        <v>0</v>
      </c>
      <c r="J422" s="49">
        <f>IF(B422="",0,IF(ISNA(_xlfn.XLOOKUP(A422,'600m'!F$5:F$302,'600m'!M$5:M$302)),0,_xlfn.XLOOKUP(A422,'600m'!F$5:F$302,'600m'!M$5:M$302)))</f>
        <v>0</v>
      </c>
      <c r="K422" s="49" t="str">
        <f>IF(B422="","",IF(ISNA(VLOOKUP(A422,'600m'!F$5:K$302,6,FALSE)),"",VLOOKUP(A422,'600m'!F$5:K$302,6,FALSE)))</f>
        <v/>
      </c>
      <c r="L422" s="49" t="str">
        <f>IF(B422="","",IF(ISNA(VLOOKUP(A422,LongJump!F$5:G$302,2,FALSE)),"",VLOOKUP(A422,LongJump!F$5:G$302,2,FALSE)))</f>
        <v/>
      </c>
      <c r="M422" s="49">
        <f>IF(B422="",0,IF(ISNA(_xlfn.XLOOKUP(A422,LongJump!F$5:F$302,LongJump!M$5:M$302)),0,_xlfn.XLOOKUP(A422,LongJump!F$5:F$302,LongJump!M$5:M$302)))</f>
        <v>0</v>
      </c>
      <c r="N422" s="49" t="str">
        <f>IF(B422="","",IF(ISNA(VLOOKUP(A422,LongJump!F$5:K$302,6,FALSE)),0,VLOOKUP(A422,LongJump!F$5:K$302,6,FALSE)))</f>
        <v/>
      </c>
      <c r="O422" s="49" t="str">
        <f>IF(B422="","",IF(ISNA(VLOOKUP(A422,Vortex!F$5:J$302,2,FALSE)),"",VLOOKUP(A422,Vortex!F$5:J$302,2,FALSE)))</f>
        <v/>
      </c>
      <c r="P422" s="49">
        <f>IF(B422="",0,IF(ISNA(_xlfn.XLOOKUP(A422,Vortex!F$5:F$302,Vortex!M$5:M$302)),0,_xlfn.XLOOKUP(A422,Vortex!F$5:F$302,Vortex!M$5:M$302)))</f>
        <v>0</v>
      </c>
      <c r="Q422" s="49">
        <f t="shared" si="32"/>
        <v>0</v>
      </c>
      <c r="R422" s="49" t="str">
        <f t="shared" si="33"/>
        <v/>
      </c>
      <c r="S422" s="49" t="str">
        <f t="shared" si="34"/>
        <v/>
      </c>
      <c r="T422" s="49" t="str">
        <f t="shared" si="35"/>
        <v/>
      </c>
      <c r="U422" s="49" t="str">
        <f t="shared" si="36"/>
        <v/>
      </c>
    </row>
    <row r="423" spans="1:21">
      <c r="A423" s="49" t="str">
        <f>IF(Declarations!B180=0,"",Declarations!B180)</f>
        <v/>
      </c>
      <c r="B423" s="150" t="str">
        <f>IF(ISNA(VLOOKUP(A423,Declarations!B$6:C$185,2,FALSE)),"",IF(VLOOKUP(A423,Declarations!B$6:C$185,2,FALSE)="","",VLOOKUP(A423,Declarations!B$6:C$185,2,FALSE)))</f>
        <v/>
      </c>
      <c r="C423" s="150" t="str">
        <f>IF(ISNA(VLOOKUP(A423,Declarations!B$6:F$185,5,FALSE)),"",IF(VLOOKUP(A423,Declarations!B$6:F$185,5,FALSE)="","",VLOOKUP(A423,Declarations!B$6:F$185,5,FALSE)))</f>
        <v/>
      </c>
      <c r="D423" s="150" t="str">
        <f>IF(ISNA(VLOOKUP(A423,Declarations!B$6:F$185,4,FALSE)),"",IF(VLOOKUP(A423,Declarations!B$6:F$185,4,FALSE)="","",VLOOKUP(A423,Declarations!B$6:F$185,4,FALSE)))</f>
        <v/>
      </c>
      <c r="E423" s="150" t="str">
        <f>IF(ISNA(VLOOKUP(A423,Declarations!B$6:D$185,3,FALSE)),"",IF(VLOOKUP(A423,Declarations!B$6:D$185,3,FALSE)="","",VLOOKUP(A423,Declarations!B$6:D$185,3,FALSE)))</f>
        <v/>
      </c>
      <c r="F423" s="49" t="str">
        <f>IF(B423="","",IF(ISNA(VLOOKUP(A423,'75m'!F$5:G$302,2,FALSE)),"",VLOOKUP(A423,'75m'!F$5:G$302,2,FALSE)))</f>
        <v/>
      </c>
      <c r="G423" s="49">
        <f>IF(B423="",0,IF(ISNA(_xlfn.XLOOKUP(A423,'75m'!F$5:F$302,'75m'!M$5:M$302)),0,_xlfn.XLOOKUP(A423,'75m'!F$5:F$302,'75m'!M$5:M$302)))</f>
        <v>0</v>
      </c>
      <c r="H423" s="49" t="str">
        <f>IF(B423="","",IF(ISNA(VLOOKUP(A423,'75m'!F$5:K$302,6,FALSE)),"",VLOOKUP(A423,'75m'!F$5:K$302,6,FALSE)))</f>
        <v/>
      </c>
      <c r="I423" s="51">
        <f>IF(B423="",0,IF(ISNA(VLOOKUP(A423,'600m'!F$5:J$302,2,FALSE)),0,VLOOKUP(A423,'600m'!F$5:J$302,2,FALSE)))</f>
        <v>0</v>
      </c>
      <c r="J423" s="49">
        <f>IF(B423="",0,IF(ISNA(_xlfn.XLOOKUP(A423,'600m'!F$5:F$302,'600m'!M$5:M$302)),0,_xlfn.XLOOKUP(A423,'600m'!F$5:F$302,'600m'!M$5:M$302)))</f>
        <v>0</v>
      </c>
      <c r="K423" s="49" t="str">
        <f>IF(B423="","",IF(ISNA(VLOOKUP(A423,'600m'!F$5:K$302,6,FALSE)),"",VLOOKUP(A423,'600m'!F$5:K$302,6,FALSE)))</f>
        <v/>
      </c>
      <c r="L423" s="49" t="str">
        <f>IF(B423="","",IF(ISNA(VLOOKUP(A423,LongJump!F$5:G$302,2,FALSE)),"",VLOOKUP(A423,LongJump!F$5:G$302,2,FALSE)))</f>
        <v/>
      </c>
      <c r="M423" s="49">
        <f>IF(B423="",0,IF(ISNA(_xlfn.XLOOKUP(A423,LongJump!F$5:F$302,LongJump!M$5:M$302)),0,_xlfn.XLOOKUP(A423,LongJump!F$5:F$302,LongJump!M$5:M$302)))</f>
        <v>0</v>
      </c>
      <c r="N423" s="49" t="str">
        <f>IF(B423="","",IF(ISNA(VLOOKUP(A423,LongJump!F$5:K$302,6,FALSE)),0,VLOOKUP(A423,LongJump!F$5:K$302,6,FALSE)))</f>
        <v/>
      </c>
      <c r="O423" s="49" t="str">
        <f>IF(B423="","",IF(ISNA(VLOOKUP(A423,Vortex!F$5:J$302,2,FALSE)),"",VLOOKUP(A423,Vortex!F$5:J$302,2,FALSE)))</f>
        <v/>
      </c>
      <c r="P423" s="49">
        <f>IF(B423="",0,IF(ISNA(_xlfn.XLOOKUP(A423,Vortex!F$5:F$302,Vortex!M$5:M$302)),0,_xlfn.XLOOKUP(A423,Vortex!F$5:F$302,Vortex!M$5:M$302)))</f>
        <v>0</v>
      </c>
      <c r="Q423" s="49">
        <f t="shared" si="32"/>
        <v>0</v>
      </c>
      <c r="R423" s="49" t="str">
        <f t="shared" si="33"/>
        <v/>
      </c>
      <c r="S423" s="49" t="str">
        <f t="shared" si="34"/>
        <v/>
      </c>
      <c r="T423" s="49" t="str">
        <f t="shared" si="35"/>
        <v/>
      </c>
      <c r="U423" s="49" t="str">
        <f t="shared" si="36"/>
        <v/>
      </c>
    </row>
    <row r="424" spans="1:21">
      <c r="A424" s="49" t="str">
        <f>IF(Declarations!B181=0,"",Declarations!B181)</f>
        <v/>
      </c>
      <c r="B424" s="150" t="str">
        <f>IF(ISNA(VLOOKUP(A424,Declarations!B$6:C$185,2,FALSE)),"",IF(VLOOKUP(A424,Declarations!B$6:C$185,2,FALSE)="","",VLOOKUP(A424,Declarations!B$6:C$185,2,FALSE)))</f>
        <v/>
      </c>
      <c r="C424" s="150" t="str">
        <f>IF(ISNA(VLOOKUP(A424,Declarations!B$6:F$185,5,FALSE)),"",IF(VLOOKUP(A424,Declarations!B$6:F$185,5,FALSE)="","",VLOOKUP(A424,Declarations!B$6:F$185,5,FALSE)))</f>
        <v/>
      </c>
      <c r="D424" s="150" t="str">
        <f>IF(ISNA(VLOOKUP(A424,Declarations!B$6:F$185,4,FALSE)),"",IF(VLOOKUP(A424,Declarations!B$6:F$185,4,FALSE)="","",VLOOKUP(A424,Declarations!B$6:F$185,4,FALSE)))</f>
        <v/>
      </c>
      <c r="E424" s="150" t="str">
        <f>IF(ISNA(VLOOKUP(A424,Declarations!B$6:D$185,3,FALSE)),"",IF(VLOOKUP(A424,Declarations!B$6:D$185,3,FALSE)="","",VLOOKUP(A424,Declarations!B$6:D$185,3,FALSE)))</f>
        <v/>
      </c>
      <c r="F424" s="49" t="str">
        <f>IF(B424="","",IF(ISNA(VLOOKUP(A424,'75m'!F$5:G$302,2,FALSE)),"",VLOOKUP(A424,'75m'!F$5:G$302,2,FALSE)))</f>
        <v/>
      </c>
      <c r="G424" s="49">
        <f>IF(B424="",0,IF(ISNA(_xlfn.XLOOKUP(A424,'75m'!F$5:F$302,'75m'!M$5:M$302)),0,_xlfn.XLOOKUP(A424,'75m'!F$5:F$302,'75m'!M$5:M$302)))</f>
        <v>0</v>
      </c>
      <c r="H424" s="49" t="str">
        <f>IF(B424="","",IF(ISNA(VLOOKUP(A424,'75m'!F$5:K$302,6,FALSE)),"",VLOOKUP(A424,'75m'!F$5:K$302,6,FALSE)))</f>
        <v/>
      </c>
      <c r="I424" s="51">
        <f>IF(B424="",0,IF(ISNA(VLOOKUP(A424,'600m'!F$5:J$302,2,FALSE)),0,VLOOKUP(A424,'600m'!F$5:J$302,2,FALSE)))</f>
        <v>0</v>
      </c>
      <c r="J424" s="49">
        <f>IF(B424="",0,IF(ISNA(_xlfn.XLOOKUP(A424,'600m'!F$5:F$302,'600m'!M$5:M$302)),0,_xlfn.XLOOKUP(A424,'600m'!F$5:F$302,'600m'!M$5:M$302)))</f>
        <v>0</v>
      </c>
      <c r="K424" s="49" t="str">
        <f>IF(B424="","",IF(ISNA(VLOOKUP(A424,'600m'!F$5:K$302,6,FALSE)),"",VLOOKUP(A424,'600m'!F$5:K$302,6,FALSE)))</f>
        <v/>
      </c>
      <c r="L424" s="49" t="str">
        <f>IF(B424="","",IF(ISNA(VLOOKUP(A424,LongJump!F$5:G$302,2,FALSE)),"",VLOOKUP(A424,LongJump!F$5:G$302,2,FALSE)))</f>
        <v/>
      </c>
      <c r="M424" s="49">
        <f>IF(B424="",0,IF(ISNA(_xlfn.XLOOKUP(A424,LongJump!F$5:F$302,LongJump!M$5:M$302)),0,_xlfn.XLOOKUP(A424,LongJump!F$5:F$302,LongJump!M$5:M$302)))</f>
        <v>0</v>
      </c>
      <c r="N424" s="49" t="str">
        <f>IF(B424="","",IF(ISNA(VLOOKUP(A424,LongJump!F$5:K$302,6,FALSE)),0,VLOOKUP(A424,LongJump!F$5:K$302,6,FALSE)))</f>
        <v/>
      </c>
      <c r="O424" s="49" t="str">
        <f>IF(B424="","",IF(ISNA(VLOOKUP(A424,Vortex!F$5:J$302,2,FALSE)),"",VLOOKUP(A424,Vortex!F$5:J$302,2,FALSE)))</f>
        <v/>
      </c>
      <c r="P424" s="49">
        <f>IF(B424="",0,IF(ISNA(_xlfn.XLOOKUP(A424,Vortex!F$5:F$302,Vortex!M$5:M$302)),0,_xlfn.XLOOKUP(A424,Vortex!F$5:F$302,Vortex!M$5:M$302)))</f>
        <v>0</v>
      </c>
      <c r="Q424" s="49">
        <f t="shared" si="32"/>
        <v>0</v>
      </c>
      <c r="R424" s="49" t="str">
        <f t="shared" si="33"/>
        <v/>
      </c>
      <c r="S424" s="49" t="str">
        <f t="shared" si="34"/>
        <v/>
      </c>
      <c r="T424" s="49" t="str">
        <f t="shared" si="35"/>
        <v/>
      </c>
      <c r="U424" s="49" t="str">
        <f t="shared" si="36"/>
        <v/>
      </c>
    </row>
    <row r="425" spans="1:21">
      <c r="A425" s="49" t="str">
        <f>IF(Declarations!B182=0,"",Declarations!B182)</f>
        <v/>
      </c>
      <c r="B425" s="150" t="str">
        <f>IF(ISNA(VLOOKUP(A425,Declarations!B$6:C$185,2,FALSE)),"",IF(VLOOKUP(A425,Declarations!B$6:C$185,2,FALSE)="","",VLOOKUP(A425,Declarations!B$6:C$185,2,FALSE)))</f>
        <v/>
      </c>
      <c r="C425" s="150" t="str">
        <f>IF(ISNA(VLOOKUP(A425,Declarations!B$6:F$185,5,FALSE)),"",IF(VLOOKUP(A425,Declarations!B$6:F$185,5,FALSE)="","",VLOOKUP(A425,Declarations!B$6:F$185,5,FALSE)))</f>
        <v/>
      </c>
      <c r="D425" s="150" t="str">
        <f>IF(ISNA(VLOOKUP(A425,Declarations!B$6:F$185,4,FALSE)),"",IF(VLOOKUP(A425,Declarations!B$6:F$185,4,FALSE)="","",VLOOKUP(A425,Declarations!B$6:F$185,4,FALSE)))</f>
        <v/>
      </c>
      <c r="E425" s="150" t="str">
        <f>IF(ISNA(VLOOKUP(A425,Declarations!B$6:D$185,3,FALSE)),"",IF(VLOOKUP(A425,Declarations!B$6:D$185,3,FALSE)="","",VLOOKUP(A425,Declarations!B$6:D$185,3,FALSE)))</f>
        <v/>
      </c>
      <c r="F425" s="49" t="str">
        <f>IF(B425="","",IF(ISNA(VLOOKUP(A425,'75m'!F$5:G$302,2,FALSE)),"",VLOOKUP(A425,'75m'!F$5:G$302,2,FALSE)))</f>
        <v/>
      </c>
      <c r="G425" s="49">
        <f>IF(B425="",0,IF(ISNA(_xlfn.XLOOKUP(A425,'75m'!F$5:F$302,'75m'!M$5:M$302)),0,_xlfn.XLOOKUP(A425,'75m'!F$5:F$302,'75m'!M$5:M$302)))</f>
        <v>0</v>
      </c>
      <c r="H425" s="49" t="str">
        <f>IF(B425="","",IF(ISNA(VLOOKUP(A425,'75m'!F$5:K$302,6,FALSE)),"",VLOOKUP(A425,'75m'!F$5:K$302,6,FALSE)))</f>
        <v/>
      </c>
      <c r="I425" s="51">
        <f>IF(B425="",0,IF(ISNA(VLOOKUP(A425,'600m'!F$5:J$302,2,FALSE)),0,VLOOKUP(A425,'600m'!F$5:J$302,2,FALSE)))</f>
        <v>0</v>
      </c>
      <c r="J425" s="49">
        <f>IF(B425="",0,IF(ISNA(_xlfn.XLOOKUP(A425,'600m'!F$5:F$302,'600m'!M$5:M$302)),0,_xlfn.XLOOKUP(A425,'600m'!F$5:F$302,'600m'!M$5:M$302)))</f>
        <v>0</v>
      </c>
      <c r="K425" s="49" t="str">
        <f>IF(B425="","",IF(ISNA(VLOOKUP(A425,'600m'!F$5:K$302,6,FALSE)),"",VLOOKUP(A425,'600m'!F$5:K$302,6,FALSE)))</f>
        <v/>
      </c>
      <c r="L425" s="49" t="str">
        <f>IF(B425="","",IF(ISNA(VLOOKUP(A425,LongJump!F$5:G$302,2,FALSE)),"",VLOOKUP(A425,LongJump!F$5:G$302,2,FALSE)))</f>
        <v/>
      </c>
      <c r="M425" s="49">
        <f>IF(B425="",0,IF(ISNA(_xlfn.XLOOKUP(A425,LongJump!F$5:F$302,LongJump!M$5:M$302)),0,_xlfn.XLOOKUP(A425,LongJump!F$5:F$302,LongJump!M$5:M$302)))</f>
        <v>0</v>
      </c>
      <c r="N425" s="49" t="str">
        <f>IF(B425="","",IF(ISNA(VLOOKUP(A425,LongJump!F$5:K$302,6,FALSE)),0,VLOOKUP(A425,LongJump!F$5:K$302,6,FALSE)))</f>
        <v/>
      </c>
      <c r="O425" s="49" t="str">
        <f>IF(B425="","",IF(ISNA(VLOOKUP(A425,Vortex!F$5:J$302,2,FALSE)),"",VLOOKUP(A425,Vortex!F$5:J$302,2,FALSE)))</f>
        <v/>
      </c>
      <c r="P425" s="49">
        <f>IF(B425="",0,IF(ISNA(_xlfn.XLOOKUP(A425,Vortex!F$5:F$302,Vortex!M$5:M$302)),0,_xlfn.XLOOKUP(A425,Vortex!F$5:F$302,Vortex!M$5:M$302)))</f>
        <v>0</v>
      </c>
      <c r="Q425" s="49">
        <f t="shared" si="32"/>
        <v>0</v>
      </c>
      <c r="R425" s="49" t="str">
        <f t="shared" si="33"/>
        <v/>
      </c>
      <c r="S425" s="49" t="str">
        <f t="shared" si="34"/>
        <v/>
      </c>
      <c r="T425" s="49" t="str">
        <f t="shared" si="35"/>
        <v/>
      </c>
      <c r="U425" s="49" t="str">
        <f t="shared" si="36"/>
        <v/>
      </c>
    </row>
    <row r="426" spans="1:21">
      <c r="A426" s="49" t="str">
        <f>IF(Declarations!B183=0,"",Declarations!B183)</f>
        <v/>
      </c>
      <c r="B426" s="150" t="str">
        <f>IF(ISNA(VLOOKUP(A426,Declarations!B$6:C$185,2,FALSE)),"",IF(VLOOKUP(A426,Declarations!B$6:C$185,2,FALSE)="","",VLOOKUP(A426,Declarations!B$6:C$185,2,FALSE)))</f>
        <v/>
      </c>
      <c r="C426" s="150" t="str">
        <f>IF(ISNA(VLOOKUP(A426,Declarations!B$6:F$185,5,FALSE)),"",IF(VLOOKUP(A426,Declarations!B$6:F$185,5,FALSE)="","",VLOOKUP(A426,Declarations!B$6:F$185,5,FALSE)))</f>
        <v/>
      </c>
      <c r="D426" s="150" t="str">
        <f>IF(ISNA(VLOOKUP(A426,Declarations!B$6:F$185,4,FALSE)),"",IF(VLOOKUP(A426,Declarations!B$6:F$185,4,FALSE)="","",VLOOKUP(A426,Declarations!B$6:F$185,4,FALSE)))</f>
        <v/>
      </c>
      <c r="E426" s="150" t="str">
        <f>IF(ISNA(VLOOKUP(A426,Declarations!B$6:D$185,3,FALSE)),"",IF(VLOOKUP(A426,Declarations!B$6:D$185,3,FALSE)="","",VLOOKUP(A426,Declarations!B$6:D$185,3,FALSE)))</f>
        <v/>
      </c>
      <c r="F426" s="49" t="str">
        <f>IF(B426="","",IF(ISNA(VLOOKUP(A426,'75m'!F$5:G$302,2,FALSE)),"",VLOOKUP(A426,'75m'!F$5:G$302,2,FALSE)))</f>
        <v/>
      </c>
      <c r="G426" s="49">
        <f>IF(B426="",0,IF(ISNA(_xlfn.XLOOKUP(A426,'75m'!F$5:F$302,'75m'!M$5:M$302)),0,_xlfn.XLOOKUP(A426,'75m'!F$5:F$302,'75m'!M$5:M$302)))</f>
        <v>0</v>
      </c>
      <c r="H426" s="49" t="str">
        <f>IF(B426="","",IF(ISNA(VLOOKUP(A426,'75m'!F$5:K$302,6,FALSE)),"",VLOOKUP(A426,'75m'!F$5:K$302,6,FALSE)))</f>
        <v/>
      </c>
      <c r="I426" s="51">
        <f>IF(B426="",0,IF(ISNA(VLOOKUP(A426,'600m'!F$5:J$302,2,FALSE)),0,VLOOKUP(A426,'600m'!F$5:J$302,2,FALSE)))</f>
        <v>0</v>
      </c>
      <c r="J426" s="49">
        <f>IF(B426="",0,IF(ISNA(_xlfn.XLOOKUP(A426,'600m'!F$5:F$302,'600m'!M$5:M$302)),0,_xlfn.XLOOKUP(A426,'600m'!F$5:F$302,'600m'!M$5:M$302)))</f>
        <v>0</v>
      </c>
      <c r="K426" s="49" t="str">
        <f>IF(B426="","",IF(ISNA(VLOOKUP(A426,'600m'!F$5:K$302,6,FALSE)),"",VLOOKUP(A426,'600m'!F$5:K$302,6,FALSE)))</f>
        <v/>
      </c>
      <c r="L426" s="49" t="str">
        <f>IF(B426="","",IF(ISNA(VLOOKUP(A426,LongJump!F$5:G$302,2,FALSE)),"",VLOOKUP(A426,LongJump!F$5:G$302,2,FALSE)))</f>
        <v/>
      </c>
      <c r="M426" s="49">
        <f>IF(B426="",0,IF(ISNA(_xlfn.XLOOKUP(A426,LongJump!F$5:F$302,LongJump!M$5:M$302)),0,_xlfn.XLOOKUP(A426,LongJump!F$5:F$302,LongJump!M$5:M$302)))</f>
        <v>0</v>
      </c>
      <c r="N426" s="49" t="str">
        <f>IF(B426="","",IF(ISNA(VLOOKUP(A426,LongJump!F$5:K$302,6,FALSE)),0,VLOOKUP(A426,LongJump!F$5:K$302,6,FALSE)))</f>
        <v/>
      </c>
      <c r="O426" s="49" t="str">
        <f>IF(B426="","",IF(ISNA(VLOOKUP(A426,Vortex!F$5:J$302,2,FALSE)),"",VLOOKUP(A426,Vortex!F$5:J$302,2,FALSE)))</f>
        <v/>
      </c>
      <c r="P426" s="49">
        <f>IF(B426="",0,IF(ISNA(_xlfn.XLOOKUP(A426,Vortex!F$5:F$302,Vortex!M$5:M$302)),0,_xlfn.XLOOKUP(A426,Vortex!F$5:F$302,Vortex!M$5:M$302)))</f>
        <v>0</v>
      </c>
      <c r="Q426" s="49">
        <f t="shared" si="32"/>
        <v>0</v>
      </c>
      <c r="R426" s="49" t="str">
        <f t="shared" si="33"/>
        <v/>
      </c>
      <c r="S426" s="49" t="str">
        <f t="shared" si="34"/>
        <v/>
      </c>
      <c r="T426" s="49" t="str">
        <f t="shared" si="35"/>
        <v/>
      </c>
      <c r="U426" s="49" t="str">
        <f t="shared" si="36"/>
        <v/>
      </c>
    </row>
    <row r="427" spans="1:21">
      <c r="A427" s="49" t="str">
        <f>IF(Declarations!B184=0,"",Declarations!B184)</f>
        <v/>
      </c>
      <c r="B427" s="150" t="str">
        <f>IF(ISNA(VLOOKUP(A427,Declarations!B$6:C$185,2,FALSE)),"",IF(VLOOKUP(A427,Declarations!B$6:C$185,2,FALSE)="","",VLOOKUP(A427,Declarations!B$6:C$185,2,FALSE)))</f>
        <v/>
      </c>
      <c r="C427" s="150" t="str">
        <f>IF(ISNA(VLOOKUP(A427,Declarations!B$6:F$185,5,FALSE)),"",IF(VLOOKUP(A427,Declarations!B$6:F$185,5,FALSE)="","",VLOOKUP(A427,Declarations!B$6:F$185,5,FALSE)))</f>
        <v/>
      </c>
      <c r="D427" s="150" t="str">
        <f>IF(ISNA(VLOOKUP(A427,Declarations!B$6:F$185,4,FALSE)),"",IF(VLOOKUP(A427,Declarations!B$6:F$185,4,FALSE)="","",VLOOKUP(A427,Declarations!B$6:F$185,4,FALSE)))</f>
        <v/>
      </c>
      <c r="E427" s="150" t="str">
        <f>IF(ISNA(VLOOKUP(A427,Declarations!B$6:D$185,3,FALSE)),"",IF(VLOOKUP(A427,Declarations!B$6:D$185,3,FALSE)="","",VLOOKUP(A427,Declarations!B$6:D$185,3,FALSE)))</f>
        <v/>
      </c>
      <c r="F427" s="49" t="str">
        <f>IF(B427="","",IF(ISNA(VLOOKUP(A427,'75m'!F$5:G$302,2,FALSE)),"",VLOOKUP(A427,'75m'!F$5:G$302,2,FALSE)))</f>
        <v/>
      </c>
      <c r="G427" s="49">
        <f>IF(B427="",0,IF(ISNA(_xlfn.XLOOKUP(A427,'75m'!F$5:F$302,'75m'!M$5:M$302)),0,_xlfn.XLOOKUP(A427,'75m'!F$5:F$302,'75m'!M$5:M$302)))</f>
        <v>0</v>
      </c>
      <c r="H427" s="49" t="str">
        <f>IF(B427="","",IF(ISNA(VLOOKUP(A427,'75m'!F$5:K$302,6,FALSE)),"",VLOOKUP(A427,'75m'!F$5:K$302,6,FALSE)))</f>
        <v/>
      </c>
      <c r="I427" s="51">
        <f>IF(B427="",0,IF(ISNA(VLOOKUP(A427,'600m'!F$5:J$302,2,FALSE)),0,VLOOKUP(A427,'600m'!F$5:J$302,2,FALSE)))</f>
        <v>0</v>
      </c>
      <c r="J427" s="49">
        <f>IF(B427="",0,IF(ISNA(_xlfn.XLOOKUP(A427,'600m'!F$5:F$302,'600m'!M$5:M$302)),0,_xlfn.XLOOKUP(A427,'600m'!F$5:F$302,'600m'!M$5:M$302)))</f>
        <v>0</v>
      </c>
      <c r="K427" s="49" t="str">
        <f>IF(B427="","",IF(ISNA(VLOOKUP(A427,'600m'!F$5:K$302,6,FALSE)),"",VLOOKUP(A427,'600m'!F$5:K$302,6,FALSE)))</f>
        <v/>
      </c>
      <c r="L427" s="49" t="str">
        <f>IF(B427="","",IF(ISNA(VLOOKUP(A427,LongJump!F$5:G$302,2,FALSE)),"",VLOOKUP(A427,LongJump!F$5:G$302,2,FALSE)))</f>
        <v/>
      </c>
      <c r="M427" s="49">
        <f>IF(B427="",0,IF(ISNA(_xlfn.XLOOKUP(A427,LongJump!F$5:F$302,LongJump!M$5:M$302)),0,_xlfn.XLOOKUP(A427,LongJump!F$5:F$302,LongJump!M$5:M$302)))</f>
        <v>0</v>
      </c>
      <c r="N427" s="49" t="str">
        <f>IF(B427="","",IF(ISNA(VLOOKUP(A427,LongJump!F$5:K$302,6,FALSE)),0,VLOOKUP(A427,LongJump!F$5:K$302,6,FALSE)))</f>
        <v/>
      </c>
      <c r="O427" s="49" t="str">
        <f>IF(B427="","",IF(ISNA(VLOOKUP(A427,Vortex!F$5:J$302,2,FALSE)),"",VLOOKUP(A427,Vortex!F$5:J$302,2,FALSE)))</f>
        <v/>
      </c>
      <c r="P427" s="49">
        <f>IF(B427="",0,IF(ISNA(_xlfn.XLOOKUP(A427,Vortex!F$5:F$302,Vortex!M$5:M$302)),0,_xlfn.XLOOKUP(A427,Vortex!F$5:F$302,Vortex!M$5:M$302)))</f>
        <v>0</v>
      </c>
      <c r="Q427" s="49">
        <f t="shared" si="32"/>
        <v>0</v>
      </c>
      <c r="R427" s="49" t="str">
        <f t="shared" si="33"/>
        <v/>
      </c>
      <c r="S427" s="49" t="str">
        <f t="shared" si="34"/>
        <v/>
      </c>
      <c r="T427" s="49" t="str">
        <f t="shared" si="35"/>
        <v/>
      </c>
      <c r="U427" s="49" t="str">
        <f t="shared" si="36"/>
        <v/>
      </c>
    </row>
    <row r="428" spans="1:21">
      <c r="A428" s="49" t="str">
        <f>IF(Declarations!B185=0,"",Declarations!B185)</f>
        <v/>
      </c>
      <c r="B428" s="150" t="str">
        <f>IF(ISNA(VLOOKUP(A428,Declarations!B$6:C$185,2,FALSE)),"",IF(VLOOKUP(A428,Declarations!B$6:C$185,2,FALSE)="","",VLOOKUP(A428,Declarations!B$6:C$185,2,FALSE)))</f>
        <v/>
      </c>
      <c r="C428" s="150" t="str">
        <f>IF(ISNA(VLOOKUP(A428,Declarations!B$6:F$185,5,FALSE)),"",IF(VLOOKUP(A428,Declarations!B$6:F$185,5,FALSE)="","",VLOOKUP(A428,Declarations!B$6:F$185,5,FALSE)))</f>
        <v/>
      </c>
      <c r="D428" s="150" t="str">
        <f>IF(ISNA(VLOOKUP(A428,Declarations!B$6:F$185,4,FALSE)),"",IF(VLOOKUP(A428,Declarations!B$6:F$185,4,FALSE)="","",VLOOKUP(A428,Declarations!B$6:F$185,4,FALSE)))</f>
        <v/>
      </c>
      <c r="E428" s="150" t="str">
        <f>IF(ISNA(VLOOKUP(A428,Declarations!B$6:D$185,3,FALSE)),"",IF(VLOOKUP(A428,Declarations!B$6:D$185,3,FALSE)="","",VLOOKUP(A428,Declarations!B$6:D$185,3,FALSE)))</f>
        <v/>
      </c>
      <c r="F428" s="49" t="str">
        <f>IF(B428="","",IF(ISNA(VLOOKUP(A428,'75m'!F$5:G$302,2,FALSE)),"",VLOOKUP(A428,'75m'!F$5:G$302,2,FALSE)))</f>
        <v/>
      </c>
      <c r="G428" s="49">
        <f>IF(B428="",0,IF(ISNA(_xlfn.XLOOKUP(A428,'75m'!F$5:F$302,'75m'!M$5:M$302)),0,_xlfn.XLOOKUP(A428,'75m'!F$5:F$302,'75m'!M$5:M$302)))</f>
        <v>0</v>
      </c>
      <c r="H428" s="49" t="str">
        <f>IF(B428="","",IF(ISNA(VLOOKUP(A428,'75m'!F$5:K$302,6,FALSE)),"",VLOOKUP(A428,'75m'!F$5:K$302,6,FALSE)))</f>
        <v/>
      </c>
      <c r="I428" s="51">
        <f>IF(B428="",0,IF(ISNA(VLOOKUP(A428,'600m'!F$5:J$302,2,FALSE)),0,VLOOKUP(A428,'600m'!F$5:J$302,2,FALSE)))</f>
        <v>0</v>
      </c>
      <c r="J428" s="49">
        <f>IF(B428="",0,IF(ISNA(_xlfn.XLOOKUP(A428,'600m'!F$5:F$302,'600m'!M$5:M$302)),0,_xlfn.XLOOKUP(A428,'600m'!F$5:F$302,'600m'!M$5:M$302)))</f>
        <v>0</v>
      </c>
      <c r="K428" s="49" t="str">
        <f>IF(B428="","",IF(ISNA(VLOOKUP(A428,'600m'!F$5:K$302,6,FALSE)),"",VLOOKUP(A428,'600m'!F$5:K$302,6,FALSE)))</f>
        <v/>
      </c>
      <c r="L428" s="49" t="str">
        <f>IF(B428="","",IF(ISNA(VLOOKUP(A428,LongJump!F$5:G$302,2,FALSE)),"",VLOOKUP(A428,LongJump!F$5:G$302,2,FALSE)))</f>
        <v/>
      </c>
      <c r="M428" s="49">
        <f>IF(B428="",0,IF(ISNA(_xlfn.XLOOKUP(A428,LongJump!F$5:F$302,LongJump!M$5:M$302)),0,_xlfn.XLOOKUP(A428,LongJump!F$5:F$302,LongJump!M$5:M$302)))</f>
        <v>0</v>
      </c>
      <c r="N428" s="49" t="str">
        <f>IF(B428="","",IF(ISNA(VLOOKUP(A428,LongJump!F$5:K$302,6,FALSE)),0,VLOOKUP(A428,LongJump!F$5:K$302,6,FALSE)))</f>
        <v/>
      </c>
      <c r="O428" s="49" t="str">
        <f>IF(B428="","",IF(ISNA(VLOOKUP(A428,Vortex!F$5:J$302,2,FALSE)),"",VLOOKUP(A428,Vortex!F$5:J$302,2,FALSE)))</f>
        <v/>
      </c>
      <c r="P428" s="49">
        <f>IF(B428="",0,IF(ISNA(_xlfn.XLOOKUP(A428,Vortex!F$5:F$302,Vortex!M$5:M$302)),0,_xlfn.XLOOKUP(A428,Vortex!F$5:F$302,Vortex!M$5:M$302)))</f>
        <v>0</v>
      </c>
      <c r="Q428" s="49">
        <f t="shared" si="32"/>
        <v>0</v>
      </c>
      <c r="R428" s="49" t="str">
        <f t="shared" si="33"/>
        <v/>
      </c>
      <c r="S428" s="49" t="str">
        <f t="shared" si="34"/>
        <v/>
      </c>
      <c r="T428" s="49" t="str">
        <f t="shared" si="35"/>
        <v/>
      </c>
      <c r="U428" s="49" t="str">
        <f t="shared" si="36"/>
        <v/>
      </c>
    </row>
    <row r="429" spans="1:21">
      <c r="A429" s="49" t="str">
        <f>IF(Declarations!B186=0,"",Declarations!B186)</f>
        <v/>
      </c>
      <c r="B429" s="150" t="str">
        <f>IF(ISNA(VLOOKUP(A429,Declarations!B$6:C$185,2,FALSE)),"",IF(VLOOKUP(A429,Declarations!B$6:C$185,2,FALSE)="","",VLOOKUP(A429,Declarations!B$6:C$185,2,FALSE)))</f>
        <v/>
      </c>
      <c r="C429" s="150" t="str">
        <f>IF(ISNA(VLOOKUP(A429,Declarations!B$6:F$185,5,FALSE)),"",IF(VLOOKUP(A429,Declarations!B$6:F$185,5,FALSE)="","",VLOOKUP(A429,Declarations!B$6:F$185,5,FALSE)))</f>
        <v/>
      </c>
      <c r="D429" s="150" t="str">
        <f>IF(ISNA(VLOOKUP(A429,Declarations!B$6:F$185,4,FALSE)),"",IF(VLOOKUP(A429,Declarations!B$6:F$185,4,FALSE)="","",VLOOKUP(A429,Declarations!B$6:F$185,4,FALSE)))</f>
        <v/>
      </c>
      <c r="E429" s="150" t="str">
        <f>IF(ISNA(VLOOKUP(A429,Declarations!B$6:D$185,3,FALSE)),"",IF(VLOOKUP(A429,Declarations!B$6:D$185,3,FALSE)="","",VLOOKUP(A429,Declarations!B$6:D$185,3,FALSE)))</f>
        <v/>
      </c>
      <c r="F429" s="49" t="str">
        <f>IF(B429="","",IF(ISNA(VLOOKUP(A429,'75m'!F$5:G$302,2,FALSE)),"",VLOOKUP(A429,'75m'!F$5:G$302,2,FALSE)))</f>
        <v/>
      </c>
      <c r="G429" s="49">
        <f>IF(B429="",0,IF(ISNA(_xlfn.XLOOKUP(A429,'75m'!F$5:F$302,'75m'!M$5:M$302)),0,_xlfn.XLOOKUP(A429,'75m'!F$5:F$302,'75m'!M$5:M$302)))</f>
        <v>0</v>
      </c>
      <c r="H429" s="49" t="str">
        <f>IF(B429="","",IF(ISNA(VLOOKUP(A429,'75m'!F$5:K$302,6,FALSE)),"",VLOOKUP(A429,'75m'!F$5:K$302,6,FALSE)))</f>
        <v/>
      </c>
      <c r="I429" s="51">
        <f>IF(B429="",0,IF(ISNA(VLOOKUP(A429,'600m'!F$5:J$302,2,FALSE)),0,VLOOKUP(A429,'600m'!F$5:J$302,2,FALSE)))</f>
        <v>0</v>
      </c>
      <c r="J429" s="49">
        <f>IF(B429="",0,IF(ISNA(_xlfn.XLOOKUP(A429,'600m'!F$5:F$302,'600m'!M$5:M$302)),0,_xlfn.XLOOKUP(A429,'600m'!F$5:F$302,'600m'!M$5:M$302)))</f>
        <v>0</v>
      </c>
      <c r="K429" s="49" t="str">
        <f>IF(B429="","",IF(ISNA(VLOOKUP(A429,'600m'!F$5:K$302,6,FALSE)),"",VLOOKUP(A429,'600m'!F$5:K$302,6,FALSE)))</f>
        <v/>
      </c>
      <c r="L429" s="49" t="str">
        <f>IF(B429="","",IF(ISNA(VLOOKUP(A429,LongJump!F$5:G$302,2,FALSE)),"",VLOOKUP(A429,LongJump!F$5:G$302,2,FALSE)))</f>
        <v/>
      </c>
      <c r="M429" s="49">
        <f>IF(B429="",0,IF(ISNA(_xlfn.XLOOKUP(A429,LongJump!F$5:F$302,LongJump!M$5:M$302)),0,_xlfn.XLOOKUP(A429,LongJump!F$5:F$302,LongJump!M$5:M$302)))</f>
        <v>0</v>
      </c>
      <c r="N429" s="49" t="str">
        <f>IF(B429="","",IF(ISNA(VLOOKUP(A429,LongJump!F$5:K$302,6,FALSE)),0,VLOOKUP(A429,LongJump!F$5:K$302,6,FALSE)))</f>
        <v/>
      </c>
      <c r="O429" s="49" t="str">
        <f>IF(B429="","",IF(ISNA(VLOOKUP(A429,Vortex!F$5:J$302,2,FALSE)),"",VLOOKUP(A429,Vortex!F$5:J$302,2,FALSE)))</f>
        <v/>
      </c>
      <c r="P429" s="49">
        <f>IF(B429="",0,IF(ISNA(_xlfn.XLOOKUP(A429,Vortex!F$5:F$302,Vortex!M$5:M$302)),0,_xlfn.XLOOKUP(A429,Vortex!F$5:F$302,Vortex!M$5:M$302)))</f>
        <v>0</v>
      </c>
      <c r="Q429" s="49">
        <f t="shared" si="32"/>
        <v>0</v>
      </c>
      <c r="R429" s="49" t="str">
        <f t="shared" si="33"/>
        <v/>
      </c>
      <c r="S429" s="49" t="str">
        <f t="shared" si="34"/>
        <v/>
      </c>
      <c r="T429" s="49" t="str">
        <f t="shared" si="35"/>
        <v/>
      </c>
      <c r="U429" s="49" t="str">
        <f t="shared" si="36"/>
        <v/>
      </c>
    </row>
    <row r="430" spans="1:21">
      <c r="A430" s="49" t="str">
        <f>IF(Declarations!B187=0,"",Declarations!B187)</f>
        <v/>
      </c>
      <c r="B430" s="150" t="str">
        <f>IF(ISNA(VLOOKUP(A430,Declarations!B$6:C$185,2,FALSE)),"",IF(VLOOKUP(A430,Declarations!B$6:C$185,2,FALSE)="","",VLOOKUP(A430,Declarations!B$6:C$185,2,FALSE)))</f>
        <v/>
      </c>
      <c r="C430" s="150" t="str">
        <f>IF(ISNA(VLOOKUP(A430,Declarations!B$6:F$185,5,FALSE)),"",IF(VLOOKUP(A430,Declarations!B$6:F$185,5,FALSE)="","",VLOOKUP(A430,Declarations!B$6:F$185,5,FALSE)))</f>
        <v/>
      </c>
      <c r="D430" s="150" t="str">
        <f>IF(ISNA(VLOOKUP(A430,Declarations!B$6:F$185,4,FALSE)),"",IF(VLOOKUP(A430,Declarations!B$6:F$185,4,FALSE)="","",VLOOKUP(A430,Declarations!B$6:F$185,4,FALSE)))</f>
        <v/>
      </c>
      <c r="E430" s="150" t="str">
        <f>IF(ISNA(VLOOKUP(A430,Declarations!B$6:D$185,3,FALSE)),"",IF(VLOOKUP(A430,Declarations!B$6:D$185,3,FALSE)="","",VLOOKUP(A430,Declarations!B$6:D$185,3,FALSE)))</f>
        <v/>
      </c>
      <c r="F430" s="49" t="str">
        <f>IF(B430="","",IF(ISNA(VLOOKUP(A430,'75m'!F$5:G$302,2,FALSE)),"",VLOOKUP(A430,'75m'!F$5:G$302,2,FALSE)))</f>
        <v/>
      </c>
      <c r="G430" s="49">
        <f>IF(B430="",0,IF(ISNA(_xlfn.XLOOKUP(A430,'75m'!F$5:F$302,'75m'!M$5:M$302)),0,_xlfn.XLOOKUP(A430,'75m'!F$5:F$302,'75m'!M$5:M$302)))</f>
        <v>0</v>
      </c>
      <c r="H430" s="49" t="str">
        <f>IF(B430="","",IF(ISNA(VLOOKUP(A430,'75m'!F$5:K$302,6,FALSE)),"",VLOOKUP(A430,'75m'!F$5:K$302,6,FALSE)))</f>
        <v/>
      </c>
      <c r="I430" s="51">
        <f>IF(B430="",0,IF(ISNA(VLOOKUP(A430,'600m'!F$5:J$302,2,FALSE)),0,VLOOKUP(A430,'600m'!F$5:J$302,2,FALSE)))</f>
        <v>0</v>
      </c>
      <c r="J430" s="49">
        <f>IF(B430="",0,IF(ISNA(_xlfn.XLOOKUP(A430,'600m'!F$5:F$302,'600m'!M$5:M$302)),0,_xlfn.XLOOKUP(A430,'600m'!F$5:F$302,'600m'!M$5:M$302)))</f>
        <v>0</v>
      </c>
      <c r="K430" s="49" t="str">
        <f>IF(B430="","",IF(ISNA(VLOOKUP(A430,'600m'!F$5:K$302,6,FALSE)),"",VLOOKUP(A430,'600m'!F$5:K$302,6,FALSE)))</f>
        <v/>
      </c>
      <c r="L430" s="49" t="str">
        <f>IF(B430="","",IF(ISNA(VLOOKUP(A430,LongJump!F$5:G$302,2,FALSE)),"",VLOOKUP(A430,LongJump!F$5:G$302,2,FALSE)))</f>
        <v/>
      </c>
      <c r="M430" s="49">
        <f>IF(B430="",0,IF(ISNA(_xlfn.XLOOKUP(A430,LongJump!F$5:F$302,LongJump!M$5:M$302)),0,_xlfn.XLOOKUP(A430,LongJump!F$5:F$302,LongJump!M$5:M$302)))</f>
        <v>0</v>
      </c>
      <c r="N430" s="49" t="str">
        <f>IF(B430="","",IF(ISNA(VLOOKUP(A430,LongJump!F$5:K$302,6,FALSE)),0,VLOOKUP(A430,LongJump!F$5:K$302,6,FALSE)))</f>
        <v/>
      </c>
      <c r="O430" s="49" t="str">
        <f>IF(B430="","",IF(ISNA(VLOOKUP(A430,Vortex!F$5:J$302,2,FALSE)),"",VLOOKUP(A430,Vortex!F$5:J$302,2,FALSE)))</f>
        <v/>
      </c>
      <c r="P430" s="49">
        <f>IF(B430="",0,IF(ISNA(_xlfn.XLOOKUP(A430,Vortex!F$5:F$302,Vortex!M$5:M$302)),0,_xlfn.XLOOKUP(A430,Vortex!F$5:F$302,Vortex!M$5:M$302)))</f>
        <v>0</v>
      </c>
      <c r="Q430" s="49">
        <f t="shared" si="32"/>
        <v>0</v>
      </c>
      <c r="R430" s="49" t="str">
        <f t="shared" si="33"/>
        <v/>
      </c>
      <c r="S430" s="49" t="str">
        <f t="shared" si="34"/>
        <v/>
      </c>
      <c r="T430" s="49" t="str">
        <f t="shared" si="35"/>
        <v/>
      </c>
      <c r="U430" s="49" t="str">
        <f t="shared" si="36"/>
        <v/>
      </c>
    </row>
    <row r="431" spans="1:21">
      <c r="A431" s="49" t="str">
        <f>IF(Declarations!B188=0,"",Declarations!B188)</f>
        <v/>
      </c>
      <c r="B431" s="150" t="str">
        <f>IF(ISNA(VLOOKUP(A431,Declarations!B$6:C$185,2,FALSE)),"",IF(VLOOKUP(A431,Declarations!B$6:C$185,2,FALSE)="","",VLOOKUP(A431,Declarations!B$6:C$185,2,FALSE)))</f>
        <v/>
      </c>
      <c r="C431" s="150" t="str">
        <f>IF(ISNA(VLOOKUP(A431,Declarations!B$6:F$185,5,FALSE)),"",IF(VLOOKUP(A431,Declarations!B$6:F$185,5,FALSE)="","",VLOOKUP(A431,Declarations!B$6:F$185,5,FALSE)))</f>
        <v/>
      </c>
      <c r="D431" s="150" t="str">
        <f>IF(ISNA(VLOOKUP(A431,Declarations!B$6:F$185,4,FALSE)),"",IF(VLOOKUP(A431,Declarations!B$6:F$185,4,FALSE)="","",VLOOKUP(A431,Declarations!B$6:F$185,4,FALSE)))</f>
        <v/>
      </c>
      <c r="E431" s="150" t="str">
        <f>IF(ISNA(VLOOKUP(A431,Declarations!B$6:D$185,3,FALSE)),"",IF(VLOOKUP(A431,Declarations!B$6:D$185,3,FALSE)="","",VLOOKUP(A431,Declarations!B$6:D$185,3,FALSE)))</f>
        <v/>
      </c>
      <c r="F431" s="49" t="str">
        <f>IF(B431="","",IF(ISNA(VLOOKUP(A431,'75m'!F$5:G$302,2,FALSE)),"",VLOOKUP(A431,'75m'!F$5:G$302,2,FALSE)))</f>
        <v/>
      </c>
      <c r="G431" s="49">
        <f>IF(B431="",0,IF(ISNA(_xlfn.XLOOKUP(A431,'75m'!F$5:F$302,'75m'!M$5:M$302)),0,_xlfn.XLOOKUP(A431,'75m'!F$5:F$302,'75m'!M$5:M$302)))</f>
        <v>0</v>
      </c>
      <c r="H431" s="49" t="str">
        <f>IF(B431="","",IF(ISNA(VLOOKUP(A431,'75m'!F$5:K$302,6,FALSE)),"",VLOOKUP(A431,'75m'!F$5:K$302,6,FALSE)))</f>
        <v/>
      </c>
      <c r="I431" s="51">
        <f>IF(B431="",0,IF(ISNA(VLOOKUP(A431,'600m'!F$5:J$302,2,FALSE)),0,VLOOKUP(A431,'600m'!F$5:J$302,2,FALSE)))</f>
        <v>0</v>
      </c>
      <c r="J431" s="49">
        <f>IF(B431="",0,IF(ISNA(_xlfn.XLOOKUP(A431,'600m'!F$5:F$302,'600m'!M$5:M$302)),0,_xlfn.XLOOKUP(A431,'600m'!F$5:F$302,'600m'!M$5:M$302)))</f>
        <v>0</v>
      </c>
      <c r="K431" s="49" t="str">
        <f>IF(B431="","",IF(ISNA(VLOOKUP(A431,'600m'!F$5:K$302,6,FALSE)),"",VLOOKUP(A431,'600m'!F$5:K$302,6,FALSE)))</f>
        <v/>
      </c>
      <c r="L431" s="49" t="str">
        <f>IF(B431="","",IF(ISNA(VLOOKUP(A431,LongJump!F$5:G$302,2,FALSE)),"",VLOOKUP(A431,LongJump!F$5:G$302,2,FALSE)))</f>
        <v/>
      </c>
      <c r="M431" s="49">
        <f>IF(B431="",0,IF(ISNA(_xlfn.XLOOKUP(A431,LongJump!F$5:F$302,LongJump!M$5:M$302)),0,_xlfn.XLOOKUP(A431,LongJump!F$5:F$302,LongJump!M$5:M$302)))</f>
        <v>0</v>
      </c>
      <c r="N431" s="49" t="str">
        <f>IF(B431="","",IF(ISNA(VLOOKUP(A431,LongJump!F$5:K$302,6,FALSE)),0,VLOOKUP(A431,LongJump!F$5:K$302,6,FALSE)))</f>
        <v/>
      </c>
      <c r="O431" s="49" t="str">
        <f>IF(B431="","",IF(ISNA(VLOOKUP(A431,Vortex!F$5:J$302,2,FALSE)),"",VLOOKUP(A431,Vortex!F$5:J$302,2,FALSE)))</f>
        <v/>
      </c>
      <c r="P431" s="49">
        <f>IF(B431="",0,IF(ISNA(_xlfn.XLOOKUP(A431,Vortex!F$5:F$302,Vortex!M$5:M$302)),0,_xlfn.XLOOKUP(A431,Vortex!F$5:F$302,Vortex!M$5:M$302)))</f>
        <v>0</v>
      </c>
      <c r="Q431" s="49">
        <f t="shared" si="32"/>
        <v>0</v>
      </c>
      <c r="R431" s="49" t="str">
        <f t="shared" si="33"/>
        <v/>
      </c>
      <c r="S431" s="49" t="str">
        <f t="shared" si="34"/>
        <v/>
      </c>
      <c r="T431" s="49" t="str">
        <f t="shared" si="35"/>
        <v/>
      </c>
      <c r="U431" s="49" t="str">
        <f t="shared" si="36"/>
        <v/>
      </c>
    </row>
    <row r="432" spans="1:21">
      <c r="A432" s="49" t="str">
        <f>IF(Declarations!B189=0,"",Declarations!B189)</f>
        <v/>
      </c>
      <c r="B432" s="150" t="str">
        <f>IF(ISNA(VLOOKUP(A432,Declarations!B$6:C$185,2,FALSE)),"",IF(VLOOKUP(A432,Declarations!B$6:C$185,2,FALSE)="","",VLOOKUP(A432,Declarations!B$6:C$185,2,FALSE)))</f>
        <v/>
      </c>
      <c r="C432" s="150" t="str">
        <f>IF(ISNA(VLOOKUP(A432,Declarations!B$6:F$185,5,FALSE)),"",IF(VLOOKUP(A432,Declarations!B$6:F$185,5,FALSE)="","",VLOOKUP(A432,Declarations!B$6:F$185,5,FALSE)))</f>
        <v/>
      </c>
      <c r="D432" s="150" t="str">
        <f>IF(ISNA(VLOOKUP(A432,Declarations!B$6:F$185,4,FALSE)),"",IF(VLOOKUP(A432,Declarations!B$6:F$185,4,FALSE)="","",VLOOKUP(A432,Declarations!B$6:F$185,4,FALSE)))</f>
        <v/>
      </c>
      <c r="E432" s="150" t="str">
        <f>IF(ISNA(VLOOKUP(A432,Declarations!B$6:D$185,3,FALSE)),"",IF(VLOOKUP(A432,Declarations!B$6:D$185,3,FALSE)="","",VLOOKUP(A432,Declarations!B$6:D$185,3,FALSE)))</f>
        <v/>
      </c>
      <c r="F432" s="49" t="str">
        <f>IF(B432="","",IF(ISNA(VLOOKUP(A432,'75m'!F$5:G$302,2,FALSE)),"",VLOOKUP(A432,'75m'!F$5:G$302,2,FALSE)))</f>
        <v/>
      </c>
      <c r="G432" s="49">
        <f>IF(B432="",0,IF(ISNA(_xlfn.XLOOKUP(A432,'75m'!F$5:F$302,'75m'!M$5:M$302)),0,_xlfn.XLOOKUP(A432,'75m'!F$5:F$302,'75m'!M$5:M$302)))</f>
        <v>0</v>
      </c>
      <c r="H432" s="49" t="str">
        <f>IF(B432="","",IF(ISNA(VLOOKUP(A432,'75m'!F$5:K$302,6,FALSE)),"",VLOOKUP(A432,'75m'!F$5:K$302,6,FALSE)))</f>
        <v/>
      </c>
      <c r="I432" s="51">
        <f>IF(B432="",0,IF(ISNA(VLOOKUP(A432,'600m'!F$5:J$302,2,FALSE)),0,VLOOKUP(A432,'600m'!F$5:J$302,2,FALSE)))</f>
        <v>0</v>
      </c>
      <c r="J432" s="49">
        <f>IF(B432="",0,IF(ISNA(_xlfn.XLOOKUP(A432,'600m'!F$5:F$302,'600m'!M$5:M$302)),0,_xlfn.XLOOKUP(A432,'600m'!F$5:F$302,'600m'!M$5:M$302)))</f>
        <v>0</v>
      </c>
      <c r="K432" s="49" t="str">
        <f>IF(B432="","",IF(ISNA(VLOOKUP(A432,'600m'!F$5:K$302,6,FALSE)),"",VLOOKUP(A432,'600m'!F$5:K$302,6,FALSE)))</f>
        <v/>
      </c>
      <c r="L432" s="49" t="str">
        <f>IF(B432="","",IF(ISNA(VLOOKUP(A432,LongJump!F$5:G$302,2,FALSE)),"",VLOOKUP(A432,LongJump!F$5:G$302,2,FALSE)))</f>
        <v/>
      </c>
      <c r="M432" s="49">
        <f>IF(B432="",0,IF(ISNA(_xlfn.XLOOKUP(A432,LongJump!F$5:F$302,LongJump!M$5:M$302)),0,_xlfn.XLOOKUP(A432,LongJump!F$5:F$302,LongJump!M$5:M$302)))</f>
        <v>0</v>
      </c>
      <c r="N432" s="49" t="str">
        <f>IF(B432="","",IF(ISNA(VLOOKUP(A432,LongJump!F$5:K$302,6,FALSE)),0,VLOOKUP(A432,LongJump!F$5:K$302,6,FALSE)))</f>
        <v/>
      </c>
      <c r="O432" s="49" t="str">
        <f>IF(B432="","",IF(ISNA(VLOOKUP(A432,Vortex!F$5:J$302,2,FALSE)),"",VLOOKUP(A432,Vortex!F$5:J$302,2,FALSE)))</f>
        <v/>
      </c>
      <c r="P432" s="49">
        <f>IF(B432="",0,IF(ISNA(_xlfn.XLOOKUP(A432,Vortex!F$5:F$302,Vortex!M$5:M$302)),0,_xlfn.XLOOKUP(A432,Vortex!F$5:F$302,Vortex!M$5:M$302)))</f>
        <v>0</v>
      </c>
      <c r="Q432" s="49">
        <f t="shared" si="32"/>
        <v>0</v>
      </c>
      <c r="R432" s="49" t="str">
        <f t="shared" si="33"/>
        <v/>
      </c>
      <c r="S432" s="49" t="str">
        <f t="shared" si="34"/>
        <v/>
      </c>
      <c r="T432" s="49" t="str">
        <f t="shared" si="35"/>
        <v/>
      </c>
      <c r="U432" s="49" t="str">
        <f t="shared" si="36"/>
        <v/>
      </c>
    </row>
    <row r="433" spans="1:21">
      <c r="A433" s="49" t="str">
        <f>IF(Declarations!B190=0,"",Declarations!B190)</f>
        <v/>
      </c>
      <c r="B433" s="150" t="str">
        <f>IF(ISNA(VLOOKUP(A433,Declarations!B$6:C$185,2,FALSE)),"",IF(VLOOKUP(A433,Declarations!B$6:C$185,2,FALSE)="","",VLOOKUP(A433,Declarations!B$6:C$185,2,FALSE)))</f>
        <v/>
      </c>
      <c r="C433" s="150" t="str">
        <f>IF(ISNA(VLOOKUP(A433,Declarations!B$6:F$185,5,FALSE)),"",IF(VLOOKUP(A433,Declarations!B$6:F$185,5,FALSE)="","",VLOOKUP(A433,Declarations!B$6:F$185,5,FALSE)))</f>
        <v/>
      </c>
      <c r="D433" s="150" t="str">
        <f>IF(ISNA(VLOOKUP(A433,Declarations!B$6:F$185,4,FALSE)),"",IF(VLOOKUP(A433,Declarations!B$6:F$185,4,FALSE)="","",VLOOKUP(A433,Declarations!B$6:F$185,4,FALSE)))</f>
        <v/>
      </c>
      <c r="E433" s="150" t="str">
        <f>IF(ISNA(VLOOKUP(A433,Declarations!B$6:D$185,3,FALSE)),"",IF(VLOOKUP(A433,Declarations!B$6:D$185,3,FALSE)="","",VLOOKUP(A433,Declarations!B$6:D$185,3,FALSE)))</f>
        <v/>
      </c>
      <c r="F433" s="49" t="str">
        <f>IF(B433="","",IF(ISNA(VLOOKUP(A433,'75m'!F$5:G$302,2,FALSE)),"",VLOOKUP(A433,'75m'!F$5:G$302,2,FALSE)))</f>
        <v/>
      </c>
      <c r="G433" s="49">
        <f>IF(B433="",0,IF(ISNA(_xlfn.XLOOKUP(A433,'75m'!F$5:F$302,'75m'!M$5:M$302)),0,_xlfn.XLOOKUP(A433,'75m'!F$5:F$302,'75m'!M$5:M$302)))</f>
        <v>0</v>
      </c>
      <c r="H433" s="49" t="str">
        <f>IF(B433="","",IF(ISNA(VLOOKUP(A433,'75m'!F$5:K$302,6,FALSE)),"",VLOOKUP(A433,'75m'!F$5:K$302,6,FALSE)))</f>
        <v/>
      </c>
      <c r="I433" s="51">
        <f>IF(B433="",0,IF(ISNA(VLOOKUP(A433,'600m'!F$5:J$302,2,FALSE)),0,VLOOKUP(A433,'600m'!F$5:J$302,2,FALSE)))</f>
        <v>0</v>
      </c>
      <c r="J433" s="49">
        <f>IF(B433="",0,IF(ISNA(_xlfn.XLOOKUP(A433,'600m'!F$5:F$302,'600m'!M$5:M$302)),0,_xlfn.XLOOKUP(A433,'600m'!F$5:F$302,'600m'!M$5:M$302)))</f>
        <v>0</v>
      </c>
      <c r="K433" s="49" t="str">
        <f>IF(B433="","",IF(ISNA(VLOOKUP(A433,'600m'!F$5:K$302,6,FALSE)),"",VLOOKUP(A433,'600m'!F$5:K$302,6,FALSE)))</f>
        <v/>
      </c>
      <c r="L433" s="49" t="str">
        <f>IF(B433="","",IF(ISNA(VLOOKUP(A433,LongJump!F$5:G$302,2,FALSE)),"",VLOOKUP(A433,LongJump!F$5:G$302,2,FALSE)))</f>
        <v/>
      </c>
      <c r="M433" s="49">
        <f>IF(B433="",0,IF(ISNA(_xlfn.XLOOKUP(A433,LongJump!F$5:F$302,LongJump!M$5:M$302)),0,_xlfn.XLOOKUP(A433,LongJump!F$5:F$302,LongJump!M$5:M$302)))</f>
        <v>0</v>
      </c>
      <c r="N433" s="49" t="str">
        <f>IF(B433="","",IF(ISNA(VLOOKUP(A433,LongJump!F$5:K$302,6,FALSE)),0,VLOOKUP(A433,LongJump!F$5:K$302,6,FALSE)))</f>
        <v/>
      </c>
      <c r="O433" s="49" t="str">
        <f>IF(B433="","",IF(ISNA(VLOOKUP(A433,Vortex!F$5:J$302,2,FALSE)),"",VLOOKUP(A433,Vortex!F$5:J$302,2,FALSE)))</f>
        <v/>
      </c>
      <c r="P433" s="49">
        <f>IF(B433="",0,IF(ISNA(_xlfn.XLOOKUP(A433,Vortex!F$5:F$302,Vortex!M$5:M$302)),0,_xlfn.XLOOKUP(A433,Vortex!F$5:F$302,Vortex!M$5:M$302)))</f>
        <v>0</v>
      </c>
      <c r="Q433" s="49">
        <f t="shared" si="32"/>
        <v>0</v>
      </c>
      <c r="R433" s="49" t="str">
        <f t="shared" si="33"/>
        <v/>
      </c>
      <c r="S433" s="49" t="str">
        <f t="shared" si="34"/>
        <v/>
      </c>
      <c r="T433" s="49" t="str">
        <f t="shared" si="35"/>
        <v/>
      </c>
      <c r="U433" s="49" t="str">
        <f t="shared" si="36"/>
        <v/>
      </c>
    </row>
    <row r="434" spans="1:21">
      <c r="A434" s="49" t="str">
        <f>IF(Declarations!B191=0,"",Declarations!B191)</f>
        <v/>
      </c>
      <c r="B434" s="150" t="str">
        <f>IF(ISNA(VLOOKUP(A434,Declarations!B$6:C$185,2,FALSE)),"",IF(VLOOKUP(A434,Declarations!B$6:C$185,2,FALSE)="","",VLOOKUP(A434,Declarations!B$6:C$185,2,FALSE)))</f>
        <v/>
      </c>
      <c r="C434" s="150" t="str">
        <f>IF(ISNA(VLOOKUP(A434,Declarations!B$6:F$185,5,FALSE)),"",IF(VLOOKUP(A434,Declarations!B$6:F$185,5,FALSE)="","",VLOOKUP(A434,Declarations!B$6:F$185,5,FALSE)))</f>
        <v/>
      </c>
      <c r="D434" s="150" t="str">
        <f>IF(ISNA(VLOOKUP(A434,Declarations!B$6:F$185,4,FALSE)),"",IF(VLOOKUP(A434,Declarations!B$6:F$185,4,FALSE)="","",VLOOKUP(A434,Declarations!B$6:F$185,4,FALSE)))</f>
        <v/>
      </c>
      <c r="E434" s="150" t="str">
        <f>IF(ISNA(VLOOKUP(A434,Declarations!B$6:D$185,3,FALSE)),"",IF(VLOOKUP(A434,Declarations!B$6:D$185,3,FALSE)="","",VLOOKUP(A434,Declarations!B$6:D$185,3,FALSE)))</f>
        <v/>
      </c>
      <c r="F434" s="49" t="str">
        <f>IF(B434="","",IF(ISNA(VLOOKUP(A434,'75m'!F$5:G$302,2,FALSE)),"",VLOOKUP(A434,'75m'!F$5:G$302,2,FALSE)))</f>
        <v/>
      </c>
      <c r="G434" s="49">
        <f>IF(B434="",0,IF(ISNA(_xlfn.XLOOKUP(A434,'75m'!F$5:F$302,'75m'!M$5:M$302)),0,_xlfn.XLOOKUP(A434,'75m'!F$5:F$302,'75m'!M$5:M$302)))</f>
        <v>0</v>
      </c>
      <c r="H434" s="49" t="str">
        <f>IF(B434="","",IF(ISNA(VLOOKUP(A434,'75m'!F$5:K$302,6,FALSE)),"",VLOOKUP(A434,'75m'!F$5:K$302,6,FALSE)))</f>
        <v/>
      </c>
      <c r="I434" s="51">
        <f>IF(B434="",0,IF(ISNA(VLOOKUP(A434,'600m'!F$5:J$302,2,FALSE)),0,VLOOKUP(A434,'600m'!F$5:J$302,2,FALSE)))</f>
        <v>0</v>
      </c>
      <c r="J434" s="49">
        <f>IF(B434="",0,IF(ISNA(_xlfn.XLOOKUP(A434,'600m'!F$5:F$302,'600m'!M$5:M$302)),0,_xlfn.XLOOKUP(A434,'600m'!F$5:F$302,'600m'!M$5:M$302)))</f>
        <v>0</v>
      </c>
      <c r="K434" s="49" t="str">
        <f>IF(B434="","",IF(ISNA(VLOOKUP(A434,'600m'!F$5:K$302,6,FALSE)),"",VLOOKUP(A434,'600m'!F$5:K$302,6,FALSE)))</f>
        <v/>
      </c>
      <c r="L434" s="49" t="str">
        <f>IF(B434="","",IF(ISNA(VLOOKUP(A434,LongJump!F$5:G$302,2,FALSE)),"",VLOOKUP(A434,LongJump!F$5:G$302,2,FALSE)))</f>
        <v/>
      </c>
      <c r="M434" s="49">
        <f>IF(B434="",0,IF(ISNA(_xlfn.XLOOKUP(A434,LongJump!F$5:F$302,LongJump!M$5:M$302)),0,_xlfn.XLOOKUP(A434,LongJump!F$5:F$302,LongJump!M$5:M$302)))</f>
        <v>0</v>
      </c>
      <c r="N434" s="49" t="str">
        <f>IF(B434="","",IF(ISNA(VLOOKUP(A434,LongJump!F$5:K$302,6,FALSE)),0,VLOOKUP(A434,LongJump!F$5:K$302,6,FALSE)))</f>
        <v/>
      </c>
      <c r="O434" s="49" t="str">
        <f>IF(B434="","",IF(ISNA(VLOOKUP(A434,Vortex!F$5:J$302,2,FALSE)),"",VLOOKUP(A434,Vortex!F$5:J$302,2,FALSE)))</f>
        <v/>
      </c>
      <c r="P434" s="49">
        <f>IF(B434="",0,IF(ISNA(_xlfn.XLOOKUP(A434,Vortex!F$5:F$302,Vortex!M$5:M$302)),0,_xlfn.XLOOKUP(A434,Vortex!F$5:F$302,Vortex!M$5:M$302)))</f>
        <v>0</v>
      </c>
      <c r="Q434" s="49">
        <f t="shared" si="32"/>
        <v>0</v>
      </c>
      <c r="R434" s="49" t="str">
        <f t="shared" si="33"/>
        <v/>
      </c>
      <c r="S434" s="49" t="str">
        <f t="shared" si="34"/>
        <v/>
      </c>
      <c r="T434" s="49" t="str">
        <f t="shared" si="35"/>
        <v/>
      </c>
      <c r="U434" s="49" t="str">
        <f t="shared" si="36"/>
        <v/>
      </c>
    </row>
    <row r="435" spans="1:21">
      <c r="A435" s="49" t="str">
        <f>IF(Declarations!B192=0,"",Declarations!B192)</f>
        <v/>
      </c>
      <c r="B435" s="150" t="str">
        <f>IF(ISNA(VLOOKUP(A435,Declarations!B$6:C$185,2,FALSE)),"",IF(VLOOKUP(A435,Declarations!B$6:C$185,2,FALSE)="","",VLOOKUP(A435,Declarations!B$6:C$185,2,FALSE)))</f>
        <v/>
      </c>
      <c r="C435" s="150" t="str">
        <f>IF(ISNA(VLOOKUP(A435,Declarations!B$6:F$185,5,FALSE)),"",IF(VLOOKUP(A435,Declarations!B$6:F$185,5,FALSE)="","",VLOOKUP(A435,Declarations!B$6:F$185,5,FALSE)))</f>
        <v/>
      </c>
      <c r="D435" s="150" t="str">
        <f>IF(ISNA(VLOOKUP(A435,Declarations!B$6:F$185,4,FALSE)),"",IF(VLOOKUP(A435,Declarations!B$6:F$185,4,FALSE)="","",VLOOKUP(A435,Declarations!B$6:F$185,4,FALSE)))</f>
        <v/>
      </c>
      <c r="E435" s="150" t="str">
        <f>IF(ISNA(VLOOKUP(A435,Declarations!B$6:D$185,3,FALSE)),"",IF(VLOOKUP(A435,Declarations!B$6:D$185,3,FALSE)="","",VLOOKUP(A435,Declarations!B$6:D$185,3,FALSE)))</f>
        <v/>
      </c>
      <c r="F435" s="49" t="str">
        <f>IF(B435="","",IF(ISNA(VLOOKUP(A435,'75m'!F$5:G$302,2,FALSE)),"",VLOOKUP(A435,'75m'!F$5:G$302,2,FALSE)))</f>
        <v/>
      </c>
      <c r="G435" s="49">
        <f>IF(B435="",0,IF(ISNA(_xlfn.XLOOKUP(A435,'75m'!F$5:F$302,'75m'!M$5:M$302)),0,_xlfn.XLOOKUP(A435,'75m'!F$5:F$302,'75m'!M$5:M$302)))</f>
        <v>0</v>
      </c>
      <c r="H435" s="49" t="str">
        <f>IF(B435="","",IF(ISNA(VLOOKUP(A435,'75m'!F$5:K$302,6,FALSE)),"",VLOOKUP(A435,'75m'!F$5:K$302,6,FALSE)))</f>
        <v/>
      </c>
      <c r="I435" s="51">
        <f>IF(B435="",0,IF(ISNA(VLOOKUP(A435,'600m'!F$5:J$302,2,FALSE)),0,VLOOKUP(A435,'600m'!F$5:J$302,2,FALSE)))</f>
        <v>0</v>
      </c>
      <c r="J435" s="49">
        <f>IF(B435="",0,IF(ISNA(_xlfn.XLOOKUP(A435,'600m'!F$5:F$302,'600m'!M$5:M$302)),0,_xlfn.XLOOKUP(A435,'600m'!F$5:F$302,'600m'!M$5:M$302)))</f>
        <v>0</v>
      </c>
      <c r="K435" s="49" t="str">
        <f>IF(B435="","",IF(ISNA(VLOOKUP(A435,'600m'!F$5:K$302,6,FALSE)),"",VLOOKUP(A435,'600m'!F$5:K$302,6,FALSE)))</f>
        <v/>
      </c>
      <c r="L435" s="49" t="str">
        <f>IF(B435="","",IF(ISNA(VLOOKUP(A435,LongJump!F$5:G$302,2,FALSE)),"",VLOOKUP(A435,LongJump!F$5:G$302,2,FALSE)))</f>
        <v/>
      </c>
      <c r="M435" s="49">
        <f>IF(B435="",0,IF(ISNA(_xlfn.XLOOKUP(A435,LongJump!F$5:F$302,LongJump!M$5:M$302)),0,_xlfn.XLOOKUP(A435,LongJump!F$5:F$302,LongJump!M$5:M$302)))</f>
        <v>0</v>
      </c>
      <c r="N435" s="49" t="str">
        <f>IF(B435="","",IF(ISNA(VLOOKUP(A435,LongJump!F$5:K$302,6,FALSE)),0,VLOOKUP(A435,LongJump!F$5:K$302,6,FALSE)))</f>
        <v/>
      </c>
      <c r="O435" s="49" t="str">
        <f>IF(B435="","",IF(ISNA(VLOOKUP(A435,Vortex!F$5:J$302,2,FALSE)),"",VLOOKUP(A435,Vortex!F$5:J$302,2,FALSE)))</f>
        <v/>
      </c>
      <c r="P435" s="49">
        <f>IF(B435="",0,IF(ISNA(_xlfn.XLOOKUP(A435,Vortex!F$5:F$302,Vortex!M$5:M$302)),0,_xlfn.XLOOKUP(A435,Vortex!F$5:F$302,Vortex!M$5:M$302)))</f>
        <v>0</v>
      </c>
      <c r="Q435" s="49">
        <f t="shared" si="32"/>
        <v>0</v>
      </c>
      <c r="R435" s="49" t="str">
        <f t="shared" si="33"/>
        <v/>
      </c>
      <c r="S435" s="49" t="str">
        <f t="shared" si="34"/>
        <v/>
      </c>
      <c r="T435" s="49" t="str">
        <f t="shared" si="35"/>
        <v/>
      </c>
      <c r="U435" s="49" t="str">
        <f t="shared" si="36"/>
        <v/>
      </c>
    </row>
    <row r="436" spans="1:21">
      <c r="A436" s="49" t="str">
        <f>IF(Declarations!B193=0,"",Declarations!B193)</f>
        <v/>
      </c>
      <c r="B436" s="150" t="str">
        <f>IF(ISNA(VLOOKUP(A436,Declarations!B$6:C$185,2,FALSE)),"",IF(VLOOKUP(A436,Declarations!B$6:C$185,2,FALSE)="","",VLOOKUP(A436,Declarations!B$6:C$185,2,FALSE)))</f>
        <v/>
      </c>
      <c r="C436" s="150" t="str">
        <f>IF(ISNA(VLOOKUP(A436,Declarations!B$6:F$185,5,FALSE)),"",IF(VLOOKUP(A436,Declarations!B$6:F$185,5,FALSE)="","",VLOOKUP(A436,Declarations!B$6:F$185,5,FALSE)))</f>
        <v/>
      </c>
      <c r="D436" s="150" t="str">
        <f>IF(ISNA(VLOOKUP(A436,Declarations!B$6:F$185,4,FALSE)),"",IF(VLOOKUP(A436,Declarations!B$6:F$185,4,FALSE)="","",VLOOKUP(A436,Declarations!B$6:F$185,4,FALSE)))</f>
        <v/>
      </c>
      <c r="E436" s="150" t="str">
        <f>IF(ISNA(VLOOKUP(A436,Declarations!B$6:D$185,3,FALSE)),"",IF(VLOOKUP(A436,Declarations!B$6:D$185,3,FALSE)="","",VLOOKUP(A436,Declarations!B$6:D$185,3,FALSE)))</f>
        <v/>
      </c>
      <c r="F436" s="49" t="str">
        <f>IF(B436="","",IF(ISNA(VLOOKUP(A436,'75m'!F$5:G$302,2,FALSE)),"",VLOOKUP(A436,'75m'!F$5:G$302,2,FALSE)))</f>
        <v/>
      </c>
      <c r="G436" s="49">
        <f>IF(B436="",0,IF(ISNA(_xlfn.XLOOKUP(A436,'75m'!F$5:F$302,'75m'!M$5:M$302)),0,_xlfn.XLOOKUP(A436,'75m'!F$5:F$302,'75m'!M$5:M$302)))</f>
        <v>0</v>
      </c>
      <c r="H436" s="49" t="str">
        <f>IF(B436="","",IF(ISNA(VLOOKUP(A436,'75m'!F$5:K$302,6,FALSE)),"",VLOOKUP(A436,'75m'!F$5:K$302,6,FALSE)))</f>
        <v/>
      </c>
      <c r="I436" s="51">
        <f>IF(B436="",0,IF(ISNA(VLOOKUP(A436,'600m'!F$5:J$302,2,FALSE)),0,VLOOKUP(A436,'600m'!F$5:J$302,2,FALSE)))</f>
        <v>0</v>
      </c>
      <c r="J436" s="49">
        <f>IF(B436="",0,IF(ISNA(_xlfn.XLOOKUP(A436,'600m'!F$5:F$302,'600m'!M$5:M$302)),0,_xlfn.XLOOKUP(A436,'600m'!F$5:F$302,'600m'!M$5:M$302)))</f>
        <v>0</v>
      </c>
      <c r="K436" s="49" t="str">
        <f>IF(B436="","",IF(ISNA(VLOOKUP(A436,'600m'!F$5:K$302,6,FALSE)),"",VLOOKUP(A436,'600m'!F$5:K$302,6,FALSE)))</f>
        <v/>
      </c>
      <c r="L436" s="49" t="str">
        <f>IF(B436="","",IF(ISNA(VLOOKUP(A436,LongJump!F$5:G$302,2,FALSE)),"",VLOOKUP(A436,LongJump!F$5:G$302,2,FALSE)))</f>
        <v/>
      </c>
      <c r="M436" s="49">
        <f>IF(B436="",0,IF(ISNA(_xlfn.XLOOKUP(A436,LongJump!F$5:F$302,LongJump!M$5:M$302)),0,_xlfn.XLOOKUP(A436,LongJump!F$5:F$302,LongJump!M$5:M$302)))</f>
        <v>0</v>
      </c>
      <c r="N436" s="49" t="str">
        <f>IF(B436="","",IF(ISNA(VLOOKUP(A436,LongJump!F$5:K$302,6,FALSE)),0,VLOOKUP(A436,LongJump!F$5:K$302,6,FALSE)))</f>
        <v/>
      </c>
      <c r="O436" s="49" t="str">
        <f>IF(B436="","",IF(ISNA(VLOOKUP(A436,Vortex!F$5:J$302,2,FALSE)),"",VLOOKUP(A436,Vortex!F$5:J$302,2,FALSE)))</f>
        <v/>
      </c>
      <c r="P436" s="49">
        <f>IF(B436="",0,IF(ISNA(_xlfn.XLOOKUP(A436,Vortex!F$5:F$302,Vortex!M$5:M$302)),0,_xlfn.XLOOKUP(A436,Vortex!F$5:F$302,Vortex!M$5:M$302)))</f>
        <v>0</v>
      </c>
      <c r="Q436" s="49">
        <f t="shared" si="32"/>
        <v>0</v>
      </c>
      <c r="R436" s="49" t="str">
        <f t="shared" si="33"/>
        <v/>
      </c>
      <c r="S436" s="49" t="str">
        <f t="shared" si="34"/>
        <v/>
      </c>
      <c r="T436" s="49" t="str">
        <f t="shared" si="35"/>
        <v/>
      </c>
      <c r="U436" s="49" t="str">
        <f t="shared" si="36"/>
        <v/>
      </c>
    </row>
    <row r="437" spans="1:21">
      <c r="A437" s="49" t="str">
        <f>IF(Declarations!B194=0,"",Declarations!B194)</f>
        <v/>
      </c>
      <c r="B437" s="150" t="str">
        <f>IF(ISNA(VLOOKUP(A437,Declarations!B$6:C$185,2,FALSE)),"",IF(VLOOKUP(A437,Declarations!B$6:C$185,2,FALSE)="","",VLOOKUP(A437,Declarations!B$6:C$185,2,FALSE)))</f>
        <v/>
      </c>
      <c r="C437" s="150" t="str">
        <f>IF(ISNA(VLOOKUP(A437,Declarations!B$6:F$185,5,FALSE)),"",IF(VLOOKUP(A437,Declarations!B$6:F$185,5,FALSE)="","",VLOOKUP(A437,Declarations!B$6:F$185,5,FALSE)))</f>
        <v/>
      </c>
      <c r="D437" s="150" t="str">
        <f>IF(ISNA(VLOOKUP(A437,Declarations!B$6:F$185,4,FALSE)),"",IF(VLOOKUP(A437,Declarations!B$6:F$185,4,FALSE)="","",VLOOKUP(A437,Declarations!B$6:F$185,4,FALSE)))</f>
        <v/>
      </c>
      <c r="E437" s="150" t="str">
        <f>IF(ISNA(VLOOKUP(A437,Declarations!B$6:D$185,3,FALSE)),"",IF(VLOOKUP(A437,Declarations!B$6:D$185,3,FALSE)="","",VLOOKUP(A437,Declarations!B$6:D$185,3,FALSE)))</f>
        <v/>
      </c>
      <c r="F437" s="49" t="str">
        <f>IF(B437="","",IF(ISNA(VLOOKUP(A437,'75m'!F$5:G$302,2,FALSE)),"",VLOOKUP(A437,'75m'!F$5:G$302,2,FALSE)))</f>
        <v/>
      </c>
      <c r="G437" s="49">
        <f>IF(B437="",0,IF(ISNA(_xlfn.XLOOKUP(A437,'75m'!F$5:F$302,'75m'!M$5:M$302)),0,_xlfn.XLOOKUP(A437,'75m'!F$5:F$302,'75m'!M$5:M$302)))</f>
        <v>0</v>
      </c>
      <c r="H437" s="49" t="str">
        <f>IF(B437="","",IF(ISNA(VLOOKUP(A437,'75m'!F$5:K$302,6,FALSE)),"",VLOOKUP(A437,'75m'!F$5:K$302,6,FALSE)))</f>
        <v/>
      </c>
      <c r="I437" s="51">
        <f>IF(B437="",0,IF(ISNA(VLOOKUP(A437,'600m'!F$5:J$302,2,FALSE)),0,VLOOKUP(A437,'600m'!F$5:J$302,2,FALSE)))</f>
        <v>0</v>
      </c>
      <c r="J437" s="49">
        <f>IF(B437="",0,IF(ISNA(_xlfn.XLOOKUP(A437,'600m'!F$5:F$302,'600m'!M$5:M$302)),0,_xlfn.XLOOKUP(A437,'600m'!F$5:F$302,'600m'!M$5:M$302)))</f>
        <v>0</v>
      </c>
      <c r="K437" s="49" t="str">
        <f>IF(B437="","",IF(ISNA(VLOOKUP(A437,'600m'!F$5:K$302,6,FALSE)),"",VLOOKUP(A437,'600m'!F$5:K$302,6,FALSE)))</f>
        <v/>
      </c>
      <c r="L437" s="49" t="str">
        <f>IF(B437="","",IF(ISNA(VLOOKUP(A437,LongJump!F$5:G$302,2,FALSE)),"",VLOOKUP(A437,LongJump!F$5:G$302,2,FALSE)))</f>
        <v/>
      </c>
      <c r="M437" s="49">
        <f>IF(B437="",0,IF(ISNA(_xlfn.XLOOKUP(A437,LongJump!F$5:F$302,LongJump!M$5:M$302)),0,_xlfn.XLOOKUP(A437,LongJump!F$5:F$302,LongJump!M$5:M$302)))</f>
        <v>0</v>
      </c>
      <c r="N437" s="49" t="str">
        <f>IF(B437="","",IF(ISNA(VLOOKUP(A437,LongJump!F$5:K$302,6,FALSE)),0,VLOOKUP(A437,LongJump!F$5:K$302,6,FALSE)))</f>
        <v/>
      </c>
      <c r="O437" s="49" t="str">
        <f>IF(B437="","",IF(ISNA(VLOOKUP(A437,Vortex!F$5:J$302,2,FALSE)),"",VLOOKUP(A437,Vortex!F$5:J$302,2,FALSE)))</f>
        <v/>
      </c>
      <c r="P437" s="49">
        <f>IF(B437="",0,IF(ISNA(_xlfn.XLOOKUP(A437,Vortex!F$5:F$302,Vortex!M$5:M$302)),0,_xlfn.XLOOKUP(A437,Vortex!F$5:F$302,Vortex!M$5:M$302)))</f>
        <v>0</v>
      </c>
      <c r="Q437" s="49">
        <f t="shared" si="32"/>
        <v>0</v>
      </c>
      <c r="R437" s="49" t="str">
        <f t="shared" si="33"/>
        <v/>
      </c>
      <c r="S437" s="49" t="str">
        <f t="shared" si="34"/>
        <v/>
      </c>
      <c r="T437" s="49" t="str">
        <f t="shared" si="35"/>
        <v/>
      </c>
      <c r="U437" s="49" t="str">
        <f t="shared" si="36"/>
        <v/>
      </c>
    </row>
    <row r="438" spans="1:21">
      <c r="A438" s="49" t="str">
        <f>IF(Declarations!B195=0,"",Declarations!B195)</f>
        <v/>
      </c>
      <c r="B438" s="150" t="str">
        <f>IF(ISNA(VLOOKUP(A438,Declarations!B$6:C$185,2,FALSE)),"",IF(VLOOKUP(A438,Declarations!B$6:C$185,2,FALSE)="","",VLOOKUP(A438,Declarations!B$6:C$185,2,FALSE)))</f>
        <v/>
      </c>
      <c r="C438" s="150" t="str">
        <f>IF(ISNA(VLOOKUP(A438,Declarations!B$6:F$185,5,FALSE)),"",IF(VLOOKUP(A438,Declarations!B$6:F$185,5,FALSE)="","",VLOOKUP(A438,Declarations!B$6:F$185,5,FALSE)))</f>
        <v/>
      </c>
      <c r="D438" s="150" t="str">
        <f>IF(ISNA(VLOOKUP(A438,Declarations!B$6:F$185,4,FALSE)),"",IF(VLOOKUP(A438,Declarations!B$6:F$185,4,FALSE)="","",VLOOKUP(A438,Declarations!B$6:F$185,4,FALSE)))</f>
        <v/>
      </c>
      <c r="E438" s="150" t="str">
        <f>IF(ISNA(VLOOKUP(A438,Declarations!B$6:D$185,3,FALSE)),"",IF(VLOOKUP(A438,Declarations!B$6:D$185,3,FALSE)="","",VLOOKUP(A438,Declarations!B$6:D$185,3,FALSE)))</f>
        <v/>
      </c>
      <c r="F438" s="49" t="str">
        <f>IF(B438="","",IF(ISNA(VLOOKUP(A438,'75m'!F$5:G$302,2,FALSE)),"",VLOOKUP(A438,'75m'!F$5:G$302,2,FALSE)))</f>
        <v/>
      </c>
      <c r="G438" s="49">
        <f>IF(B438="",0,IF(ISNA(_xlfn.XLOOKUP(A438,'75m'!F$5:F$302,'75m'!M$5:M$302)),0,_xlfn.XLOOKUP(A438,'75m'!F$5:F$302,'75m'!M$5:M$302)))</f>
        <v>0</v>
      </c>
      <c r="H438" s="49" t="str">
        <f>IF(B438="","",IF(ISNA(VLOOKUP(A438,'75m'!F$5:K$302,6,FALSE)),"",VLOOKUP(A438,'75m'!F$5:K$302,6,FALSE)))</f>
        <v/>
      </c>
      <c r="I438" s="51">
        <f>IF(B438="",0,IF(ISNA(VLOOKUP(A438,'600m'!F$5:J$302,2,FALSE)),0,VLOOKUP(A438,'600m'!F$5:J$302,2,FALSE)))</f>
        <v>0</v>
      </c>
      <c r="J438" s="49">
        <f>IF(B438="",0,IF(ISNA(_xlfn.XLOOKUP(A438,'600m'!F$5:F$302,'600m'!M$5:M$302)),0,_xlfn.XLOOKUP(A438,'600m'!F$5:F$302,'600m'!M$5:M$302)))</f>
        <v>0</v>
      </c>
      <c r="K438" s="49" t="str">
        <f>IF(B438="","",IF(ISNA(VLOOKUP(A438,'600m'!F$5:K$302,6,FALSE)),"",VLOOKUP(A438,'600m'!F$5:K$302,6,FALSE)))</f>
        <v/>
      </c>
      <c r="L438" s="49" t="str">
        <f>IF(B438="","",IF(ISNA(VLOOKUP(A438,LongJump!F$5:G$302,2,FALSE)),"",VLOOKUP(A438,LongJump!F$5:G$302,2,FALSE)))</f>
        <v/>
      </c>
      <c r="M438" s="49">
        <f>IF(B438="",0,IF(ISNA(_xlfn.XLOOKUP(A438,LongJump!F$5:F$302,LongJump!M$5:M$302)),0,_xlfn.XLOOKUP(A438,LongJump!F$5:F$302,LongJump!M$5:M$302)))</f>
        <v>0</v>
      </c>
      <c r="N438" s="49" t="str">
        <f>IF(B438="","",IF(ISNA(VLOOKUP(A438,LongJump!F$5:K$302,6,FALSE)),0,VLOOKUP(A438,LongJump!F$5:K$302,6,FALSE)))</f>
        <v/>
      </c>
      <c r="O438" s="49" t="str">
        <f>IF(B438="","",IF(ISNA(VLOOKUP(A438,Vortex!F$5:J$302,2,FALSE)),"",VLOOKUP(A438,Vortex!F$5:J$302,2,FALSE)))</f>
        <v/>
      </c>
      <c r="P438" s="49">
        <f>IF(B438="",0,IF(ISNA(_xlfn.XLOOKUP(A438,Vortex!F$5:F$302,Vortex!M$5:M$302)),0,_xlfn.XLOOKUP(A438,Vortex!F$5:F$302,Vortex!M$5:M$302)))</f>
        <v>0</v>
      </c>
      <c r="Q438" s="49">
        <f t="shared" si="32"/>
        <v>0</v>
      </c>
      <c r="R438" s="49" t="str">
        <f t="shared" si="33"/>
        <v/>
      </c>
      <c r="S438" s="49" t="str">
        <f t="shared" si="34"/>
        <v/>
      </c>
      <c r="T438" s="49" t="str">
        <f t="shared" si="35"/>
        <v/>
      </c>
      <c r="U438" s="49" t="str">
        <f t="shared" si="36"/>
        <v/>
      </c>
    </row>
    <row r="439" spans="1:21">
      <c r="A439" s="49" t="str">
        <f>IF(Declarations!B196=0,"",Declarations!B196)</f>
        <v/>
      </c>
      <c r="B439" s="150" t="str">
        <f>IF(ISNA(VLOOKUP(A439,Declarations!B$6:C$185,2,FALSE)),"",IF(VLOOKUP(A439,Declarations!B$6:C$185,2,FALSE)="","",VLOOKUP(A439,Declarations!B$6:C$185,2,FALSE)))</f>
        <v/>
      </c>
      <c r="C439" s="150" t="str">
        <f>IF(ISNA(VLOOKUP(A439,Declarations!B$6:F$185,5,FALSE)),"",IF(VLOOKUP(A439,Declarations!B$6:F$185,5,FALSE)="","",VLOOKUP(A439,Declarations!B$6:F$185,5,FALSE)))</f>
        <v/>
      </c>
      <c r="D439" s="150" t="str">
        <f>IF(ISNA(VLOOKUP(A439,Declarations!B$6:F$185,4,FALSE)),"",IF(VLOOKUP(A439,Declarations!B$6:F$185,4,FALSE)="","",VLOOKUP(A439,Declarations!B$6:F$185,4,FALSE)))</f>
        <v/>
      </c>
      <c r="E439" s="150" t="str">
        <f>IF(ISNA(VLOOKUP(A439,Declarations!B$6:D$185,3,FALSE)),"",IF(VLOOKUP(A439,Declarations!B$6:D$185,3,FALSE)="","",VLOOKUP(A439,Declarations!B$6:D$185,3,FALSE)))</f>
        <v/>
      </c>
      <c r="F439" s="49" t="str">
        <f>IF(B439="","",IF(ISNA(VLOOKUP(A439,'75m'!F$5:G$302,2,FALSE)),"",VLOOKUP(A439,'75m'!F$5:G$302,2,FALSE)))</f>
        <v/>
      </c>
      <c r="G439" s="49">
        <f>IF(B439="",0,IF(ISNA(_xlfn.XLOOKUP(A439,'75m'!F$5:F$302,'75m'!M$5:M$302)),0,_xlfn.XLOOKUP(A439,'75m'!F$5:F$302,'75m'!M$5:M$302)))</f>
        <v>0</v>
      </c>
      <c r="H439" s="49" t="str">
        <f>IF(B439="","",IF(ISNA(VLOOKUP(A439,'75m'!F$5:K$302,6,FALSE)),"",VLOOKUP(A439,'75m'!F$5:K$302,6,FALSE)))</f>
        <v/>
      </c>
      <c r="I439" s="51">
        <f>IF(B439="",0,IF(ISNA(VLOOKUP(A439,'600m'!F$5:J$302,2,FALSE)),0,VLOOKUP(A439,'600m'!F$5:J$302,2,FALSE)))</f>
        <v>0</v>
      </c>
      <c r="J439" s="49">
        <f>IF(B439="",0,IF(ISNA(_xlfn.XLOOKUP(A439,'600m'!F$5:F$302,'600m'!M$5:M$302)),0,_xlfn.XLOOKUP(A439,'600m'!F$5:F$302,'600m'!M$5:M$302)))</f>
        <v>0</v>
      </c>
      <c r="K439" s="49" t="str">
        <f>IF(B439="","",IF(ISNA(VLOOKUP(A439,'600m'!F$5:K$302,6,FALSE)),"",VLOOKUP(A439,'600m'!F$5:K$302,6,FALSE)))</f>
        <v/>
      </c>
      <c r="L439" s="49" t="str">
        <f>IF(B439="","",IF(ISNA(VLOOKUP(A439,LongJump!F$5:G$302,2,FALSE)),"",VLOOKUP(A439,LongJump!F$5:G$302,2,FALSE)))</f>
        <v/>
      </c>
      <c r="M439" s="49">
        <f>IF(B439="",0,IF(ISNA(_xlfn.XLOOKUP(A439,LongJump!F$5:F$302,LongJump!M$5:M$302)),0,_xlfn.XLOOKUP(A439,LongJump!F$5:F$302,LongJump!M$5:M$302)))</f>
        <v>0</v>
      </c>
      <c r="N439" s="49" t="str">
        <f>IF(B439="","",IF(ISNA(VLOOKUP(A439,LongJump!F$5:K$302,6,FALSE)),0,VLOOKUP(A439,LongJump!F$5:K$302,6,FALSE)))</f>
        <v/>
      </c>
      <c r="O439" s="49" t="str">
        <f>IF(B439="","",IF(ISNA(VLOOKUP(A439,Vortex!F$5:J$302,2,FALSE)),"",VLOOKUP(A439,Vortex!F$5:J$302,2,FALSE)))</f>
        <v/>
      </c>
      <c r="P439" s="49">
        <f>IF(B439="",0,IF(ISNA(_xlfn.XLOOKUP(A439,Vortex!F$5:F$302,Vortex!M$5:M$302)),0,_xlfn.XLOOKUP(A439,Vortex!F$5:F$302,Vortex!M$5:M$302)))</f>
        <v>0</v>
      </c>
      <c r="Q439" s="49">
        <f t="shared" si="32"/>
        <v>0</v>
      </c>
      <c r="R439" s="49" t="str">
        <f t="shared" si="33"/>
        <v/>
      </c>
      <c r="S439" s="49" t="str">
        <f t="shared" si="34"/>
        <v/>
      </c>
      <c r="T439" s="49" t="str">
        <f t="shared" si="35"/>
        <v/>
      </c>
      <c r="U439" s="49" t="str">
        <f t="shared" si="36"/>
        <v/>
      </c>
    </row>
    <row r="440" spans="1:21">
      <c r="A440" s="49" t="str">
        <f>IF(Declarations!B197=0,"",Declarations!B197)</f>
        <v/>
      </c>
      <c r="B440" s="150" t="str">
        <f>IF(ISNA(VLOOKUP(A440,Declarations!B$6:C$185,2,FALSE)),"",IF(VLOOKUP(A440,Declarations!B$6:C$185,2,FALSE)="","",VLOOKUP(A440,Declarations!B$6:C$185,2,FALSE)))</f>
        <v/>
      </c>
      <c r="C440" s="150" t="str">
        <f>IF(ISNA(VLOOKUP(A440,Declarations!B$6:F$185,5,FALSE)),"",IF(VLOOKUP(A440,Declarations!B$6:F$185,5,FALSE)="","",VLOOKUP(A440,Declarations!B$6:F$185,5,FALSE)))</f>
        <v/>
      </c>
      <c r="D440" s="150" t="str">
        <f>IF(ISNA(VLOOKUP(A440,Declarations!B$6:F$185,4,FALSE)),"",IF(VLOOKUP(A440,Declarations!B$6:F$185,4,FALSE)="","",VLOOKUP(A440,Declarations!B$6:F$185,4,FALSE)))</f>
        <v/>
      </c>
      <c r="E440" s="150" t="str">
        <f>IF(ISNA(VLOOKUP(A440,Declarations!B$6:D$185,3,FALSE)),"",IF(VLOOKUP(A440,Declarations!B$6:D$185,3,FALSE)="","",VLOOKUP(A440,Declarations!B$6:D$185,3,FALSE)))</f>
        <v/>
      </c>
      <c r="F440" s="49" t="str">
        <f>IF(B440="","",IF(ISNA(VLOOKUP(A440,'75m'!F$5:G$302,2,FALSE)),"",VLOOKUP(A440,'75m'!F$5:G$302,2,FALSE)))</f>
        <v/>
      </c>
      <c r="G440" s="49">
        <f>IF(B440="",0,IF(ISNA(_xlfn.XLOOKUP(A440,'75m'!F$5:F$302,'75m'!M$5:M$302)),0,_xlfn.XLOOKUP(A440,'75m'!F$5:F$302,'75m'!M$5:M$302)))</f>
        <v>0</v>
      </c>
      <c r="H440" s="49" t="str">
        <f>IF(B440="","",IF(ISNA(VLOOKUP(A440,'75m'!F$5:K$302,6,FALSE)),"",VLOOKUP(A440,'75m'!F$5:K$302,6,FALSE)))</f>
        <v/>
      </c>
      <c r="I440" s="51">
        <f>IF(B440="",0,IF(ISNA(VLOOKUP(A440,'600m'!F$5:J$302,2,FALSE)),0,VLOOKUP(A440,'600m'!F$5:J$302,2,FALSE)))</f>
        <v>0</v>
      </c>
      <c r="J440" s="49">
        <f>IF(B440="",0,IF(ISNA(_xlfn.XLOOKUP(A440,'600m'!F$5:F$302,'600m'!M$5:M$302)),0,_xlfn.XLOOKUP(A440,'600m'!F$5:F$302,'600m'!M$5:M$302)))</f>
        <v>0</v>
      </c>
      <c r="K440" s="49" t="str">
        <f>IF(B440="","",IF(ISNA(VLOOKUP(A440,'600m'!F$5:K$302,6,FALSE)),"",VLOOKUP(A440,'600m'!F$5:K$302,6,FALSE)))</f>
        <v/>
      </c>
      <c r="L440" s="49" t="str">
        <f>IF(B440="","",IF(ISNA(VLOOKUP(A440,LongJump!F$5:G$302,2,FALSE)),"",VLOOKUP(A440,LongJump!F$5:G$302,2,FALSE)))</f>
        <v/>
      </c>
      <c r="M440" s="49">
        <f>IF(B440="",0,IF(ISNA(_xlfn.XLOOKUP(A440,LongJump!F$5:F$302,LongJump!M$5:M$302)),0,_xlfn.XLOOKUP(A440,LongJump!F$5:F$302,LongJump!M$5:M$302)))</f>
        <v>0</v>
      </c>
      <c r="N440" s="49" t="str">
        <f>IF(B440="","",IF(ISNA(VLOOKUP(A440,LongJump!F$5:K$302,6,FALSE)),0,VLOOKUP(A440,LongJump!F$5:K$302,6,FALSE)))</f>
        <v/>
      </c>
      <c r="O440" s="49" t="str">
        <f>IF(B440="","",IF(ISNA(VLOOKUP(A440,Vortex!F$5:J$302,2,FALSE)),"",VLOOKUP(A440,Vortex!F$5:J$302,2,FALSE)))</f>
        <v/>
      </c>
      <c r="P440" s="49">
        <f>IF(B440="",0,IF(ISNA(_xlfn.XLOOKUP(A440,Vortex!F$5:F$302,Vortex!M$5:M$302)),0,_xlfn.XLOOKUP(A440,Vortex!F$5:F$302,Vortex!M$5:M$302)))</f>
        <v>0</v>
      </c>
      <c r="Q440" s="49">
        <f t="shared" si="32"/>
        <v>0</v>
      </c>
      <c r="R440" s="49" t="str">
        <f t="shared" si="33"/>
        <v/>
      </c>
      <c r="S440" s="49" t="str">
        <f t="shared" si="34"/>
        <v/>
      </c>
      <c r="T440" s="49" t="str">
        <f t="shared" si="35"/>
        <v/>
      </c>
      <c r="U440" s="49" t="str">
        <f t="shared" si="36"/>
        <v/>
      </c>
    </row>
    <row r="441" spans="1:21">
      <c r="A441" s="49" t="str">
        <f>IF(Declarations!B198=0,"",Declarations!B198)</f>
        <v/>
      </c>
      <c r="B441" s="150" t="str">
        <f>IF(ISNA(VLOOKUP(A441,Declarations!B$6:C$185,2,FALSE)),"",IF(VLOOKUP(A441,Declarations!B$6:C$185,2,FALSE)="","",VLOOKUP(A441,Declarations!B$6:C$185,2,FALSE)))</f>
        <v/>
      </c>
      <c r="C441" s="150" t="str">
        <f>IF(ISNA(VLOOKUP(A441,Declarations!B$6:F$185,5,FALSE)),"",IF(VLOOKUP(A441,Declarations!B$6:F$185,5,FALSE)="","",VLOOKUP(A441,Declarations!B$6:F$185,5,FALSE)))</f>
        <v/>
      </c>
      <c r="D441" s="150" t="str">
        <f>IF(ISNA(VLOOKUP(A441,Declarations!B$6:F$185,4,FALSE)),"",IF(VLOOKUP(A441,Declarations!B$6:F$185,4,FALSE)="","",VLOOKUP(A441,Declarations!B$6:F$185,4,FALSE)))</f>
        <v/>
      </c>
      <c r="E441" s="150" t="str">
        <f>IF(ISNA(VLOOKUP(A441,Declarations!B$6:D$185,3,FALSE)),"",IF(VLOOKUP(A441,Declarations!B$6:D$185,3,FALSE)="","",VLOOKUP(A441,Declarations!B$6:D$185,3,FALSE)))</f>
        <v/>
      </c>
      <c r="F441" s="49" t="str">
        <f>IF(B441="","",IF(ISNA(VLOOKUP(A441,'75m'!F$5:G$302,2,FALSE)),"",VLOOKUP(A441,'75m'!F$5:G$302,2,FALSE)))</f>
        <v/>
      </c>
      <c r="G441" s="49">
        <f>IF(B441="",0,IF(ISNA(_xlfn.XLOOKUP(A441,'75m'!F$5:F$302,'75m'!M$5:M$302)),0,_xlfn.XLOOKUP(A441,'75m'!F$5:F$302,'75m'!M$5:M$302)))</f>
        <v>0</v>
      </c>
      <c r="H441" s="49" t="str">
        <f>IF(B441="","",IF(ISNA(VLOOKUP(A441,'75m'!F$5:K$302,6,FALSE)),"",VLOOKUP(A441,'75m'!F$5:K$302,6,FALSE)))</f>
        <v/>
      </c>
      <c r="I441" s="51">
        <f>IF(B441="",0,IF(ISNA(VLOOKUP(A441,'600m'!F$5:J$302,2,FALSE)),0,VLOOKUP(A441,'600m'!F$5:J$302,2,FALSE)))</f>
        <v>0</v>
      </c>
      <c r="J441" s="49">
        <f>IF(B441="",0,IF(ISNA(_xlfn.XLOOKUP(A441,'600m'!F$5:F$302,'600m'!M$5:M$302)),0,_xlfn.XLOOKUP(A441,'600m'!F$5:F$302,'600m'!M$5:M$302)))</f>
        <v>0</v>
      </c>
      <c r="K441" s="49" t="str">
        <f>IF(B441="","",IF(ISNA(VLOOKUP(A441,'600m'!F$5:K$302,6,FALSE)),"",VLOOKUP(A441,'600m'!F$5:K$302,6,FALSE)))</f>
        <v/>
      </c>
      <c r="L441" s="49" t="str">
        <f>IF(B441="","",IF(ISNA(VLOOKUP(A441,LongJump!F$5:G$302,2,FALSE)),"",VLOOKUP(A441,LongJump!F$5:G$302,2,FALSE)))</f>
        <v/>
      </c>
      <c r="M441" s="49">
        <f>IF(B441="",0,IF(ISNA(_xlfn.XLOOKUP(A441,LongJump!F$5:F$302,LongJump!M$5:M$302)),0,_xlfn.XLOOKUP(A441,LongJump!F$5:F$302,LongJump!M$5:M$302)))</f>
        <v>0</v>
      </c>
      <c r="N441" s="49" t="str">
        <f>IF(B441="","",IF(ISNA(VLOOKUP(A441,LongJump!F$5:K$302,6,FALSE)),0,VLOOKUP(A441,LongJump!F$5:K$302,6,FALSE)))</f>
        <v/>
      </c>
      <c r="O441" s="49" t="str">
        <f>IF(B441="","",IF(ISNA(VLOOKUP(A441,Vortex!F$5:J$302,2,FALSE)),"",VLOOKUP(A441,Vortex!F$5:J$302,2,FALSE)))</f>
        <v/>
      </c>
      <c r="P441" s="49">
        <f>IF(B441="",0,IF(ISNA(_xlfn.XLOOKUP(A441,Vortex!F$5:F$302,Vortex!M$5:M$302)),0,_xlfn.XLOOKUP(A441,Vortex!F$5:F$302,Vortex!M$5:M$302)))</f>
        <v>0</v>
      </c>
      <c r="Q441" s="49">
        <f t="shared" si="32"/>
        <v>0</v>
      </c>
      <c r="R441" s="49" t="str">
        <f t="shared" si="33"/>
        <v/>
      </c>
      <c r="S441" s="49" t="str">
        <f t="shared" si="34"/>
        <v/>
      </c>
      <c r="T441" s="49" t="str">
        <f t="shared" si="35"/>
        <v/>
      </c>
      <c r="U441" s="49" t="str">
        <f t="shared" si="36"/>
        <v/>
      </c>
    </row>
    <row r="442" spans="1:21">
      <c r="A442" s="49" t="str">
        <f>IF(Declarations!B199=0,"",Declarations!B199)</f>
        <v/>
      </c>
      <c r="B442" s="150" t="str">
        <f>IF(ISNA(VLOOKUP(A442,Declarations!B$6:C$185,2,FALSE)),"",IF(VLOOKUP(A442,Declarations!B$6:C$185,2,FALSE)="","",VLOOKUP(A442,Declarations!B$6:C$185,2,FALSE)))</f>
        <v/>
      </c>
      <c r="C442" s="150" t="str">
        <f>IF(ISNA(VLOOKUP(A442,Declarations!B$6:F$185,5,FALSE)),"",IF(VLOOKUP(A442,Declarations!B$6:F$185,5,FALSE)="","",VLOOKUP(A442,Declarations!B$6:F$185,5,FALSE)))</f>
        <v/>
      </c>
      <c r="D442" s="150" t="str">
        <f>IF(ISNA(VLOOKUP(A442,Declarations!B$6:F$185,4,FALSE)),"",IF(VLOOKUP(A442,Declarations!B$6:F$185,4,FALSE)="","",VLOOKUP(A442,Declarations!B$6:F$185,4,FALSE)))</f>
        <v/>
      </c>
      <c r="E442" s="150" t="str">
        <f>IF(ISNA(VLOOKUP(A442,Declarations!B$6:D$185,3,FALSE)),"",IF(VLOOKUP(A442,Declarations!B$6:D$185,3,FALSE)="","",VLOOKUP(A442,Declarations!B$6:D$185,3,FALSE)))</f>
        <v/>
      </c>
      <c r="F442" s="49" t="str">
        <f>IF(B442="","",IF(ISNA(VLOOKUP(A442,'75m'!F$5:G$302,2,FALSE)),"",VLOOKUP(A442,'75m'!F$5:G$302,2,FALSE)))</f>
        <v/>
      </c>
      <c r="G442" s="49">
        <f>IF(B442="",0,IF(ISNA(_xlfn.XLOOKUP(A442,'75m'!F$5:F$302,'75m'!M$5:M$302)),0,_xlfn.XLOOKUP(A442,'75m'!F$5:F$302,'75m'!M$5:M$302)))</f>
        <v>0</v>
      </c>
      <c r="H442" s="49" t="str">
        <f>IF(B442="","",IF(ISNA(VLOOKUP(A442,'75m'!F$5:K$302,6,FALSE)),"",VLOOKUP(A442,'75m'!F$5:K$302,6,FALSE)))</f>
        <v/>
      </c>
      <c r="I442" s="51">
        <f>IF(B442="",0,IF(ISNA(VLOOKUP(A442,'600m'!F$5:J$302,2,FALSE)),0,VLOOKUP(A442,'600m'!F$5:J$302,2,FALSE)))</f>
        <v>0</v>
      </c>
      <c r="J442" s="49">
        <f>IF(B442="",0,IF(ISNA(_xlfn.XLOOKUP(A442,'600m'!F$5:F$302,'600m'!M$5:M$302)),0,_xlfn.XLOOKUP(A442,'600m'!F$5:F$302,'600m'!M$5:M$302)))</f>
        <v>0</v>
      </c>
      <c r="K442" s="49" t="str">
        <f>IF(B442="","",IF(ISNA(VLOOKUP(A442,'600m'!F$5:K$302,6,FALSE)),"",VLOOKUP(A442,'600m'!F$5:K$302,6,FALSE)))</f>
        <v/>
      </c>
      <c r="L442" s="49" t="str">
        <f>IF(B442="","",IF(ISNA(VLOOKUP(A442,LongJump!F$5:G$302,2,FALSE)),"",VLOOKUP(A442,LongJump!F$5:G$302,2,FALSE)))</f>
        <v/>
      </c>
      <c r="M442" s="49">
        <f>IF(B442="",0,IF(ISNA(_xlfn.XLOOKUP(A442,LongJump!F$5:F$302,LongJump!M$5:M$302)),0,_xlfn.XLOOKUP(A442,LongJump!F$5:F$302,LongJump!M$5:M$302)))</f>
        <v>0</v>
      </c>
      <c r="N442" s="49" t="str">
        <f>IF(B442="","",IF(ISNA(VLOOKUP(A442,LongJump!F$5:K$302,6,FALSE)),0,VLOOKUP(A442,LongJump!F$5:K$302,6,FALSE)))</f>
        <v/>
      </c>
      <c r="O442" s="49" t="str">
        <f>IF(B442="","",IF(ISNA(VLOOKUP(A442,Vortex!F$5:J$302,2,FALSE)),"",VLOOKUP(A442,Vortex!F$5:J$302,2,FALSE)))</f>
        <v/>
      </c>
      <c r="P442" s="49">
        <f>IF(B442="",0,IF(ISNA(_xlfn.XLOOKUP(A442,Vortex!F$5:F$302,Vortex!M$5:M$302)),0,_xlfn.XLOOKUP(A442,Vortex!F$5:F$302,Vortex!M$5:M$302)))</f>
        <v>0</v>
      </c>
      <c r="Q442" s="49">
        <f t="shared" ref="Q442:Q505" si="37">G442+J442+M442+P442</f>
        <v>0</v>
      </c>
      <c r="R442" s="49" t="str">
        <f t="shared" ref="R442:R505" si="38">IF(OR($Q442=0,$E442&lt;&gt;"U10"),"",COUNTIFS($C$249:$C$536, $C442, $D$249:$D$536, $D442, $E$249:$E$536, $E442, $Q$249:$Q$536,"&gt;"&amp;$Q442)+1)</f>
        <v/>
      </c>
      <c r="S442" s="49" t="str">
        <f t="shared" ref="S442:S505" si="39">IF(OR($Q442=0,$E442&lt;&gt;"U12"),"",COUNTIFS($C$249:$C$536, $C442, $D$249:$D$536, $D442, $E$249:$E$536, $E442, $Q$249:$Q$536,"&gt;"&amp;$Q442)+1)</f>
        <v/>
      </c>
      <c r="T442" s="49" t="str">
        <f t="shared" ref="T442:T505" si="40">IF(OR($Q442=0,$E442&lt;&gt;"U10"),"",COUNTIFS($D$249:$D$536, $D442,$E$249:$E$536,$E442,$Q$249:$Q$536,"&gt;"&amp;$Q442)+1)</f>
        <v/>
      </c>
      <c r="U442" s="49" t="str">
        <f t="shared" ref="U442:U505" si="41">IF(OR($Q442=0,$E442&lt;&gt;"U12"),"",COUNTIFS($D$249:$D$536, $D442,$E$249:$E$536,$E442,$Q$249:$Q$536,"&gt;"&amp;$Q442)+1)</f>
        <v/>
      </c>
    </row>
    <row r="443" spans="1:21">
      <c r="A443" s="49" t="str">
        <f>IF(Declarations!B200=0,"",Declarations!B200)</f>
        <v/>
      </c>
      <c r="B443" s="150" t="str">
        <f>IF(ISNA(VLOOKUP(A443,Declarations!B$6:C$185,2,FALSE)),"",IF(VLOOKUP(A443,Declarations!B$6:C$185,2,FALSE)="","",VLOOKUP(A443,Declarations!B$6:C$185,2,FALSE)))</f>
        <v/>
      </c>
      <c r="C443" s="150" t="str">
        <f>IF(ISNA(VLOOKUP(A443,Declarations!B$6:F$185,5,FALSE)),"",IF(VLOOKUP(A443,Declarations!B$6:F$185,5,FALSE)="","",VLOOKUP(A443,Declarations!B$6:F$185,5,FALSE)))</f>
        <v/>
      </c>
      <c r="D443" s="150" t="str">
        <f>IF(ISNA(VLOOKUP(A443,Declarations!B$6:F$185,4,FALSE)),"",IF(VLOOKUP(A443,Declarations!B$6:F$185,4,FALSE)="","",VLOOKUP(A443,Declarations!B$6:F$185,4,FALSE)))</f>
        <v/>
      </c>
      <c r="E443" s="150" t="str">
        <f>IF(ISNA(VLOOKUP(A443,Declarations!B$6:D$185,3,FALSE)),"",IF(VLOOKUP(A443,Declarations!B$6:D$185,3,FALSE)="","",VLOOKUP(A443,Declarations!B$6:D$185,3,FALSE)))</f>
        <v/>
      </c>
      <c r="F443" s="49" t="str">
        <f>IF(B443="","",IF(ISNA(VLOOKUP(A443,'75m'!F$5:G$302,2,FALSE)),"",VLOOKUP(A443,'75m'!F$5:G$302,2,FALSE)))</f>
        <v/>
      </c>
      <c r="G443" s="49">
        <f>IF(B443="",0,IF(ISNA(_xlfn.XLOOKUP(A443,'75m'!F$5:F$302,'75m'!M$5:M$302)),0,_xlfn.XLOOKUP(A443,'75m'!F$5:F$302,'75m'!M$5:M$302)))</f>
        <v>0</v>
      </c>
      <c r="H443" s="49" t="str">
        <f>IF(B443="","",IF(ISNA(VLOOKUP(A443,'75m'!F$5:K$302,6,FALSE)),"",VLOOKUP(A443,'75m'!F$5:K$302,6,FALSE)))</f>
        <v/>
      </c>
      <c r="I443" s="51">
        <f>IF(B443="",0,IF(ISNA(VLOOKUP(A443,'600m'!F$5:J$302,2,FALSE)),0,VLOOKUP(A443,'600m'!F$5:J$302,2,FALSE)))</f>
        <v>0</v>
      </c>
      <c r="J443" s="49">
        <f>IF(B443="",0,IF(ISNA(_xlfn.XLOOKUP(A443,'600m'!F$5:F$302,'600m'!M$5:M$302)),0,_xlfn.XLOOKUP(A443,'600m'!F$5:F$302,'600m'!M$5:M$302)))</f>
        <v>0</v>
      </c>
      <c r="K443" s="49" t="str">
        <f>IF(B443="","",IF(ISNA(VLOOKUP(A443,'600m'!F$5:K$302,6,FALSE)),"",VLOOKUP(A443,'600m'!F$5:K$302,6,FALSE)))</f>
        <v/>
      </c>
      <c r="L443" s="49" t="str">
        <f>IF(B443="","",IF(ISNA(VLOOKUP(A443,LongJump!F$5:G$302,2,FALSE)),"",VLOOKUP(A443,LongJump!F$5:G$302,2,FALSE)))</f>
        <v/>
      </c>
      <c r="M443" s="49">
        <f>IF(B443="",0,IF(ISNA(_xlfn.XLOOKUP(A443,LongJump!F$5:F$302,LongJump!M$5:M$302)),0,_xlfn.XLOOKUP(A443,LongJump!F$5:F$302,LongJump!M$5:M$302)))</f>
        <v>0</v>
      </c>
      <c r="N443" s="49" t="str">
        <f>IF(B443="","",IF(ISNA(VLOOKUP(A443,LongJump!F$5:K$302,6,FALSE)),0,VLOOKUP(A443,LongJump!F$5:K$302,6,FALSE)))</f>
        <v/>
      </c>
      <c r="O443" s="49" t="str">
        <f>IF(B443="","",IF(ISNA(VLOOKUP(A443,Vortex!F$5:J$302,2,FALSE)),"",VLOOKUP(A443,Vortex!F$5:J$302,2,FALSE)))</f>
        <v/>
      </c>
      <c r="P443" s="49">
        <f>IF(B443="",0,IF(ISNA(_xlfn.XLOOKUP(A443,Vortex!F$5:F$302,Vortex!M$5:M$302)),0,_xlfn.XLOOKUP(A443,Vortex!F$5:F$302,Vortex!M$5:M$302)))</f>
        <v>0</v>
      </c>
      <c r="Q443" s="49">
        <f t="shared" si="37"/>
        <v>0</v>
      </c>
      <c r="R443" s="49" t="str">
        <f t="shared" si="38"/>
        <v/>
      </c>
      <c r="S443" s="49" t="str">
        <f t="shared" si="39"/>
        <v/>
      </c>
      <c r="T443" s="49" t="str">
        <f t="shared" si="40"/>
        <v/>
      </c>
      <c r="U443" s="49" t="str">
        <f t="shared" si="41"/>
        <v/>
      </c>
    </row>
    <row r="444" spans="1:21">
      <c r="A444" s="49" t="str">
        <f>IF(Declarations!B201=0,"",Declarations!B201)</f>
        <v/>
      </c>
      <c r="B444" s="150" t="str">
        <f>IF(ISNA(VLOOKUP(A444,Declarations!B$6:C$185,2,FALSE)),"",IF(VLOOKUP(A444,Declarations!B$6:C$185,2,FALSE)="","",VLOOKUP(A444,Declarations!B$6:C$185,2,FALSE)))</f>
        <v/>
      </c>
      <c r="C444" s="150" t="str">
        <f>IF(ISNA(VLOOKUP(A444,Declarations!B$6:F$185,5,FALSE)),"",IF(VLOOKUP(A444,Declarations!B$6:F$185,5,FALSE)="","",VLOOKUP(A444,Declarations!B$6:F$185,5,FALSE)))</f>
        <v/>
      </c>
      <c r="D444" s="150" t="str">
        <f>IF(ISNA(VLOOKUP(A444,Declarations!B$6:F$185,4,FALSE)),"",IF(VLOOKUP(A444,Declarations!B$6:F$185,4,FALSE)="","",VLOOKUP(A444,Declarations!B$6:F$185,4,FALSE)))</f>
        <v/>
      </c>
      <c r="E444" s="150" t="str">
        <f>IF(ISNA(VLOOKUP(A444,Declarations!B$6:D$185,3,FALSE)),"",IF(VLOOKUP(A444,Declarations!B$6:D$185,3,FALSE)="","",VLOOKUP(A444,Declarations!B$6:D$185,3,FALSE)))</f>
        <v/>
      </c>
      <c r="F444" s="49" t="str">
        <f>IF(B444="","",IF(ISNA(VLOOKUP(A444,'75m'!F$5:G$302,2,FALSE)),"",VLOOKUP(A444,'75m'!F$5:G$302,2,FALSE)))</f>
        <v/>
      </c>
      <c r="G444" s="49">
        <f>IF(B444="",0,IF(ISNA(_xlfn.XLOOKUP(A444,'75m'!F$5:F$302,'75m'!M$5:M$302)),0,_xlfn.XLOOKUP(A444,'75m'!F$5:F$302,'75m'!M$5:M$302)))</f>
        <v>0</v>
      </c>
      <c r="H444" s="49" t="str">
        <f>IF(B444="","",IF(ISNA(VLOOKUP(A444,'75m'!F$5:K$302,6,FALSE)),"",VLOOKUP(A444,'75m'!F$5:K$302,6,FALSE)))</f>
        <v/>
      </c>
      <c r="I444" s="51">
        <f>IF(B444="",0,IF(ISNA(VLOOKUP(A444,'600m'!F$5:J$302,2,FALSE)),0,VLOOKUP(A444,'600m'!F$5:J$302,2,FALSE)))</f>
        <v>0</v>
      </c>
      <c r="J444" s="49">
        <f>IF(B444="",0,IF(ISNA(_xlfn.XLOOKUP(A444,'600m'!F$5:F$302,'600m'!M$5:M$302)),0,_xlfn.XLOOKUP(A444,'600m'!F$5:F$302,'600m'!M$5:M$302)))</f>
        <v>0</v>
      </c>
      <c r="K444" s="49" t="str">
        <f>IF(B444="","",IF(ISNA(VLOOKUP(A444,'600m'!F$5:K$302,6,FALSE)),"",VLOOKUP(A444,'600m'!F$5:K$302,6,FALSE)))</f>
        <v/>
      </c>
      <c r="L444" s="49" t="str">
        <f>IF(B444="","",IF(ISNA(VLOOKUP(A444,LongJump!F$5:G$302,2,FALSE)),"",VLOOKUP(A444,LongJump!F$5:G$302,2,FALSE)))</f>
        <v/>
      </c>
      <c r="M444" s="49">
        <f>IF(B444="",0,IF(ISNA(_xlfn.XLOOKUP(A444,LongJump!F$5:F$302,LongJump!M$5:M$302)),0,_xlfn.XLOOKUP(A444,LongJump!F$5:F$302,LongJump!M$5:M$302)))</f>
        <v>0</v>
      </c>
      <c r="N444" s="49" t="str">
        <f>IF(B444="","",IF(ISNA(VLOOKUP(A444,LongJump!F$5:K$302,6,FALSE)),0,VLOOKUP(A444,LongJump!F$5:K$302,6,FALSE)))</f>
        <v/>
      </c>
      <c r="O444" s="49" t="str">
        <f>IF(B444="","",IF(ISNA(VLOOKUP(A444,Vortex!F$5:J$302,2,FALSE)),"",VLOOKUP(A444,Vortex!F$5:J$302,2,FALSE)))</f>
        <v/>
      </c>
      <c r="P444" s="49">
        <f>IF(B444="",0,IF(ISNA(_xlfn.XLOOKUP(A444,Vortex!F$5:F$302,Vortex!M$5:M$302)),0,_xlfn.XLOOKUP(A444,Vortex!F$5:F$302,Vortex!M$5:M$302)))</f>
        <v>0</v>
      </c>
      <c r="Q444" s="49">
        <f t="shared" si="37"/>
        <v>0</v>
      </c>
      <c r="R444" s="49" t="str">
        <f t="shared" si="38"/>
        <v/>
      </c>
      <c r="S444" s="49" t="str">
        <f t="shared" si="39"/>
        <v/>
      </c>
      <c r="T444" s="49" t="str">
        <f t="shared" si="40"/>
        <v/>
      </c>
      <c r="U444" s="49" t="str">
        <f t="shared" si="41"/>
        <v/>
      </c>
    </row>
    <row r="445" spans="1:21">
      <c r="A445" s="49" t="str">
        <f>IF(Declarations!B202=0,"",Declarations!B202)</f>
        <v/>
      </c>
      <c r="B445" s="150" t="str">
        <f>IF(ISNA(VLOOKUP(A445,Declarations!B$6:C$185,2,FALSE)),"",IF(VLOOKUP(A445,Declarations!B$6:C$185,2,FALSE)="","",VLOOKUP(A445,Declarations!B$6:C$185,2,FALSE)))</f>
        <v/>
      </c>
      <c r="C445" s="150" t="str">
        <f>IF(ISNA(VLOOKUP(A445,Declarations!B$6:F$185,5,FALSE)),"",IF(VLOOKUP(A445,Declarations!B$6:F$185,5,FALSE)="","",VLOOKUP(A445,Declarations!B$6:F$185,5,FALSE)))</f>
        <v/>
      </c>
      <c r="D445" s="150" t="str">
        <f>IF(ISNA(VLOOKUP(A445,Declarations!B$6:F$185,4,FALSE)),"",IF(VLOOKUP(A445,Declarations!B$6:F$185,4,FALSE)="","",VLOOKUP(A445,Declarations!B$6:F$185,4,FALSE)))</f>
        <v/>
      </c>
      <c r="E445" s="150" t="str">
        <f>IF(ISNA(VLOOKUP(A445,Declarations!B$6:D$185,3,FALSE)),"",IF(VLOOKUP(A445,Declarations!B$6:D$185,3,FALSE)="","",VLOOKUP(A445,Declarations!B$6:D$185,3,FALSE)))</f>
        <v/>
      </c>
      <c r="F445" s="49" t="str">
        <f>IF(B445="","",IF(ISNA(VLOOKUP(A445,'75m'!F$5:G$302,2,FALSE)),"",VLOOKUP(A445,'75m'!F$5:G$302,2,FALSE)))</f>
        <v/>
      </c>
      <c r="G445" s="49">
        <f>IF(B445="",0,IF(ISNA(_xlfn.XLOOKUP(A445,'75m'!F$5:F$302,'75m'!M$5:M$302)),0,_xlfn.XLOOKUP(A445,'75m'!F$5:F$302,'75m'!M$5:M$302)))</f>
        <v>0</v>
      </c>
      <c r="H445" s="49" t="str">
        <f>IF(B445="","",IF(ISNA(VLOOKUP(A445,'75m'!F$5:K$302,6,FALSE)),"",VLOOKUP(A445,'75m'!F$5:K$302,6,FALSE)))</f>
        <v/>
      </c>
      <c r="I445" s="51">
        <f>IF(B445="",0,IF(ISNA(VLOOKUP(A445,'600m'!F$5:J$302,2,FALSE)),0,VLOOKUP(A445,'600m'!F$5:J$302,2,FALSE)))</f>
        <v>0</v>
      </c>
      <c r="J445" s="49">
        <f>IF(B445="",0,IF(ISNA(_xlfn.XLOOKUP(A445,'600m'!F$5:F$302,'600m'!M$5:M$302)),0,_xlfn.XLOOKUP(A445,'600m'!F$5:F$302,'600m'!M$5:M$302)))</f>
        <v>0</v>
      </c>
      <c r="K445" s="49" t="str">
        <f>IF(B445="","",IF(ISNA(VLOOKUP(A445,'600m'!F$5:K$302,6,FALSE)),"",VLOOKUP(A445,'600m'!F$5:K$302,6,FALSE)))</f>
        <v/>
      </c>
      <c r="L445" s="49" t="str">
        <f>IF(B445="","",IF(ISNA(VLOOKUP(A445,LongJump!F$5:G$302,2,FALSE)),"",VLOOKUP(A445,LongJump!F$5:G$302,2,FALSE)))</f>
        <v/>
      </c>
      <c r="M445" s="49">
        <f>IF(B445="",0,IF(ISNA(_xlfn.XLOOKUP(A445,LongJump!F$5:F$302,LongJump!M$5:M$302)),0,_xlfn.XLOOKUP(A445,LongJump!F$5:F$302,LongJump!M$5:M$302)))</f>
        <v>0</v>
      </c>
      <c r="N445" s="49" t="str">
        <f>IF(B445="","",IF(ISNA(VLOOKUP(A445,LongJump!F$5:K$302,6,FALSE)),0,VLOOKUP(A445,LongJump!F$5:K$302,6,FALSE)))</f>
        <v/>
      </c>
      <c r="O445" s="49" t="str">
        <f>IF(B445="","",IF(ISNA(VLOOKUP(A445,Vortex!F$5:J$302,2,FALSE)),"",VLOOKUP(A445,Vortex!F$5:J$302,2,FALSE)))</f>
        <v/>
      </c>
      <c r="P445" s="49">
        <f>IF(B445="",0,IF(ISNA(_xlfn.XLOOKUP(A445,Vortex!F$5:F$302,Vortex!M$5:M$302)),0,_xlfn.XLOOKUP(A445,Vortex!F$5:F$302,Vortex!M$5:M$302)))</f>
        <v>0</v>
      </c>
      <c r="Q445" s="49">
        <f t="shared" si="37"/>
        <v>0</v>
      </c>
      <c r="R445" s="49" t="str">
        <f t="shared" si="38"/>
        <v/>
      </c>
      <c r="S445" s="49" t="str">
        <f t="shared" si="39"/>
        <v/>
      </c>
      <c r="T445" s="49" t="str">
        <f t="shared" si="40"/>
        <v/>
      </c>
      <c r="U445" s="49" t="str">
        <f t="shared" si="41"/>
        <v/>
      </c>
    </row>
    <row r="446" spans="1:21">
      <c r="A446" s="49" t="str">
        <f>IF(Declarations!B203=0,"",Declarations!B203)</f>
        <v/>
      </c>
      <c r="B446" s="150" t="str">
        <f>IF(ISNA(VLOOKUP(A446,Declarations!B$6:C$185,2,FALSE)),"",IF(VLOOKUP(A446,Declarations!B$6:C$185,2,FALSE)="","",VLOOKUP(A446,Declarations!B$6:C$185,2,FALSE)))</f>
        <v/>
      </c>
      <c r="C446" s="150" t="str">
        <f>IF(ISNA(VLOOKUP(A446,Declarations!B$6:F$185,5,FALSE)),"",IF(VLOOKUP(A446,Declarations!B$6:F$185,5,FALSE)="","",VLOOKUP(A446,Declarations!B$6:F$185,5,FALSE)))</f>
        <v/>
      </c>
      <c r="D446" s="150" t="str">
        <f>IF(ISNA(VLOOKUP(A446,Declarations!B$6:F$185,4,FALSE)),"",IF(VLOOKUP(A446,Declarations!B$6:F$185,4,FALSE)="","",VLOOKUP(A446,Declarations!B$6:F$185,4,FALSE)))</f>
        <v/>
      </c>
      <c r="E446" s="150" t="str">
        <f>IF(ISNA(VLOOKUP(A446,Declarations!B$6:D$185,3,FALSE)),"",IF(VLOOKUP(A446,Declarations!B$6:D$185,3,FALSE)="","",VLOOKUP(A446,Declarations!B$6:D$185,3,FALSE)))</f>
        <v/>
      </c>
      <c r="F446" s="49" t="str">
        <f>IF(B446="","",IF(ISNA(VLOOKUP(A446,'75m'!F$5:G$302,2,FALSE)),"",VLOOKUP(A446,'75m'!F$5:G$302,2,FALSE)))</f>
        <v/>
      </c>
      <c r="G446" s="49">
        <f>IF(B446="",0,IF(ISNA(_xlfn.XLOOKUP(A446,'75m'!F$5:F$302,'75m'!M$5:M$302)),0,_xlfn.XLOOKUP(A446,'75m'!F$5:F$302,'75m'!M$5:M$302)))</f>
        <v>0</v>
      </c>
      <c r="H446" s="49" t="str">
        <f>IF(B446="","",IF(ISNA(VLOOKUP(A446,'75m'!F$5:K$302,6,FALSE)),"",VLOOKUP(A446,'75m'!F$5:K$302,6,FALSE)))</f>
        <v/>
      </c>
      <c r="I446" s="51">
        <f>IF(B446="",0,IF(ISNA(VLOOKUP(A446,'600m'!F$5:J$302,2,FALSE)),0,VLOOKUP(A446,'600m'!F$5:J$302,2,FALSE)))</f>
        <v>0</v>
      </c>
      <c r="J446" s="49">
        <f>IF(B446="",0,IF(ISNA(_xlfn.XLOOKUP(A446,'600m'!F$5:F$302,'600m'!M$5:M$302)),0,_xlfn.XLOOKUP(A446,'600m'!F$5:F$302,'600m'!M$5:M$302)))</f>
        <v>0</v>
      </c>
      <c r="K446" s="49" t="str">
        <f>IF(B446="","",IF(ISNA(VLOOKUP(A446,'600m'!F$5:K$302,6,FALSE)),"",VLOOKUP(A446,'600m'!F$5:K$302,6,FALSE)))</f>
        <v/>
      </c>
      <c r="L446" s="49" t="str">
        <f>IF(B446="","",IF(ISNA(VLOOKUP(A446,LongJump!F$5:G$302,2,FALSE)),"",VLOOKUP(A446,LongJump!F$5:G$302,2,FALSE)))</f>
        <v/>
      </c>
      <c r="M446" s="49">
        <f>IF(B446="",0,IF(ISNA(_xlfn.XLOOKUP(A446,LongJump!F$5:F$302,LongJump!M$5:M$302)),0,_xlfn.XLOOKUP(A446,LongJump!F$5:F$302,LongJump!M$5:M$302)))</f>
        <v>0</v>
      </c>
      <c r="N446" s="49" t="str">
        <f>IF(B446="","",IF(ISNA(VLOOKUP(A446,LongJump!F$5:K$302,6,FALSE)),0,VLOOKUP(A446,LongJump!F$5:K$302,6,FALSE)))</f>
        <v/>
      </c>
      <c r="O446" s="49" t="str">
        <f>IF(B446="","",IF(ISNA(VLOOKUP(A446,Vortex!F$5:J$302,2,FALSE)),"",VLOOKUP(A446,Vortex!F$5:J$302,2,FALSE)))</f>
        <v/>
      </c>
      <c r="P446" s="49">
        <f>IF(B446="",0,IF(ISNA(_xlfn.XLOOKUP(A446,Vortex!F$5:F$302,Vortex!M$5:M$302)),0,_xlfn.XLOOKUP(A446,Vortex!F$5:F$302,Vortex!M$5:M$302)))</f>
        <v>0</v>
      </c>
      <c r="Q446" s="49">
        <f t="shared" si="37"/>
        <v>0</v>
      </c>
      <c r="R446" s="49" t="str">
        <f t="shared" si="38"/>
        <v/>
      </c>
      <c r="S446" s="49" t="str">
        <f t="shared" si="39"/>
        <v/>
      </c>
      <c r="T446" s="49" t="str">
        <f t="shared" si="40"/>
        <v/>
      </c>
      <c r="U446" s="49" t="str">
        <f t="shared" si="41"/>
        <v/>
      </c>
    </row>
    <row r="447" spans="1:21">
      <c r="A447" s="49" t="str">
        <f>IF(Declarations!B204=0,"",Declarations!B204)</f>
        <v/>
      </c>
      <c r="B447" s="150" t="str">
        <f>IF(ISNA(VLOOKUP(A447,Declarations!B$6:C$185,2,FALSE)),"",IF(VLOOKUP(A447,Declarations!B$6:C$185,2,FALSE)="","",VLOOKUP(A447,Declarations!B$6:C$185,2,FALSE)))</f>
        <v/>
      </c>
      <c r="C447" s="150" t="str">
        <f>IF(ISNA(VLOOKUP(A447,Declarations!B$6:F$185,5,FALSE)),"",IF(VLOOKUP(A447,Declarations!B$6:F$185,5,FALSE)="","",VLOOKUP(A447,Declarations!B$6:F$185,5,FALSE)))</f>
        <v/>
      </c>
      <c r="D447" s="150" t="str">
        <f>IF(ISNA(VLOOKUP(A447,Declarations!B$6:F$185,4,FALSE)),"",IF(VLOOKUP(A447,Declarations!B$6:F$185,4,FALSE)="","",VLOOKUP(A447,Declarations!B$6:F$185,4,FALSE)))</f>
        <v/>
      </c>
      <c r="E447" s="150" t="str">
        <f>IF(ISNA(VLOOKUP(A447,Declarations!B$6:D$185,3,FALSE)),"",IF(VLOOKUP(A447,Declarations!B$6:D$185,3,FALSE)="","",VLOOKUP(A447,Declarations!B$6:D$185,3,FALSE)))</f>
        <v/>
      </c>
      <c r="F447" s="49" t="str">
        <f>IF(B447="","",IF(ISNA(VLOOKUP(A447,'75m'!F$5:G$302,2,FALSE)),"",VLOOKUP(A447,'75m'!F$5:G$302,2,FALSE)))</f>
        <v/>
      </c>
      <c r="G447" s="49">
        <f>IF(B447="",0,IF(ISNA(_xlfn.XLOOKUP(A447,'75m'!F$5:F$302,'75m'!M$5:M$302)),0,_xlfn.XLOOKUP(A447,'75m'!F$5:F$302,'75m'!M$5:M$302)))</f>
        <v>0</v>
      </c>
      <c r="H447" s="49" t="str">
        <f>IF(B447="","",IF(ISNA(VLOOKUP(A447,'75m'!F$5:K$302,6,FALSE)),"",VLOOKUP(A447,'75m'!F$5:K$302,6,FALSE)))</f>
        <v/>
      </c>
      <c r="I447" s="51">
        <f>IF(B447="",0,IF(ISNA(VLOOKUP(A447,'600m'!F$5:J$302,2,FALSE)),0,VLOOKUP(A447,'600m'!F$5:J$302,2,FALSE)))</f>
        <v>0</v>
      </c>
      <c r="J447" s="49">
        <f>IF(B447="",0,IF(ISNA(_xlfn.XLOOKUP(A447,'600m'!F$5:F$302,'600m'!M$5:M$302)),0,_xlfn.XLOOKUP(A447,'600m'!F$5:F$302,'600m'!M$5:M$302)))</f>
        <v>0</v>
      </c>
      <c r="K447" s="49" t="str">
        <f>IF(B447="","",IF(ISNA(VLOOKUP(A447,'600m'!F$5:K$302,6,FALSE)),"",VLOOKUP(A447,'600m'!F$5:K$302,6,FALSE)))</f>
        <v/>
      </c>
      <c r="L447" s="49" t="str">
        <f>IF(B447="","",IF(ISNA(VLOOKUP(A447,LongJump!F$5:G$302,2,FALSE)),"",VLOOKUP(A447,LongJump!F$5:G$302,2,FALSE)))</f>
        <v/>
      </c>
      <c r="M447" s="49">
        <f>IF(B447="",0,IF(ISNA(_xlfn.XLOOKUP(A447,LongJump!F$5:F$302,LongJump!M$5:M$302)),0,_xlfn.XLOOKUP(A447,LongJump!F$5:F$302,LongJump!M$5:M$302)))</f>
        <v>0</v>
      </c>
      <c r="N447" s="49" t="str">
        <f>IF(B447="","",IF(ISNA(VLOOKUP(A447,LongJump!F$5:K$302,6,FALSE)),0,VLOOKUP(A447,LongJump!F$5:K$302,6,FALSE)))</f>
        <v/>
      </c>
      <c r="O447" s="49" t="str">
        <f>IF(B447="","",IF(ISNA(VLOOKUP(A447,Vortex!F$5:J$302,2,FALSE)),"",VLOOKUP(A447,Vortex!F$5:J$302,2,FALSE)))</f>
        <v/>
      </c>
      <c r="P447" s="49">
        <f>IF(B447="",0,IF(ISNA(_xlfn.XLOOKUP(A447,Vortex!F$5:F$302,Vortex!M$5:M$302)),0,_xlfn.XLOOKUP(A447,Vortex!F$5:F$302,Vortex!M$5:M$302)))</f>
        <v>0</v>
      </c>
      <c r="Q447" s="49">
        <f t="shared" si="37"/>
        <v>0</v>
      </c>
      <c r="R447" s="49" t="str">
        <f t="shared" si="38"/>
        <v/>
      </c>
      <c r="S447" s="49" t="str">
        <f t="shared" si="39"/>
        <v/>
      </c>
      <c r="T447" s="49" t="str">
        <f t="shared" si="40"/>
        <v/>
      </c>
      <c r="U447" s="49" t="str">
        <f t="shared" si="41"/>
        <v/>
      </c>
    </row>
    <row r="448" spans="1:21">
      <c r="A448" s="49" t="str">
        <f>IF(Declarations!B205=0,"",Declarations!B205)</f>
        <v/>
      </c>
      <c r="B448" s="150" t="str">
        <f>IF(ISNA(VLOOKUP(A448,Declarations!B$6:C$185,2,FALSE)),"",IF(VLOOKUP(A448,Declarations!B$6:C$185,2,FALSE)="","",VLOOKUP(A448,Declarations!B$6:C$185,2,FALSE)))</f>
        <v/>
      </c>
      <c r="C448" s="150" t="str">
        <f>IF(ISNA(VLOOKUP(A448,Declarations!B$6:F$185,5,FALSE)),"",IF(VLOOKUP(A448,Declarations!B$6:F$185,5,FALSE)="","",VLOOKUP(A448,Declarations!B$6:F$185,5,FALSE)))</f>
        <v/>
      </c>
      <c r="D448" s="150" t="str">
        <f>IF(ISNA(VLOOKUP(A448,Declarations!B$6:F$185,4,FALSE)),"",IF(VLOOKUP(A448,Declarations!B$6:F$185,4,FALSE)="","",VLOOKUP(A448,Declarations!B$6:F$185,4,FALSE)))</f>
        <v/>
      </c>
      <c r="E448" s="150" t="str">
        <f>IF(ISNA(VLOOKUP(A448,Declarations!B$6:D$185,3,FALSE)),"",IF(VLOOKUP(A448,Declarations!B$6:D$185,3,FALSE)="","",VLOOKUP(A448,Declarations!B$6:D$185,3,FALSE)))</f>
        <v/>
      </c>
      <c r="F448" s="49" t="str">
        <f>IF(B448="","",IF(ISNA(VLOOKUP(A448,'75m'!F$5:G$302,2,FALSE)),"",VLOOKUP(A448,'75m'!F$5:G$302,2,FALSE)))</f>
        <v/>
      </c>
      <c r="G448" s="49">
        <f>IF(B448="",0,IF(ISNA(_xlfn.XLOOKUP(A448,'75m'!F$5:F$302,'75m'!M$5:M$302)),0,_xlfn.XLOOKUP(A448,'75m'!F$5:F$302,'75m'!M$5:M$302)))</f>
        <v>0</v>
      </c>
      <c r="H448" s="49" t="str">
        <f>IF(B448="","",IF(ISNA(VLOOKUP(A448,'75m'!F$5:K$302,6,FALSE)),"",VLOOKUP(A448,'75m'!F$5:K$302,6,FALSE)))</f>
        <v/>
      </c>
      <c r="I448" s="51">
        <f>IF(B448="",0,IF(ISNA(VLOOKUP(A448,'600m'!F$5:J$302,2,FALSE)),0,VLOOKUP(A448,'600m'!F$5:J$302,2,FALSE)))</f>
        <v>0</v>
      </c>
      <c r="J448" s="49">
        <f>IF(B448="",0,IF(ISNA(_xlfn.XLOOKUP(A448,'600m'!F$5:F$302,'600m'!M$5:M$302)),0,_xlfn.XLOOKUP(A448,'600m'!F$5:F$302,'600m'!M$5:M$302)))</f>
        <v>0</v>
      </c>
      <c r="K448" s="49" t="str">
        <f>IF(B448="","",IF(ISNA(VLOOKUP(A448,'600m'!F$5:K$302,6,FALSE)),"",VLOOKUP(A448,'600m'!F$5:K$302,6,FALSE)))</f>
        <v/>
      </c>
      <c r="L448" s="49" t="str">
        <f>IF(B448="","",IF(ISNA(VLOOKUP(A448,LongJump!F$5:G$302,2,FALSE)),"",VLOOKUP(A448,LongJump!F$5:G$302,2,FALSE)))</f>
        <v/>
      </c>
      <c r="M448" s="49">
        <f>IF(B448="",0,IF(ISNA(_xlfn.XLOOKUP(A448,LongJump!F$5:F$302,LongJump!M$5:M$302)),0,_xlfn.XLOOKUP(A448,LongJump!F$5:F$302,LongJump!M$5:M$302)))</f>
        <v>0</v>
      </c>
      <c r="N448" s="49" t="str">
        <f>IF(B448="","",IF(ISNA(VLOOKUP(A448,LongJump!F$5:K$302,6,FALSE)),0,VLOOKUP(A448,LongJump!F$5:K$302,6,FALSE)))</f>
        <v/>
      </c>
      <c r="O448" s="49" t="str">
        <f>IF(B448="","",IF(ISNA(VLOOKUP(A448,Vortex!F$5:J$302,2,FALSE)),"",VLOOKUP(A448,Vortex!F$5:J$302,2,FALSE)))</f>
        <v/>
      </c>
      <c r="P448" s="49">
        <f>IF(B448="",0,IF(ISNA(_xlfn.XLOOKUP(A448,Vortex!F$5:F$302,Vortex!M$5:M$302)),0,_xlfn.XLOOKUP(A448,Vortex!F$5:F$302,Vortex!M$5:M$302)))</f>
        <v>0</v>
      </c>
      <c r="Q448" s="49">
        <f t="shared" si="37"/>
        <v>0</v>
      </c>
      <c r="R448" s="49" t="str">
        <f t="shared" si="38"/>
        <v/>
      </c>
      <c r="S448" s="49" t="str">
        <f t="shared" si="39"/>
        <v/>
      </c>
      <c r="T448" s="49" t="str">
        <f t="shared" si="40"/>
        <v/>
      </c>
      <c r="U448" s="49" t="str">
        <f t="shared" si="41"/>
        <v/>
      </c>
    </row>
    <row r="449" spans="1:21">
      <c r="A449" s="49" t="str">
        <f>IF(Declarations!B206=0,"",Declarations!B206)</f>
        <v/>
      </c>
      <c r="B449" s="150" t="str">
        <f>IF(ISNA(VLOOKUP(A449,Declarations!B$6:C$185,2,FALSE)),"",IF(VLOOKUP(A449,Declarations!B$6:C$185,2,FALSE)="","",VLOOKUP(A449,Declarations!B$6:C$185,2,FALSE)))</f>
        <v/>
      </c>
      <c r="C449" s="150" t="str">
        <f>IF(ISNA(VLOOKUP(A449,Declarations!B$6:F$185,5,FALSE)),"",IF(VLOOKUP(A449,Declarations!B$6:F$185,5,FALSE)="","",VLOOKUP(A449,Declarations!B$6:F$185,5,FALSE)))</f>
        <v/>
      </c>
      <c r="D449" s="150" t="str">
        <f>IF(ISNA(VLOOKUP(A449,Declarations!B$6:F$185,4,FALSE)),"",IF(VLOOKUP(A449,Declarations!B$6:F$185,4,FALSE)="","",VLOOKUP(A449,Declarations!B$6:F$185,4,FALSE)))</f>
        <v/>
      </c>
      <c r="E449" s="150" t="str">
        <f>IF(ISNA(VLOOKUP(A449,Declarations!B$6:D$185,3,FALSE)),"",IF(VLOOKUP(A449,Declarations!B$6:D$185,3,FALSE)="","",VLOOKUP(A449,Declarations!B$6:D$185,3,FALSE)))</f>
        <v/>
      </c>
      <c r="F449" s="49" t="str">
        <f>IF(B449="","",IF(ISNA(VLOOKUP(A449,'75m'!F$5:G$302,2,FALSE)),"",VLOOKUP(A449,'75m'!F$5:G$302,2,FALSE)))</f>
        <v/>
      </c>
      <c r="G449" s="49">
        <f>IF(B449="",0,IF(ISNA(_xlfn.XLOOKUP(A449,'75m'!F$5:F$302,'75m'!M$5:M$302)),0,_xlfn.XLOOKUP(A449,'75m'!F$5:F$302,'75m'!M$5:M$302)))</f>
        <v>0</v>
      </c>
      <c r="H449" s="49" t="str">
        <f>IF(B449="","",IF(ISNA(VLOOKUP(A449,'75m'!F$5:K$302,6,FALSE)),"",VLOOKUP(A449,'75m'!F$5:K$302,6,FALSE)))</f>
        <v/>
      </c>
      <c r="I449" s="51">
        <f>IF(B449="",0,IF(ISNA(VLOOKUP(A449,'600m'!F$5:J$302,2,FALSE)),0,VLOOKUP(A449,'600m'!F$5:J$302,2,FALSE)))</f>
        <v>0</v>
      </c>
      <c r="J449" s="49">
        <f>IF(B449="",0,IF(ISNA(_xlfn.XLOOKUP(A449,'600m'!F$5:F$302,'600m'!M$5:M$302)),0,_xlfn.XLOOKUP(A449,'600m'!F$5:F$302,'600m'!M$5:M$302)))</f>
        <v>0</v>
      </c>
      <c r="K449" s="49" t="str">
        <f>IF(B449="","",IF(ISNA(VLOOKUP(A449,'600m'!F$5:K$302,6,FALSE)),"",VLOOKUP(A449,'600m'!F$5:K$302,6,FALSE)))</f>
        <v/>
      </c>
      <c r="L449" s="49" t="str">
        <f>IF(B449="","",IF(ISNA(VLOOKUP(A449,LongJump!F$5:G$302,2,FALSE)),"",VLOOKUP(A449,LongJump!F$5:G$302,2,FALSE)))</f>
        <v/>
      </c>
      <c r="M449" s="49">
        <f>IF(B449="",0,IF(ISNA(_xlfn.XLOOKUP(A449,LongJump!F$5:F$302,LongJump!M$5:M$302)),0,_xlfn.XLOOKUP(A449,LongJump!F$5:F$302,LongJump!M$5:M$302)))</f>
        <v>0</v>
      </c>
      <c r="N449" s="49" t="str">
        <f>IF(B449="","",IF(ISNA(VLOOKUP(A449,LongJump!F$5:K$302,6,FALSE)),0,VLOOKUP(A449,LongJump!F$5:K$302,6,FALSE)))</f>
        <v/>
      </c>
      <c r="O449" s="49" t="str">
        <f>IF(B449="","",IF(ISNA(VLOOKUP(A449,Vortex!F$5:J$302,2,FALSE)),"",VLOOKUP(A449,Vortex!F$5:J$302,2,FALSE)))</f>
        <v/>
      </c>
      <c r="P449" s="49">
        <f>IF(B449="",0,IF(ISNA(_xlfn.XLOOKUP(A449,Vortex!F$5:F$302,Vortex!M$5:M$302)),0,_xlfn.XLOOKUP(A449,Vortex!F$5:F$302,Vortex!M$5:M$302)))</f>
        <v>0</v>
      </c>
      <c r="Q449" s="49">
        <f t="shared" si="37"/>
        <v>0</v>
      </c>
      <c r="R449" s="49" t="str">
        <f t="shared" si="38"/>
        <v/>
      </c>
      <c r="S449" s="49" t="str">
        <f t="shared" si="39"/>
        <v/>
      </c>
      <c r="T449" s="49" t="str">
        <f t="shared" si="40"/>
        <v/>
      </c>
      <c r="U449" s="49" t="str">
        <f t="shared" si="41"/>
        <v/>
      </c>
    </row>
    <row r="450" spans="1:21">
      <c r="A450" s="49" t="str">
        <f>IF(Declarations!B207=0,"",Declarations!B207)</f>
        <v/>
      </c>
      <c r="B450" s="150" t="str">
        <f>IF(ISNA(VLOOKUP(A450,Declarations!B$6:C$185,2,FALSE)),"",IF(VLOOKUP(A450,Declarations!B$6:C$185,2,FALSE)="","",VLOOKUP(A450,Declarations!B$6:C$185,2,FALSE)))</f>
        <v/>
      </c>
      <c r="C450" s="150" t="str">
        <f>IF(ISNA(VLOOKUP(A450,Declarations!B$6:F$185,5,FALSE)),"",IF(VLOOKUP(A450,Declarations!B$6:F$185,5,FALSE)="","",VLOOKUP(A450,Declarations!B$6:F$185,5,FALSE)))</f>
        <v/>
      </c>
      <c r="D450" s="150" t="str">
        <f>IF(ISNA(VLOOKUP(A450,Declarations!B$6:F$185,4,FALSE)),"",IF(VLOOKUP(A450,Declarations!B$6:F$185,4,FALSE)="","",VLOOKUP(A450,Declarations!B$6:F$185,4,FALSE)))</f>
        <v/>
      </c>
      <c r="E450" s="150" t="str">
        <f>IF(ISNA(VLOOKUP(A450,Declarations!B$6:D$185,3,FALSE)),"",IF(VLOOKUP(A450,Declarations!B$6:D$185,3,FALSE)="","",VLOOKUP(A450,Declarations!B$6:D$185,3,FALSE)))</f>
        <v/>
      </c>
      <c r="F450" s="49" t="str">
        <f>IF(B450="","",IF(ISNA(VLOOKUP(A450,'75m'!F$5:G$302,2,FALSE)),"",VLOOKUP(A450,'75m'!F$5:G$302,2,FALSE)))</f>
        <v/>
      </c>
      <c r="G450" s="49">
        <f>IF(B450="",0,IF(ISNA(_xlfn.XLOOKUP(A450,'75m'!F$5:F$302,'75m'!M$5:M$302)),0,_xlfn.XLOOKUP(A450,'75m'!F$5:F$302,'75m'!M$5:M$302)))</f>
        <v>0</v>
      </c>
      <c r="H450" s="49" t="str">
        <f>IF(B450="","",IF(ISNA(VLOOKUP(A450,'75m'!F$5:K$302,6,FALSE)),"",VLOOKUP(A450,'75m'!F$5:K$302,6,FALSE)))</f>
        <v/>
      </c>
      <c r="I450" s="51">
        <f>IF(B450="",0,IF(ISNA(VLOOKUP(A450,'600m'!F$5:J$302,2,FALSE)),0,VLOOKUP(A450,'600m'!F$5:J$302,2,FALSE)))</f>
        <v>0</v>
      </c>
      <c r="J450" s="49">
        <f>IF(B450="",0,IF(ISNA(_xlfn.XLOOKUP(A450,'600m'!F$5:F$302,'600m'!M$5:M$302)),0,_xlfn.XLOOKUP(A450,'600m'!F$5:F$302,'600m'!M$5:M$302)))</f>
        <v>0</v>
      </c>
      <c r="K450" s="49" t="str">
        <f>IF(B450="","",IF(ISNA(VLOOKUP(A450,'600m'!F$5:K$302,6,FALSE)),"",VLOOKUP(A450,'600m'!F$5:K$302,6,FALSE)))</f>
        <v/>
      </c>
      <c r="L450" s="49" t="str">
        <f>IF(B450="","",IF(ISNA(VLOOKUP(A450,LongJump!F$5:G$302,2,FALSE)),"",VLOOKUP(A450,LongJump!F$5:G$302,2,FALSE)))</f>
        <v/>
      </c>
      <c r="M450" s="49">
        <f>IF(B450="",0,IF(ISNA(_xlfn.XLOOKUP(A450,LongJump!F$5:F$302,LongJump!M$5:M$302)),0,_xlfn.XLOOKUP(A450,LongJump!F$5:F$302,LongJump!M$5:M$302)))</f>
        <v>0</v>
      </c>
      <c r="N450" s="49" t="str">
        <f>IF(B450="","",IF(ISNA(VLOOKUP(A450,LongJump!F$5:K$302,6,FALSE)),0,VLOOKUP(A450,LongJump!F$5:K$302,6,FALSE)))</f>
        <v/>
      </c>
      <c r="O450" s="49" t="str">
        <f>IF(B450="","",IF(ISNA(VLOOKUP(A450,Vortex!F$5:J$302,2,FALSE)),"",VLOOKUP(A450,Vortex!F$5:J$302,2,FALSE)))</f>
        <v/>
      </c>
      <c r="P450" s="49">
        <f>IF(B450="",0,IF(ISNA(_xlfn.XLOOKUP(A450,Vortex!F$5:F$302,Vortex!M$5:M$302)),0,_xlfn.XLOOKUP(A450,Vortex!F$5:F$302,Vortex!M$5:M$302)))</f>
        <v>0</v>
      </c>
      <c r="Q450" s="49">
        <f t="shared" si="37"/>
        <v>0</v>
      </c>
      <c r="R450" s="49" t="str">
        <f t="shared" si="38"/>
        <v/>
      </c>
      <c r="S450" s="49" t="str">
        <f t="shared" si="39"/>
        <v/>
      </c>
      <c r="T450" s="49" t="str">
        <f t="shared" si="40"/>
        <v/>
      </c>
      <c r="U450" s="49" t="str">
        <f t="shared" si="41"/>
        <v/>
      </c>
    </row>
    <row r="451" spans="1:21">
      <c r="A451" s="49" t="str">
        <f>IF(Declarations!B208=0,"",Declarations!B208)</f>
        <v/>
      </c>
      <c r="B451" s="150" t="str">
        <f>IF(ISNA(VLOOKUP(A451,Declarations!B$6:C$185,2,FALSE)),"",IF(VLOOKUP(A451,Declarations!B$6:C$185,2,FALSE)="","",VLOOKUP(A451,Declarations!B$6:C$185,2,FALSE)))</f>
        <v/>
      </c>
      <c r="C451" s="150" t="str">
        <f>IF(ISNA(VLOOKUP(A451,Declarations!B$6:F$185,5,FALSE)),"",IF(VLOOKUP(A451,Declarations!B$6:F$185,5,FALSE)="","",VLOOKUP(A451,Declarations!B$6:F$185,5,FALSE)))</f>
        <v/>
      </c>
      <c r="D451" s="150" t="str">
        <f>IF(ISNA(VLOOKUP(A451,Declarations!B$6:F$185,4,FALSE)),"",IF(VLOOKUP(A451,Declarations!B$6:F$185,4,FALSE)="","",VLOOKUP(A451,Declarations!B$6:F$185,4,FALSE)))</f>
        <v/>
      </c>
      <c r="E451" s="150" t="str">
        <f>IF(ISNA(VLOOKUP(A451,Declarations!B$6:D$185,3,FALSE)),"",IF(VLOOKUP(A451,Declarations!B$6:D$185,3,FALSE)="","",VLOOKUP(A451,Declarations!B$6:D$185,3,FALSE)))</f>
        <v/>
      </c>
      <c r="F451" s="49" t="str">
        <f>IF(B451="","",IF(ISNA(VLOOKUP(A451,'75m'!F$5:G$302,2,FALSE)),"",VLOOKUP(A451,'75m'!F$5:G$302,2,FALSE)))</f>
        <v/>
      </c>
      <c r="G451" s="49">
        <f>IF(B451="",0,IF(ISNA(_xlfn.XLOOKUP(A451,'75m'!F$5:F$302,'75m'!M$5:M$302)),0,_xlfn.XLOOKUP(A451,'75m'!F$5:F$302,'75m'!M$5:M$302)))</f>
        <v>0</v>
      </c>
      <c r="H451" s="49" t="str">
        <f>IF(B451="","",IF(ISNA(VLOOKUP(A451,'75m'!F$5:K$302,6,FALSE)),"",VLOOKUP(A451,'75m'!F$5:K$302,6,FALSE)))</f>
        <v/>
      </c>
      <c r="I451" s="51">
        <f>IF(B451="",0,IF(ISNA(VLOOKUP(A451,'600m'!F$5:J$302,2,FALSE)),0,VLOOKUP(A451,'600m'!F$5:J$302,2,FALSE)))</f>
        <v>0</v>
      </c>
      <c r="J451" s="49">
        <f>IF(B451="",0,IF(ISNA(_xlfn.XLOOKUP(A451,'600m'!F$5:F$302,'600m'!M$5:M$302)),0,_xlfn.XLOOKUP(A451,'600m'!F$5:F$302,'600m'!M$5:M$302)))</f>
        <v>0</v>
      </c>
      <c r="K451" s="49" t="str">
        <f>IF(B451="","",IF(ISNA(VLOOKUP(A451,'600m'!F$5:K$302,6,FALSE)),"",VLOOKUP(A451,'600m'!F$5:K$302,6,FALSE)))</f>
        <v/>
      </c>
      <c r="L451" s="49" t="str">
        <f>IF(B451="","",IF(ISNA(VLOOKUP(A451,LongJump!F$5:G$302,2,FALSE)),"",VLOOKUP(A451,LongJump!F$5:G$302,2,FALSE)))</f>
        <v/>
      </c>
      <c r="M451" s="49">
        <f>IF(B451="",0,IF(ISNA(_xlfn.XLOOKUP(A451,LongJump!F$5:F$302,LongJump!M$5:M$302)),0,_xlfn.XLOOKUP(A451,LongJump!F$5:F$302,LongJump!M$5:M$302)))</f>
        <v>0</v>
      </c>
      <c r="N451" s="49" t="str">
        <f>IF(B451="","",IF(ISNA(VLOOKUP(A451,LongJump!F$5:K$302,6,FALSE)),0,VLOOKUP(A451,LongJump!F$5:K$302,6,FALSE)))</f>
        <v/>
      </c>
      <c r="O451" s="49" t="str">
        <f>IF(B451="","",IF(ISNA(VLOOKUP(A451,Vortex!F$5:J$302,2,FALSE)),"",VLOOKUP(A451,Vortex!F$5:J$302,2,FALSE)))</f>
        <v/>
      </c>
      <c r="P451" s="49">
        <f>IF(B451="",0,IF(ISNA(_xlfn.XLOOKUP(A451,Vortex!F$5:F$302,Vortex!M$5:M$302)),0,_xlfn.XLOOKUP(A451,Vortex!F$5:F$302,Vortex!M$5:M$302)))</f>
        <v>0</v>
      </c>
      <c r="Q451" s="49">
        <f t="shared" si="37"/>
        <v>0</v>
      </c>
      <c r="R451" s="49" t="str">
        <f t="shared" si="38"/>
        <v/>
      </c>
      <c r="S451" s="49" t="str">
        <f t="shared" si="39"/>
        <v/>
      </c>
      <c r="T451" s="49" t="str">
        <f t="shared" si="40"/>
        <v/>
      </c>
      <c r="U451" s="49" t="str">
        <f t="shared" si="41"/>
        <v/>
      </c>
    </row>
    <row r="452" spans="1:21">
      <c r="A452" s="49" t="str">
        <f>IF(Declarations!B209=0,"",Declarations!B209)</f>
        <v/>
      </c>
      <c r="B452" s="150" t="str">
        <f>IF(ISNA(VLOOKUP(A452,Declarations!B$6:C$185,2,FALSE)),"",IF(VLOOKUP(A452,Declarations!B$6:C$185,2,FALSE)="","",VLOOKUP(A452,Declarations!B$6:C$185,2,FALSE)))</f>
        <v/>
      </c>
      <c r="C452" s="150" t="str">
        <f>IF(ISNA(VLOOKUP(A452,Declarations!B$6:F$185,5,FALSE)),"",IF(VLOOKUP(A452,Declarations!B$6:F$185,5,FALSE)="","",VLOOKUP(A452,Declarations!B$6:F$185,5,FALSE)))</f>
        <v/>
      </c>
      <c r="D452" s="150" t="str">
        <f>IF(ISNA(VLOOKUP(A452,Declarations!B$6:F$185,4,FALSE)),"",IF(VLOOKUP(A452,Declarations!B$6:F$185,4,FALSE)="","",VLOOKUP(A452,Declarations!B$6:F$185,4,FALSE)))</f>
        <v/>
      </c>
      <c r="E452" s="150" t="str">
        <f>IF(ISNA(VLOOKUP(A452,Declarations!B$6:D$185,3,FALSE)),"",IF(VLOOKUP(A452,Declarations!B$6:D$185,3,FALSE)="","",VLOOKUP(A452,Declarations!B$6:D$185,3,FALSE)))</f>
        <v/>
      </c>
      <c r="F452" s="49" t="str">
        <f>IF(B452="","",IF(ISNA(VLOOKUP(A452,'75m'!F$5:G$302,2,FALSE)),"",VLOOKUP(A452,'75m'!F$5:G$302,2,FALSE)))</f>
        <v/>
      </c>
      <c r="G452" s="49">
        <f>IF(B452="",0,IF(ISNA(_xlfn.XLOOKUP(A452,'75m'!F$5:F$302,'75m'!M$5:M$302)),0,_xlfn.XLOOKUP(A452,'75m'!F$5:F$302,'75m'!M$5:M$302)))</f>
        <v>0</v>
      </c>
      <c r="H452" s="49" t="str">
        <f>IF(B452="","",IF(ISNA(VLOOKUP(A452,'75m'!F$5:K$302,6,FALSE)),"",VLOOKUP(A452,'75m'!F$5:K$302,6,FALSE)))</f>
        <v/>
      </c>
      <c r="I452" s="51">
        <f>IF(B452="",0,IF(ISNA(VLOOKUP(A452,'600m'!F$5:J$302,2,FALSE)),0,VLOOKUP(A452,'600m'!F$5:J$302,2,FALSE)))</f>
        <v>0</v>
      </c>
      <c r="J452" s="49">
        <f>IF(B452="",0,IF(ISNA(_xlfn.XLOOKUP(A452,'600m'!F$5:F$302,'600m'!M$5:M$302)),0,_xlfn.XLOOKUP(A452,'600m'!F$5:F$302,'600m'!M$5:M$302)))</f>
        <v>0</v>
      </c>
      <c r="K452" s="49" t="str">
        <f>IF(B452="","",IF(ISNA(VLOOKUP(A452,'600m'!F$5:K$302,6,FALSE)),"",VLOOKUP(A452,'600m'!F$5:K$302,6,FALSE)))</f>
        <v/>
      </c>
      <c r="L452" s="49" t="str">
        <f>IF(B452="","",IF(ISNA(VLOOKUP(A452,LongJump!F$5:G$302,2,FALSE)),"",VLOOKUP(A452,LongJump!F$5:G$302,2,FALSE)))</f>
        <v/>
      </c>
      <c r="M452" s="49">
        <f>IF(B452="",0,IF(ISNA(_xlfn.XLOOKUP(A452,LongJump!F$5:F$302,LongJump!M$5:M$302)),0,_xlfn.XLOOKUP(A452,LongJump!F$5:F$302,LongJump!M$5:M$302)))</f>
        <v>0</v>
      </c>
      <c r="N452" s="49" t="str">
        <f>IF(B452="","",IF(ISNA(VLOOKUP(A452,LongJump!F$5:K$302,6,FALSE)),0,VLOOKUP(A452,LongJump!F$5:K$302,6,FALSE)))</f>
        <v/>
      </c>
      <c r="O452" s="49" t="str">
        <f>IF(B452="","",IF(ISNA(VLOOKUP(A452,Vortex!F$5:J$302,2,FALSE)),"",VLOOKUP(A452,Vortex!F$5:J$302,2,FALSE)))</f>
        <v/>
      </c>
      <c r="P452" s="49">
        <f>IF(B452="",0,IF(ISNA(_xlfn.XLOOKUP(A452,Vortex!F$5:F$302,Vortex!M$5:M$302)),0,_xlfn.XLOOKUP(A452,Vortex!F$5:F$302,Vortex!M$5:M$302)))</f>
        <v>0</v>
      </c>
      <c r="Q452" s="49">
        <f t="shared" si="37"/>
        <v>0</v>
      </c>
      <c r="R452" s="49" t="str">
        <f t="shared" si="38"/>
        <v/>
      </c>
      <c r="S452" s="49" t="str">
        <f t="shared" si="39"/>
        <v/>
      </c>
      <c r="T452" s="49" t="str">
        <f t="shared" si="40"/>
        <v/>
      </c>
      <c r="U452" s="49" t="str">
        <f t="shared" si="41"/>
        <v/>
      </c>
    </row>
    <row r="453" spans="1:21">
      <c r="A453" s="49" t="str">
        <f>IF(Declarations!B210=0,"",Declarations!B210)</f>
        <v/>
      </c>
      <c r="B453" s="150" t="str">
        <f>IF(ISNA(VLOOKUP(A453,Declarations!B$6:C$185,2,FALSE)),"",IF(VLOOKUP(A453,Declarations!B$6:C$185,2,FALSE)="","",VLOOKUP(A453,Declarations!B$6:C$185,2,FALSE)))</f>
        <v/>
      </c>
      <c r="C453" s="150" t="str">
        <f>IF(ISNA(VLOOKUP(A453,Declarations!B$6:F$185,5,FALSE)),"",IF(VLOOKUP(A453,Declarations!B$6:F$185,5,FALSE)="","",VLOOKUP(A453,Declarations!B$6:F$185,5,FALSE)))</f>
        <v/>
      </c>
      <c r="D453" s="150" t="str">
        <f>IF(ISNA(VLOOKUP(A453,Declarations!B$6:F$185,4,FALSE)),"",IF(VLOOKUP(A453,Declarations!B$6:F$185,4,FALSE)="","",VLOOKUP(A453,Declarations!B$6:F$185,4,FALSE)))</f>
        <v/>
      </c>
      <c r="E453" s="150" t="str">
        <f>IF(ISNA(VLOOKUP(A453,Declarations!B$6:D$185,3,FALSE)),"",IF(VLOOKUP(A453,Declarations!B$6:D$185,3,FALSE)="","",VLOOKUP(A453,Declarations!B$6:D$185,3,FALSE)))</f>
        <v/>
      </c>
      <c r="F453" s="49" t="str">
        <f>IF(B453="","",IF(ISNA(VLOOKUP(A453,'75m'!F$5:G$302,2,FALSE)),"",VLOOKUP(A453,'75m'!F$5:G$302,2,FALSE)))</f>
        <v/>
      </c>
      <c r="G453" s="49">
        <f>IF(B453="",0,IF(ISNA(_xlfn.XLOOKUP(A453,'75m'!F$5:F$302,'75m'!M$5:M$302)),0,_xlfn.XLOOKUP(A453,'75m'!F$5:F$302,'75m'!M$5:M$302)))</f>
        <v>0</v>
      </c>
      <c r="H453" s="49" t="str">
        <f>IF(B453="","",IF(ISNA(VLOOKUP(A453,'75m'!F$5:K$302,6,FALSE)),"",VLOOKUP(A453,'75m'!F$5:K$302,6,FALSE)))</f>
        <v/>
      </c>
      <c r="I453" s="51">
        <f>IF(B453="",0,IF(ISNA(VLOOKUP(A453,'600m'!F$5:J$302,2,FALSE)),0,VLOOKUP(A453,'600m'!F$5:J$302,2,FALSE)))</f>
        <v>0</v>
      </c>
      <c r="J453" s="49">
        <f>IF(B453="",0,IF(ISNA(_xlfn.XLOOKUP(A453,'600m'!F$5:F$302,'600m'!M$5:M$302)),0,_xlfn.XLOOKUP(A453,'600m'!F$5:F$302,'600m'!M$5:M$302)))</f>
        <v>0</v>
      </c>
      <c r="K453" s="49" t="str">
        <f>IF(B453="","",IF(ISNA(VLOOKUP(A453,'600m'!F$5:K$302,6,FALSE)),"",VLOOKUP(A453,'600m'!F$5:K$302,6,FALSE)))</f>
        <v/>
      </c>
      <c r="L453" s="49" t="str">
        <f>IF(B453="","",IF(ISNA(VLOOKUP(A453,LongJump!F$5:G$302,2,FALSE)),"",VLOOKUP(A453,LongJump!F$5:G$302,2,FALSE)))</f>
        <v/>
      </c>
      <c r="M453" s="49">
        <f>IF(B453="",0,IF(ISNA(_xlfn.XLOOKUP(A453,LongJump!F$5:F$302,LongJump!M$5:M$302)),0,_xlfn.XLOOKUP(A453,LongJump!F$5:F$302,LongJump!M$5:M$302)))</f>
        <v>0</v>
      </c>
      <c r="N453" s="49" t="str">
        <f>IF(B453="","",IF(ISNA(VLOOKUP(A453,LongJump!F$5:K$302,6,FALSE)),0,VLOOKUP(A453,LongJump!F$5:K$302,6,FALSE)))</f>
        <v/>
      </c>
      <c r="O453" s="49" t="str">
        <f>IF(B453="","",IF(ISNA(VLOOKUP(A453,Vortex!F$5:J$302,2,FALSE)),"",VLOOKUP(A453,Vortex!F$5:J$302,2,FALSE)))</f>
        <v/>
      </c>
      <c r="P453" s="49">
        <f>IF(B453="",0,IF(ISNA(_xlfn.XLOOKUP(A453,Vortex!F$5:F$302,Vortex!M$5:M$302)),0,_xlfn.XLOOKUP(A453,Vortex!F$5:F$302,Vortex!M$5:M$302)))</f>
        <v>0</v>
      </c>
      <c r="Q453" s="49">
        <f t="shared" si="37"/>
        <v>0</v>
      </c>
      <c r="R453" s="49" t="str">
        <f t="shared" si="38"/>
        <v/>
      </c>
      <c r="S453" s="49" t="str">
        <f t="shared" si="39"/>
        <v/>
      </c>
      <c r="T453" s="49" t="str">
        <f t="shared" si="40"/>
        <v/>
      </c>
      <c r="U453" s="49" t="str">
        <f t="shared" si="41"/>
        <v/>
      </c>
    </row>
    <row r="454" spans="1:21">
      <c r="A454" s="49" t="str">
        <f>IF(Declarations!B211=0,"",Declarations!B211)</f>
        <v/>
      </c>
      <c r="B454" s="150" t="str">
        <f>IF(ISNA(VLOOKUP(A454,Declarations!B$6:C$185,2,FALSE)),"",IF(VLOOKUP(A454,Declarations!B$6:C$185,2,FALSE)="","",VLOOKUP(A454,Declarations!B$6:C$185,2,FALSE)))</f>
        <v/>
      </c>
      <c r="C454" s="150" t="str">
        <f>IF(ISNA(VLOOKUP(A454,Declarations!B$6:F$185,5,FALSE)),"",IF(VLOOKUP(A454,Declarations!B$6:F$185,5,FALSE)="","",VLOOKUP(A454,Declarations!B$6:F$185,5,FALSE)))</f>
        <v/>
      </c>
      <c r="D454" s="150" t="str">
        <f>IF(ISNA(VLOOKUP(A454,Declarations!B$6:F$185,4,FALSE)),"",IF(VLOOKUP(A454,Declarations!B$6:F$185,4,FALSE)="","",VLOOKUP(A454,Declarations!B$6:F$185,4,FALSE)))</f>
        <v/>
      </c>
      <c r="E454" s="150" t="str">
        <f>IF(ISNA(VLOOKUP(A454,Declarations!B$6:D$185,3,FALSE)),"",IF(VLOOKUP(A454,Declarations!B$6:D$185,3,FALSE)="","",VLOOKUP(A454,Declarations!B$6:D$185,3,FALSE)))</f>
        <v/>
      </c>
      <c r="F454" s="49" t="str">
        <f>IF(B454="","",IF(ISNA(VLOOKUP(A454,'75m'!F$5:G$302,2,FALSE)),"",VLOOKUP(A454,'75m'!F$5:G$302,2,FALSE)))</f>
        <v/>
      </c>
      <c r="G454" s="49">
        <f>IF(B454="",0,IF(ISNA(_xlfn.XLOOKUP(A454,'75m'!F$5:F$302,'75m'!M$5:M$302)),0,_xlfn.XLOOKUP(A454,'75m'!F$5:F$302,'75m'!M$5:M$302)))</f>
        <v>0</v>
      </c>
      <c r="H454" s="49" t="str">
        <f>IF(B454="","",IF(ISNA(VLOOKUP(A454,'75m'!F$5:K$302,6,FALSE)),"",VLOOKUP(A454,'75m'!F$5:K$302,6,FALSE)))</f>
        <v/>
      </c>
      <c r="I454" s="51">
        <f>IF(B454="",0,IF(ISNA(VLOOKUP(A454,'600m'!F$5:J$302,2,FALSE)),0,VLOOKUP(A454,'600m'!F$5:J$302,2,FALSE)))</f>
        <v>0</v>
      </c>
      <c r="J454" s="49">
        <f>IF(B454="",0,IF(ISNA(_xlfn.XLOOKUP(A454,'600m'!F$5:F$302,'600m'!M$5:M$302)),0,_xlfn.XLOOKUP(A454,'600m'!F$5:F$302,'600m'!M$5:M$302)))</f>
        <v>0</v>
      </c>
      <c r="K454" s="49" t="str">
        <f>IF(B454="","",IF(ISNA(VLOOKUP(A454,'600m'!F$5:K$302,6,FALSE)),"",VLOOKUP(A454,'600m'!F$5:K$302,6,FALSE)))</f>
        <v/>
      </c>
      <c r="L454" s="49" t="str">
        <f>IF(B454="","",IF(ISNA(VLOOKUP(A454,LongJump!F$5:G$302,2,FALSE)),"",VLOOKUP(A454,LongJump!F$5:G$302,2,FALSE)))</f>
        <v/>
      </c>
      <c r="M454" s="49">
        <f>IF(B454="",0,IF(ISNA(_xlfn.XLOOKUP(A454,LongJump!F$5:F$302,LongJump!M$5:M$302)),0,_xlfn.XLOOKUP(A454,LongJump!F$5:F$302,LongJump!M$5:M$302)))</f>
        <v>0</v>
      </c>
      <c r="N454" s="49" t="str">
        <f>IF(B454="","",IF(ISNA(VLOOKUP(A454,LongJump!F$5:K$302,6,FALSE)),0,VLOOKUP(A454,LongJump!F$5:K$302,6,FALSE)))</f>
        <v/>
      </c>
      <c r="O454" s="49" t="str">
        <f>IF(B454="","",IF(ISNA(VLOOKUP(A454,Vortex!F$5:J$302,2,FALSE)),"",VLOOKUP(A454,Vortex!F$5:J$302,2,FALSE)))</f>
        <v/>
      </c>
      <c r="P454" s="49">
        <f>IF(B454="",0,IF(ISNA(_xlfn.XLOOKUP(A454,Vortex!F$5:F$302,Vortex!M$5:M$302)),0,_xlfn.XLOOKUP(A454,Vortex!F$5:F$302,Vortex!M$5:M$302)))</f>
        <v>0</v>
      </c>
      <c r="Q454" s="49">
        <f t="shared" si="37"/>
        <v>0</v>
      </c>
      <c r="R454" s="49" t="str">
        <f t="shared" si="38"/>
        <v/>
      </c>
      <c r="S454" s="49" t="str">
        <f t="shared" si="39"/>
        <v/>
      </c>
      <c r="T454" s="49" t="str">
        <f t="shared" si="40"/>
        <v/>
      </c>
      <c r="U454" s="49" t="str">
        <f t="shared" si="41"/>
        <v/>
      </c>
    </row>
    <row r="455" spans="1:21">
      <c r="A455" s="49" t="str">
        <f>IF(Declarations!B212=0,"",Declarations!B212)</f>
        <v/>
      </c>
      <c r="B455" s="150" t="str">
        <f>IF(ISNA(VLOOKUP(A455,Declarations!B$6:C$185,2,FALSE)),"",IF(VLOOKUP(A455,Declarations!B$6:C$185,2,FALSE)="","",VLOOKUP(A455,Declarations!B$6:C$185,2,FALSE)))</f>
        <v/>
      </c>
      <c r="C455" s="150" t="str">
        <f>IF(ISNA(VLOOKUP(A455,Declarations!B$6:F$185,5,FALSE)),"",IF(VLOOKUP(A455,Declarations!B$6:F$185,5,FALSE)="","",VLOOKUP(A455,Declarations!B$6:F$185,5,FALSE)))</f>
        <v/>
      </c>
      <c r="D455" s="150" t="str">
        <f>IF(ISNA(VLOOKUP(A455,Declarations!B$6:F$185,4,FALSE)),"",IF(VLOOKUP(A455,Declarations!B$6:F$185,4,FALSE)="","",VLOOKUP(A455,Declarations!B$6:F$185,4,FALSE)))</f>
        <v/>
      </c>
      <c r="E455" s="150" t="str">
        <f>IF(ISNA(VLOOKUP(A455,Declarations!B$6:D$185,3,FALSE)),"",IF(VLOOKUP(A455,Declarations!B$6:D$185,3,FALSE)="","",VLOOKUP(A455,Declarations!B$6:D$185,3,FALSE)))</f>
        <v/>
      </c>
      <c r="F455" s="49" t="str">
        <f>IF(B455="","",IF(ISNA(VLOOKUP(A455,'75m'!F$5:G$302,2,FALSE)),"",VLOOKUP(A455,'75m'!F$5:G$302,2,FALSE)))</f>
        <v/>
      </c>
      <c r="G455" s="49">
        <f>IF(B455="",0,IF(ISNA(_xlfn.XLOOKUP(A455,'75m'!F$5:F$302,'75m'!M$5:M$302)),0,_xlfn.XLOOKUP(A455,'75m'!F$5:F$302,'75m'!M$5:M$302)))</f>
        <v>0</v>
      </c>
      <c r="H455" s="49" t="str">
        <f>IF(B455="","",IF(ISNA(VLOOKUP(A455,'75m'!F$5:K$302,6,FALSE)),"",VLOOKUP(A455,'75m'!F$5:K$302,6,FALSE)))</f>
        <v/>
      </c>
      <c r="I455" s="51">
        <f>IF(B455="",0,IF(ISNA(VLOOKUP(A455,'600m'!F$5:J$302,2,FALSE)),0,VLOOKUP(A455,'600m'!F$5:J$302,2,FALSE)))</f>
        <v>0</v>
      </c>
      <c r="J455" s="49">
        <f>IF(B455="",0,IF(ISNA(_xlfn.XLOOKUP(A455,'600m'!F$5:F$302,'600m'!M$5:M$302)),0,_xlfn.XLOOKUP(A455,'600m'!F$5:F$302,'600m'!M$5:M$302)))</f>
        <v>0</v>
      </c>
      <c r="K455" s="49" t="str">
        <f>IF(B455="","",IF(ISNA(VLOOKUP(A455,'600m'!F$5:K$302,6,FALSE)),"",VLOOKUP(A455,'600m'!F$5:K$302,6,FALSE)))</f>
        <v/>
      </c>
      <c r="L455" s="49" t="str">
        <f>IF(B455="","",IF(ISNA(VLOOKUP(A455,LongJump!F$5:G$302,2,FALSE)),"",VLOOKUP(A455,LongJump!F$5:G$302,2,FALSE)))</f>
        <v/>
      </c>
      <c r="M455" s="49">
        <f>IF(B455="",0,IF(ISNA(_xlfn.XLOOKUP(A455,LongJump!F$5:F$302,LongJump!M$5:M$302)),0,_xlfn.XLOOKUP(A455,LongJump!F$5:F$302,LongJump!M$5:M$302)))</f>
        <v>0</v>
      </c>
      <c r="N455" s="49" t="str">
        <f>IF(B455="","",IF(ISNA(VLOOKUP(A455,LongJump!F$5:K$302,6,FALSE)),0,VLOOKUP(A455,LongJump!F$5:K$302,6,FALSE)))</f>
        <v/>
      </c>
      <c r="O455" s="49" t="str">
        <f>IF(B455="","",IF(ISNA(VLOOKUP(A455,Vortex!F$5:J$302,2,FALSE)),"",VLOOKUP(A455,Vortex!F$5:J$302,2,FALSE)))</f>
        <v/>
      </c>
      <c r="P455" s="49">
        <f>IF(B455="",0,IF(ISNA(_xlfn.XLOOKUP(A455,Vortex!F$5:F$302,Vortex!M$5:M$302)),0,_xlfn.XLOOKUP(A455,Vortex!F$5:F$302,Vortex!M$5:M$302)))</f>
        <v>0</v>
      </c>
      <c r="Q455" s="49">
        <f t="shared" si="37"/>
        <v>0</v>
      </c>
      <c r="R455" s="49" t="str">
        <f t="shared" si="38"/>
        <v/>
      </c>
      <c r="S455" s="49" t="str">
        <f t="shared" si="39"/>
        <v/>
      </c>
      <c r="T455" s="49" t="str">
        <f t="shared" si="40"/>
        <v/>
      </c>
      <c r="U455" s="49" t="str">
        <f t="shared" si="41"/>
        <v/>
      </c>
    </row>
    <row r="456" spans="1:21">
      <c r="A456" s="49" t="str">
        <f>IF(Declarations!B213=0,"",Declarations!B213)</f>
        <v/>
      </c>
      <c r="B456" s="150" t="str">
        <f>IF(ISNA(VLOOKUP(A456,Declarations!B$6:C$185,2,FALSE)),"",IF(VLOOKUP(A456,Declarations!B$6:C$185,2,FALSE)="","",VLOOKUP(A456,Declarations!B$6:C$185,2,FALSE)))</f>
        <v/>
      </c>
      <c r="C456" s="150" t="str">
        <f>IF(ISNA(VLOOKUP(A456,Declarations!B$6:F$185,5,FALSE)),"",IF(VLOOKUP(A456,Declarations!B$6:F$185,5,FALSE)="","",VLOOKUP(A456,Declarations!B$6:F$185,5,FALSE)))</f>
        <v/>
      </c>
      <c r="D456" s="150" t="str">
        <f>IF(ISNA(VLOOKUP(A456,Declarations!B$6:F$185,4,FALSE)),"",IF(VLOOKUP(A456,Declarations!B$6:F$185,4,FALSE)="","",VLOOKUP(A456,Declarations!B$6:F$185,4,FALSE)))</f>
        <v/>
      </c>
      <c r="E456" s="150" t="str">
        <f>IF(ISNA(VLOOKUP(A456,Declarations!B$6:D$185,3,FALSE)),"",IF(VLOOKUP(A456,Declarations!B$6:D$185,3,FALSE)="","",VLOOKUP(A456,Declarations!B$6:D$185,3,FALSE)))</f>
        <v/>
      </c>
      <c r="F456" s="49" t="str">
        <f>IF(B456="","",IF(ISNA(VLOOKUP(A456,'75m'!F$5:G$302,2,FALSE)),"",VLOOKUP(A456,'75m'!F$5:G$302,2,FALSE)))</f>
        <v/>
      </c>
      <c r="G456" s="49">
        <f>IF(B456="",0,IF(ISNA(_xlfn.XLOOKUP(A456,'75m'!F$5:F$302,'75m'!M$5:M$302)),0,_xlfn.XLOOKUP(A456,'75m'!F$5:F$302,'75m'!M$5:M$302)))</f>
        <v>0</v>
      </c>
      <c r="H456" s="49" t="str">
        <f>IF(B456="","",IF(ISNA(VLOOKUP(A456,'75m'!F$5:K$302,6,FALSE)),"",VLOOKUP(A456,'75m'!F$5:K$302,6,FALSE)))</f>
        <v/>
      </c>
      <c r="I456" s="51">
        <f>IF(B456="",0,IF(ISNA(VLOOKUP(A456,'600m'!F$5:J$302,2,FALSE)),0,VLOOKUP(A456,'600m'!F$5:J$302,2,FALSE)))</f>
        <v>0</v>
      </c>
      <c r="J456" s="49">
        <f>IF(B456="",0,IF(ISNA(_xlfn.XLOOKUP(A456,'600m'!F$5:F$302,'600m'!M$5:M$302)),0,_xlfn.XLOOKUP(A456,'600m'!F$5:F$302,'600m'!M$5:M$302)))</f>
        <v>0</v>
      </c>
      <c r="K456" s="49" t="str">
        <f>IF(B456="","",IF(ISNA(VLOOKUP(A456,'600m'!F$5:K$302,6,FALSE)),"",VLOOKUP(A456,'600m'!F$5:K$302,6,FALSE)))</f>
        <v/>
      </c>
      <c r="L456" s="49" t="str">
        <f>IF(B456="","",IF(ISNA(VLOOKUP(A456,LongJump!F$5:G$302,2,FALSE)),"",VLOOKUP(A456,LongJump!F$5:G$302,2,FALSE)))</f>
        <v/>
      </c>
      <c r="M456" s="49">
        <f>IF(B456="",0,IF(ISNA(_xlfn.XLOOKUP(A456,LongJump!F$5:F$302,LongJump!M$5:M$302)),0,_xlfn.XLOOKUP(A456,LongJump!F$5:F$302,LongJump!M$5:M$302)))</f>
        <v>0</v>
      </c>
      <c r="N456" s="49" t="str">
        <f>IF(B456="","",IF(ISNA(VLOOKUP(A456,LongJump!F$5:K$302,6,FALSE)),0,VLOOKUP(A456,LongJump!F$5:K$302,6,FALSE)))</f>
        <v/>
      </c>
      <c r="O456" s="49" t="str">
        <f>IF(B456="","",IF(ISNA(VLOOKUP(A456,Vortex!F$5:J$302,2,FALSE)),"",VLOOKUP(A456,Vortex!F$5:J$302,2,FALSE)))</f>
        <v/>
      </c>
      <c r="P456" s="49">
        <f>IF(B456="",0,IF(ISNA(_xlfn.XLOOKUP(A456,Vortex!F$5:F$302,Vortex!M$5:M$302)),0,_xlfn.XLOOKUP(A456,Vortex!F$5:F$302,Vortex!M$5:M$302)))</f>
        <v>0</v>
      </c>
      <c r="Q456" s="49">
        <f t="shared" si="37"/>
        <v>0</v>
      </c>
      <c r="R456" s="49" t="str">
        <f t="shared" si="38"/>
        <v/>
      </c>
      <c r="S456" s="49" t="str">
        <f t="shared" si="39"/>
        <v/>
      </c>
      <c r="T456" s="49" t="str">
        <f t="shared" si="40"/>
        <v/>
      </c>
      <c r="U456" s="49" t="str">
        <f t="shared" si="41"/>
        <v/>
      </c>
    </row>
    <row r="457" spans="1:21">
      <c r="A457" s="49" t="str">
        <f>IF(Declarations!B214=0,"",Declarations!B214)</f>
        <v/>
      </c>
      <c r="B457" s="150" t="str">
        <f>IF(ISNA(VLOOKUP(A457,Declarations!B$6:C$185,2,FALSE)),"",IF(VLOOKUP(A457,Declarations!B$6:C$185,2,FALSE)="","",VLOOKUP(A457,Declarations!B$6:C$185,2,FALSE)))</f>
        <v/>
      </c>
      <c r="C457" s="150" t="str">
        <f>IF(ISNA(VLOOKUP(A457,Declarations!B$6:F$185,5,FALSE)),"",IF(VLOOKUP(A457,Declarations!B$6:F$185,5,FALSE)="","",VLOOKUP(A457,Declarations!B$6:F$185,5,FALSE)))</f>
        <v/>
      </c>
      <c r="D457" s="150" t="str">
        <f>IF(ISNA(VLOOKUP(A457,Declarations!B$6:F$185,4,FALSE)),"",IF(VLOOKUP(A457,Declarations!B$6:F$185,4,FALSE)="","",VLOOKUP(A457,Declarations!B$6:F$185,4,FALSE)))</f>
        <v/>
      </c>
      <c r="E457" s="150" t="str">
        <f>IF(ISNA(VLOOKUP(A457,Declarations!B$6:D$185,3,FALSE)),"",IF(VLOOKUP(A457,Declarations!B$6:D$185,3,FALSE)="","",VLOOKUP(A457,Declarations!B$6:D$185,3,FALSE)))</f>
        <v/>
      </c>
      <c r="F457" s="49" t="str">
        <f>IF(B457="","",IF(ISNA(VLOOKUP(A457,'75m'!F$5:G$302,2,FALSE)),"",VLOOKUP(A457,'75m'!F$5:G$302,2,FALSE)))</f>
        <v/>
      </c>
      <c r="G457" s="49">
        <f>IF(B457="",0,IF(ISNA(_xlfn.XLOOKUP(A457,'75m'!F$5:F$302,'75m'!M$5:M$302)),0,_xlfn.XLOOKUP(A457,'75m'!F$5:F$302,'75m'!M$5:M$302)))</f>
        <v>0</v>
      </c>
      <c r="H457" s="49" t="str">
        <f>IF(B457="","",IF(ISNA(VLOOKUP(A457,'75m'!F$5:K$302,6,FALSE)),"",VLOOKUP(A457,'75m'!F$5:K$302,6,FALSE)))</f>
        <v/>
      </c>
      <c r="I457" s="51">
        <f>IF(B457="",0,IF(ISNA(VLOOKUP(A457,'600m'!F$5:J$302,2,FALSE)),0,VLOOKUP(A457,'600m'!F$5:J$302,2,FALSE)))</f>
        <v>0</v>
      </c>
      <c r="J457" s="49">
        <f>IF(B457="",0,IF(ISNA(_xlfn.XLOOKUP(A457,'600m'!F$5:F$302,'600m'!M$5:M$302)),0,_xlfn.XLOOKUP(A457,'600m'!F$5:F$302,'600m'!M$5:M$302)))</f>
        <v>0</v>
      </c>
      <c r="K457" s="49" t="str">
        <f>IF(B457="","",IF(ISNA(VLOOKUP(A457,'600m'!F$5:K$302,6,FALSE)),"",VLOOKUP(A457,'600m'!F$5:K$302,6,FALSE)))</f>
        <v/>
      </c>
      <c r="L457" s="49" t="str">
        <f>IF(B457="","",IF(ISNA(VLOOKUP(A457,LongJump!F$5:G$302,2,FALSE)),"",VLOOKUP(A457,LongJump!F$5:G$302,2,FALSE)))</f>
        <v/>
      </c>
      <c r="M457" s="49">
        <f>IF(B457="",0,IF(ISNA(_xlfn.XLOOKUP(A457,LongJump!F$5:F$302,LongJump!M$5:M$302)),0,_xlfn.XLOOKUP(A457,LongJump!F$5:F$302,LongJump!M$5:M$302)))</f>
        <v>0</v>
      </c>
      <c r="N457" s="49" t="str">
        <f>IF(B457="","",IF(ISNA(VLOOKUP(A457,LongJump!F$5:K$302,6,FALSE)),0,VLOOKUP(A457,LongJump!F$5:K$302,6,FALSE)))</f>
        <v/>
      </c>
      <c r="O457" s="49" t="str">
        <f>IF(B457="","",IF(ISNA(VLOOKUP(A457,Vortex!F$5:J$302,2,FALSE)),"",VLOOKUP(A457,Vortex!F$5:J$302,2,FALSE)))</f>
        <v/>
      </c>
      <c r="P457" s="49">
        <f>IF(B457="",0,IF(ISNA(_xlfn.XLOOKUP(A457,Vortex!F$5:F$302,Vortex!M$5:M$302)),0,_xlfn.XLOOKUP(A457,Vortex!F$5:F$302,Vortex!M$5:M$302)))</f>
        <v>0</v>
      </c>
      <c r="Q457" s="49">
        <f t="shared" si="37"/>
        <v>0</v>
      </c>
      <c r="R457" s="49" t="str">
        <f t="shared" si="38"/>
        <v/>
      </c>
      <c r="S457" s="49" t="str">
        <f t="shared" si="39"/>
        <v/>
      </c>
      <c r="T457" s="49" t="str">
        <f t="shared" si="40"/>
        <v/>
      </c>
      <c r="U457" s="49" t="str">
        <f t="shared" si="41"/>
        <v/>
      </c>
    </row>
    <row r="458" spans="1:21">
      <c r="A458" s="49" t="str">
        <f>IF(Declarations!B215=0,"",Declarations!B215)</f>
        <v/>
      </c>
      <c r="B458" s="150" t="str">
        <f>IF(ISNA(VLOOKUP(A458,Declarations!B$6:C$185,2,FALSE)),"",IF(VLOOKUP(A458,Declarations!B$6:C$185,2,FALSE)="","",VLOOKUP(A458,Declarations!B$6:C$185,2,FALSE)))</f>
        <v/>
      </c>
      <c r="C458" s="150" t="str">
        <f>IF(ISNA(VLOOKUP(A458,Declarations!B$6:F$185,5,FALSE)),"",IF(VLOOKUP(A458,Declarations!B$6:F$185,5,FALSE)="","",VLOOKUP(A458,Declarations!B$6:F$185,5,FALSE)))</f>
        <v/>
      </c>
      <c r="D458" s="150" t="str">
        <f>IF(ISNA(VLOOKUP(A458,Declarations!B$6:F$185,4,FALSE)),"",IF(VLOOKUP(A458,Declarations!B$6:F$185,4,FALSE)="","",VLOOKUP(A458,Declarations!B$6:F$185,4,FALSE)))</f>
        <v/>
      </c>
      <c r="E458" s="150" t="str">
        <f>IF(ISNA(VLOOKUP(A458,Declarations!B$6:D$185,3,FALSE)),"",IF(VLOOKUP(A458,Declarations!B$6:D$185,3,FALSE)="","",VLOOKUP(A458,Declarations!B$6:D$185,3,FALSE)))</f>
        <v/>
      </c>
      <c r="F458" s="49" t="str">
        <f>IF(B458="","",IF(ISNA(VLOOKUP(A458,'75m'!F$5:G$302,2,FALSE)),"",VLOOKUP(A458,'75m'!F$5:G$302,2,FALSE)))</f>
        <v/>
      </c>
      <c r="G458" s="49">
        <f>IF(B458="",0,IF(ISNA(_xlfn.XLOOKUP(A458,'75m'!F$5:F$302,'75m'!M$5:M$302)),0,_xlfn.XLOOKUP(A458,'75m'!F$5:F$302,'75m'!M$5:M$302)))</f>
        <v>0</v>
      </c>
      <c r="H458" s="49" t="str">
        <f>IF(B458="","",IF(ISNA(VLOOKUP(A458,'75m'!F$5:K$302,6,FALSE)),"",VLOOKUP(A458,'75m'!F$5:K$302,6,FALSE)))</f>
        <v/>
      </c>
      <c r="I458" s="51">
        <f>IF(B458="",0,IF(ISNA(VLOOKUP(A458,'600m'!F$5:J$302,2,FALSE)),0,VLOOKUP(A458,'600m'!F$5:J$302,2,FALSE)))</f>
        <v>0</v>
      </c>
      <c r="J458" s="49">
        <f>IF(B458="",0,IF(ISNA(_xlfn.XLOOKUP(A458,'600m'!F$5:F$302,'600m'!M$5:M$302)),0,_xlfn.XLOOKUP(A458,'600m'!F$5:F$302,'600m'!M$5:M$302)))</f>
        <v>0</v>
      </c>
      <c r="K458" s="49" t="str">
        <f>IF(B458="","",IF(ISNA(VLOOKUP(A458,'600m'!F$5:K$302,6,FALSE)),"",VLOOKUP(A458,'600m'!F$5:K$302,6,FALSE)))</f>
        <v/>
      </c>
      <c r="L458" s="49" t="str">
        <f>IF(B458="","",IF(ISNA(VLOOKUP(A458,LongJump!F$5:G$302,2,FALSE)),"",VLOOKUP(A458,LongJump!F$5:G$302,2,FALSE)))</f>
        <v/>
      </c>
      <c r="M458" s="49">
        <f>IF(B458="",0,IF(ISNA(_xlfn.XLOOKUP(A458,LongJump!F$5:F$302,LongJump!M$5:M$302)),0,_xlfn.XLOOKUP(A458,LongJump!F$5:F$302,LongJump!M$5:M$302)))</f>
        <v>0</v>
      </c>
      <c r="N458" s="49" t="str">
        <f>IF(B458="","",IF(ISNA(VLOOKUP(A458,LongJump!F$5:K$302,6,FALSE)),0,VLOOKUP(A458,LongJump!F$5:K$302,6,FALSE)))</f>
        <v/>
      </c>
      <c r="O458" s="49" t="str">
        <f>IF(B458="","",IF(ISNA(VLOOKUP(A458,Vortex!F$5:J$302,2,FALSE)),"",VLOOKUP(A458,Vortex!F$5:J$302,2,FALSE)))</f>
        <v/>
      </c>
      <c r="P458" s="49">
        <f>IF(B458="",0,IF(ISNA(_xlfn.XLOOKUP(A458,Vortex!F$5:F$302,Vortex!M$5:M$302)),0,_xlfn.XLOOKUP(A458,Vortex!F$5:F$302,Vortex!M$5:M$302)))</f>
        <v>0</v>
      </c>
      <c r="Q458" s="49">
        <f t="shared" si="37"/>
        <v>0</v>
      </c>
      <c r="R458" s="49" t="str">
        <f t="shared" si="38"/>
        <v/>
      </c>
      <c r="S458" s="49" t="str">
        <f t="shared" si="39"/>
        <v/>
      </c>
      <c r="T458" s="49" t="str">
        <f t="shared" si="40"/>
        <v/>
      </c>
      <c r="U458" s="49" t="str">
        <f t="shared" si="41"/>
        <v/>
      </c>
    </row>
    <row r="459" spans="1:21">
      <c r="A459" s="49" t="str">
        <f>IF(Declarations!B216=0,"",Declarations!B216)</f>
        <v/>
      </c>
      <c r="B459" s="150" t="str">
        <f>IF(ISNA(VLOOKUP(A459,Declarations!B$6:C$185,2,FALSE)),"",IF(VLOOKUP(A459,Declarations!B$6:C$185,2,FALSE)="","",VLOOKUP(A459,Declarations!B$6:C$185,2,FALSE)))</f>
        <v/>
      </c>
      <c r="C459" s="150" t="str">
        <f>IF(ISNA(VLOOKUP(A459,Declarations!B$6:F$185,5,FALSE)),"",IF(VLOOKUP(A459,Declarations!B$6:F$185,5,FALSE)="","",VLOOKUP(A459,Declarations!B$6:F$185,5,FALSE)))</f>
        <v/>
      </c>
      <c r="D459" s="150" t="str">
        <f>IF(ISNA(VLOOKUP(A459,Declarations!B$6:F$185,4,FALSE)),"",IF(VLOOKUP(A459,Declarations!B$6:F$185,4,FALSE)="","",VLOOKUP(A459,Declarations!B$6:F$185,4,FALSE)))</f>
        <v/>
      </c>
      <c r="E459" s="150" t="str">
        <f>IF(ISNA(VLOOKUP(A459,Declarations!B$6:D$185,3,FALSE)),"",IF(VLOOKUP(A459,Declarations!B$6:D$185,3,FALSE)="","",VLOOKUP(A459,Declarations!B$6:D$185,3,FALSE)))</f>
        <v/>
      </c>
      <c r="F459" s="49" t="str">
        <f>IF(B459="","",IF(ISNA(VLOOKUP(A459,'75m'!F$5:G$302,2,FALSE)),"",VLOOKUP(A459,'75m'!F$5:G$302,2,FALSE)))</f>
        <v/>
      </c>
      <c r="G459" s="49">
        <f>IF(B459="",0,IF(ISNA(_xlfn.XLOOKUP(A459,'75m'!F$5:F$302,'75m'!M$5:M$302)),0,_xlfn.XLOOKUP(A459,'75m'!F$5:F$302,'75m'!M$5:M$302)))</f>
        <v>0</v>
      </c>
      <c r="H459" s="49" t="str">
        <f>IF(B459="","",IF(ISNA(VLOOKUP(A459,'75m'!F$5:K$302,6,FALSE)),"",VLOOKUP(A459,'75m'!F$5:K$302,6,FALSE)))</f>
        <v/>
      </c>
      <c r="I459" s="51">
        <f>IF(B459="",0,IF(ISNA(VLOOKUP(A459,'600m'!F$5:J$302,2,FALSE)),0,VLOOKUP(A459,'600m'!F$5:J$302,2,FALSE)))</f>
        <v>0</v>
      </c>
      <c r="J459" s="49">
        <f>IF(B459="",0,IF(ISNA(_xlfn.XLOOKUP(A459,'600m'!F$5:F$302,'600m'!M$5:M$302)),0,_xlfn.XLOOKUP(A459,'600m'!F$5:F$302,'600m'!M$5:M$302)))</f>
        <v>0</v>
      </c>
      <c r="K459" s="49" t="str">
        <f>IF(B459="","",IF(ISNA(VLOOKUP(A459,'600m'!F$5:K$302,6,FALSE)),"",VLOOKUP(A459,'600m'!F$5:K$302,6,FALSE)))</f>
        <v/>
      </c>
      <c r="L459" s="49" t="str">
        <f>IF(B459="","",IF(ISNA(VLOOKUP(A459,LongJump!F$5:G$302,2,FALSE)),"",VLOOKUP(A459,LongJump!F$5:G$302,2,FALSE)))</f>
        <v/>
      </c>
      <c r="M459" s="49">
        <f>IF(B459="",0,IF(ISNA(_xlfn.XLOOKUP(A459,LongJump!F$5:F$302,LongJump!M$5:M$302)),0,_xlfn.XLOOKUP(A459,LongJump!F$5:F$302,LongJump!M$5:M$302)))</f>
        <v>0</v>
      </c>
      <c r="N459" s="49" t="str">
        <f>IF(B459="","",IF(ISNA(VLOOKUP(A459,LongJump!F$5:K$302,6,FALSE)),0,VLOOKUP(A459,LongJump!F$5:K$302,6,FALSE)))</f>
        <v/>
      </c>
      <c r="O459" s="49" t="str">
        <f>IF(B459="","",IF(ISNA(VLOOKUP(A459,Vortex!F$5:J$302,2,FALSE)),"",VLOOKUP(A459,Vortex!F$5:J$302,2,FALSE)))</f>
        <v/>
      </c>
      <c r="P459" s="49">
        <f>IF(B459="",0,IF(ISNA(_xlfn.XLOOKUP(A459,Vortex!F$5:F$302,Vortex!M$5:M$302)),0,_xlfn.XLOOKUP(A459,Vortex!F$5:F$302,Vortex!M$5:M$302)))</f>
        <v>0</v>
      </c>
      <c r="Q459" s="49">
        <f t="shared" si="37"/>
        <v>0</v>
      </c>
      <c r="R459" s="49" t="str">
        <f t="shared" si="38"/>
        <v/>
      </c>
      <c r="S459" s="49" t="str">
        <f t="shared" si="39"/>
        <v/>
      </c>
      <c r="T459" s="49" t="str">
        <f t="shared" si="40"/>
        <v/>
      </c>
      <c r="U459" s="49" t="str">
        <f t="shared" si="41"/>
        <v/>
      </c>
    </row>
    <row r="460" spans="1:21">
      <c r="A460" s="49" t="str">
        <f>IF(Declarations!B217=0,"",Declarations!B217)</f>
        <v/>
      </c>
      <c r="B460" s="150" t="str">
        <f>IF(ISNA(VLOOKUP(A460,Declarations!B$6:C$185,2,FALSE)),"",IF(VLOOKUP(A460,Declarations!B$6:C$185,2,FALSE)="","",VLOOKUP(A460,Declarations!B$6:C$185,2,FALSE)))</f>
        <v/>
      </c>
      <c r="C460" s="150" t="str">
        <f>IF(ISNA(VLOOKUP(A460,Declarations!B$6:F$185,5,FALSE)),"",IF(VLOOKUP(A460,Declarations!B$6:F$185,5,FALSE)="","",VLOOKUP(A460,Declarations!B$6:F$185,5,FALSE)))</f>
        <v/>
      </c>
      <c r="D460" s="150" t="str">
        <f>IF(ISNA(VLOOKUP(A460,Declarations!B$6:F$185,4,FALSE)),"",IF(VLOOKUP(A460,Declarations!B$6:F$185,4,FALSE)="","",VLOOKUP(A460,Declarations!B$6:F$185,4,FALSE)))</f>
        <v/>
      </c>
      <c r="E460" s="150" t="str">
        <f>IF(ISNA(VLOOKUP(A460,Declarations!B$6:D$185,3,FALSE)),"",IF(VLOOKUP(A460,Declarations!B$6:D$185,3,FALSE)="","",VLOOKUP(A460,Declarations!B$6:D$185,3,FALSE)))</f>
        <v/>
      </c>
      <c r="F460" s="49" t="str">
        <f>IF(B460="","",IF(ISNA(VLOOKUP(A460,'75m'!F$5:G$302,2,FALSE)),"",VLOOKUP(A460,'75m'!F$5:G$302,2,FALSE)))</f>
        <v/>
      </c>
      <c r="G460" s="49">
        <f>IF(B460="",0,IF(ISNA(_xlfn.XLOOKUP(A460,'75m'!F$5:F$302,'75m'!M$5:M$302)),0,_xlfn.XLOOKUP(A460,'75m'!F$5:F$302,'75m'!M$5:M$302)))</f>
        <v>0</v>
      </c>
      <c r="H460" s="49" t="str">
        <f>IF(B460="","",IF(ISNA(VLOOKUP(A460,'75m'!F$5:K$302,6,FALSE)),"",VLOOKUP(A460,'75m'!F$5:K$302,6,FALSE)))</f>
        <v/>
      </c>
      <c r="I460" s="51">
        <f>IF(B460="",0,IF(ISNA(VLOOKUP(A460,'600m'!F$5:J$302,2,FALSE)),0,VLOOKUP(A460,'600m'!F$5:J$302,2,FALSE)))</f>
        <v>0</v>
      </c>
      <c r="J460" s="49">
        <f>IF(B460="",0,IF(ISNA(_xlfn.XLOOKUP(A460,'600m'!F$5:F$302,'600m'!M$5:M$302)),0,_xlfn.XLOOKUP(A460,'600m'!F$5:F$302,'600m'!M$5:M$302)))</f>
        <v>0</v>
      </c>
      <c r="K460" s="49" t="str">
        <f>IF(B460="","",IF(ISNA(VLOOKUP(A460,'600m'!F$5:K$302,6,FALSE)),"",VLOOKUP(A460,'600m'!F$5:K$302,6,FALSE)))</f>
        <v/>
      </c>
      <c r="L460" s="49" t="str">
        <f>IF(B460="","",IF(ISNA(VLOOKUP(A460,LongJump!F$5:G$302,2,FALSE)),"",VLOOKUP(A460,LongJump!F$5:G$302,2,FALSE)))</f>
        <v/>
      </c>
      <c r="M460" s="49">
        <f>IF(B460="",0,IF(ISNA(_xlfn.XLOOKUP(A460,LongJump!F$5:F$302,LongJump!M$5:M$302)),0,_xlfn.XLOOKUP(A460,LongJump!F$5:F$302,LongJump!M$5:M$302)))</f>
        <v>0</v>
      </c>
      <c r="N460" s="49" t="str">
        <f>IF(B460="","",IF(ISNA(VLOOKUP(A460,LongJump!F$5:K$302,6,FALSE)),0,VLOOKUP(A460,LongJump!F$5:K$302,6,FALSE)))</f>
        <v/>
      </c>
      <c r="O460" s="49" t="str">
        <f>IF(B460="","",IF(ISNA(VLOOKUP(A460,Vortex!F$5:J$302,2,FALSE)),"",VLOOKUP(A460,Vortex!F$5:J$302,2,FALSE)))</f>
        <v/>
      </c>
      <c r="P460" s="49">
        <f>IF(B460="",0,IF(ISNA(_xlfn.XLOOKUP(A460,Vortex!F$5:F$302,Vortex!M$5:M$302)),0,_xlfn.XLOOKUP(A460,Vortex!F$5:F$302,Vortex!M$5:M$302)))</f>
        <v>0</v>
      </c>
      <c r="Q460" s="49">
        <f t="shared" si="37"/>
        <v>0</v>
      </c>
      <c r="R460" s="49" t="str">
        <f t="shared" si="38"/>
        <v/>
      </c>
      <c r="S460" s="49" t="str">
        <f t="shared" si="39"/>
        <v/>
      </c>
      <c r="T460" s="49" t="str">
        <f t="shared" si="40"/>
        <v/>
      </c>
      <c r="U460" s="49" t="str">
        <f t="shared" si="41"/>
        <v/>
      </c>
    </row>
    <row r="461" spans="1:21">
      <c r="A461" s="49" t="str">
        <f>IF(Declarations!B218=0,"",Declarations!B218)</f>
        <v/>
      </c>
      <c r="B461" s="150" t="str">
        <f>IF(ISNA(VLOOKUP(A461,Declarations!B$6:C$185,2,FALSE)),"",IF(VLOOKUP(A461,Declarations!B$6:C$185,2,FALSE)="","",VLOOKUP(A461,Declarations!B$6:C$185,2,FALSE)))</f>
        <v/>
      </c>
      <c r="C461" s="150" t="str">
        <f>IF(ISNA(VLOOKUP(A461,Declarations!B$6:F$185,5,FALSE)),"",IF(VLOOKUP(A461,Declarations!B$6:F$185,5,FALSE)="","",VLOOKUP(A461,Declarations!B$6:F$185,5,FALSE)))</f>
        <v/>
      </c>
      <c r="D461" s="150" t="str">
        <f>IF(ISNA(VLOOKUP(A461,Declarations!B$6:F$185,4,FALSE)),"",IF(VLOOKUP(A461,Declarations!B$6:F$185,4,FALSE)="","",VLOOKUP(A461,Declarations!B$6:F$185,4,FALSE)))</f>
        <v/>
      </c>
      <c r="E461" s="150" t="str">
        <f>IF(ISNA(VLOOKUP(A461,Declarations!B$6:D$185,3,FALSE)),"",IF(VLOOKUP(A461,Declarations!B$6:D$185,3,FALSE)="","",VLOOKUP(A461,Declarations!B$6:D$185,3,FALSE)))</f>
        <v/>
      </c>
      <c r="F461" s="49" t="str">
        <f>IF(B461="","",IF(ISNA(VLOOKUP(A461,'75m'!F$5:G$302,2,FALSE)),"",VLOOKUP(A461,'75m'!F$5:G$302,2,FALSE)))</f>
        <v/>
      </c>
      <c r="G461" s="49">
        <f>IF(B461="",0,IF(ISNA(_xlfn.XLOOKUP(A461,'75m'!F$5:F$302,'75m'!M$5:M$302)),0,_xlfn.XLOOKUP(A461,'75m'!F$5:F$302,'75m'!M$5:M$302)))</f>
        <v>0</v>
      </c>
      <c r="H461" s="49" t="str">
        <f>IF(B461="","",IF(ISNA(VLOOKUP(A461,'75m'!F$5:K$302,6,FALSE)),"",VLOOKUP(A461,'75m'!F$5:K$302,6,FALSE)))</f>
        <v/>
      </c>
      <c r="I461" s="51">
        <f>IF(B461="",0,IF(ISNA(VLOOKUP(A461,'600m'!F$5:J$302,2,FALSE)),0,VLOOKUP(A461,'600m'!F$5:J$302,2,FALSE)))</f>
        <v>0</v>
      </c>
      <c r="J461" s="49">
        <f>IF(B461="",0,IF(ISNA(_xlfn.XLOOKUP(A461,'600m'!F$5:F$302,'600m'!M$5:M$302)),0,_xlfn.XLOOKUP(A461,'600m'!F$5:F$302,'600m'!M$5:M$302)))</f>
        <v>0</v>
      </c>
      <c r="K461" s="49" t="str">
        <f>IF(B461="","",IF(ISNA(VLOOKUP(A461,'600m'!F$5:K$302,6,FALSE)),"",VLOOKUP(A461,'600m'!F$5:K$302,6,FALSE)))</f>
        <v/>
      </c>
      <c r="L461" s="49" t="str">
        <f>IF(B461="","",IF(ISNA(VLOOKUP(A461,LongJump!F$5:G$302,2,FALSE)),"",VLOOKUP(A461,LongJump!F$5:G$302,2,FALSE)))</f>
        <v/>
      </c>
      <c r="M461" s="49">
        <f>IF(B461="",0,IF(ISNA(_xlfn.XLOOKUP(A461,LongJump!F$5:F$302,LongJump!M$5:M$302)),0,_xlfn.XLOOKUP(A461,LongJump!F$5:F$302,LongJump!M$5:M$302)))</f>
        <v>0</v>
      </c>
      <c r="N461" s="49" t="str">
        <f>IF(B461="","",IF(ISNA(VLOOKUP(A461,LongJump!F$5:K$302,6,FALSE)),0,VLOOKUP(A461,LongJump!F$5:K$302,6,FALSE)))</f>
        <v/>
      </c>
      <c r="O461" s="49" t="str">
        <f>IF(B461="","",IF(ISNA(VLOOKUP(A461,Vortex!F$5:J$302,2,FALSE)),"",VLOOKUP(A461,Vortex!F$5:J$302,2,FALSE)))</f>
        <v/>
      </c>
      <c r="P461" s="49">
        <f>IF(B461="",0,IF(ISNA(_xlfn.XLOOKUP(A461,Vortex!F$5:F$302,Vortex!M$5:M$302)),0,_xlfn.XLOOKUP(A461,Vortex!F$5:F$302,Vortex!M$5:M$302)))</f>
        <v>0</v>
      </c>
      <c r="Q461" s="49">
        <f t="shared" si="37"/>
        <v>0</v>
      </c>
      <c r="R461" s="49" t="str">
        <f t="shared" si="38"/>
        <v/>
      </c>
      <c r="S461" s="49" t="str">
        <f t="shared" si="39"/>
        <v/>
      </c>
      <c r="T461" s="49" t="str">
        <f t="shared" si="40"/>
        <v/>
      </c>
      <c r="U461" s="49" t="str">
        <f t="shared" si="41"/>
        <v/>
      </c>
    </row>
    <row r="462" spans="1:21">
      <c r="A462" s="49" t="str">
        <f>IF(Declarations!B219=0,"",Declarations!B219)</f>
        <v/>
      </c>
      <c r="B462" s="150" t="str">
        <f>IF(ISNA(VLOOKUP(A462,Declarations!B$6:C$185,2,FALSE)),"",IF(VLOOKUP(A462,Declarations!B$6:C$185,2,FALSE)="","",VLOOKUP(A462,Declarations!B$6:C$185,2,FALSE)))</f>
        <v/>
      </c>
      <c r="C462" s="150" t="str">
        <f>IF(ISNA(VLOOKUP(A462,Declarations!B$6:F$185,5,FALSE)),"",IF(VLOOKUP(A462,Declarations!B$6:F$185,5,FALSE)="","",VLOOKUP(A462,Declarations!B$6:F$185,5,FALSE)))</f>
        <v/>
      </c>
      <c r="D462" s="150" t="str">
        <f>IF(ISNA(VLOOKUP(A462,Declarations!B$6:F$185,4,FALSE)),"",IF(VLOOKUP(A462,Declarations!B$6:F$185,4,FALSE)="","",VLOOKUP(A462,Declarations!B$6:F$185,4,FALSE)))</f>
        <v/>
      </c>
      <c r="E462" s="150" t="str">
        <f>IF(ISNA(VLOOKUP(A462,Declarations!B$6:D$185,3,FALSE)),"",IF(VLOOKUP(A462,Declarations!B$6:D$185,3,FALSE)="","",VLOOKUP(A462,Declarations!B$6:D$185,3,FALSE)))</f>
        <v/>
      </c>
      <c r="F462" s="49" t="str">
        <f>IF(B462="","",IF(ISNA(VLOOKUP(A462,'75m'!F$5:G$302,2,FALSE)),"",VLOOKUP(A462,'75m'!F$5:G$302,2,FALSE)))</f>
        <v/>
      </c>
      <c r="G462" s="49">
        <f>IF(B462="",0,IF(ISNA(_xlfn.XLOOKUP(A462,'75m'!F$5:F$302,'75m'!M$5:M$302)),0,_xlfn.XLOOKUP(A462,'75m'!F$5:F$302,'75m'!M$5:M$302)))</f>
        <v>0</v>
      </c>
      <c r="H462" s="49" t="str">
        <f>IF(B462="","",IF(ISNA(VLOOKUP(A462,'75m'!F$5:K$302,6,FALSE)),"",VLOOKUP(A462,'75m'!F$5:K$302,6,FALSE)))</f>
        <v/>
      </c>
      <c r="I462" s="51">
        <f>IF(B462="",0,IF(ISNA(VLOOKUP(A462,'600m'!F$5:J$302,2,FALSE)),0,VLOOKUP(A462,'600m'!F$5:J$302,2,FALSE)))</f>
        <v>0</v>
      </c>
      <c r="J462" s="49">
        <f>IF(B462="",0,IF(ISNA(_xlfn.XLOOKUP(A462,'600m'!F$5:F$302,'600m'!M$5:M$302)),0,_xlfn.XLOOKUP(A462,'600m'!F$5:F$302,'600m'!M$5:M$302)))</f>
        <v>0</v>
      </c>
      <c r="K462" s="49" t="str">
        <f>IF(B462="","",IF(ISNA(VLOOKUP(A462,'600m'!F$5:K$302,6,FALSE)),"",VLOOKUP(A462,'600m'!F$5:K$302,6,FALSE)))</f>
        <v/>
      </c>
      <c r="L462" s="49" t="str">
        <f>IF(B462="","",IF(ISNA(VLOOKUP(A462,LongJump!F$5:G$302,2,FALSE)),"",VLOOKUP(A462,LongJump!F$5:G$302,2,FALSE)))</f>
        <v/>
      </c>
      <c r="M462" s="49">
        <f>IF(B462="",0,IF(ISNA(_xlfn.XLOOKUP(A462,LongJump!F$5:F$302,LongJump!M$5:M$302)),0,_xlfn.XLOOKUP(A462,LongJump!F$5:F$302,LongJump!M$5:M$302)))</f>
        <v>0</v>
      </c>
      <c r="N462" s="49" t="str">
        <f>IF(B462="","",IF(ISNA(VLOOKUP(A462,LongJump!F$5:K$302,6,FALSE)),0,VLOOKUP(A462,LongJump!F$5:K$302,6,FALSE)))</f>
        <v/>
      </c>
      <c r="O462" s="49" t="str">
        <f>IF(B462="","",IF(ISNA(VLOOKUP(A462,Vortex!F$5:J$302,2,FALSE)),"",VLOOKUP(A462,Vortex!F$5:J$302,2,FALSE)))</f>
        <v/>
      </c>
      <c r="P462" s="49">
        <f>IF(B462="",0,IF(ISNA(_xlfn.XLOOKUP(A462,Vortex!F$5:F$302,Vortex!M$5:M$302)),0,_xlfn.XLOOKUP(A462,Vortex!F$5:F$302,Vortex!M$5:M$302)))</f>
        <v>0</v>
      </c>
      <c r="Q462" s="49">
        <f t="shared" si="37"/>
        <v>0</v>
      </c>
      <c r="R462" s="49" t="str">
        <f t="shared" si="38"/>
        <v/>
      </c>
      <c r="S462" s="49" t="str">
        <f t="shared" si="39"/>
        <v/>
      </c>
      <c r="T462" s="49" t="str">
        <f t="shared" si="40"/>
        <v/>
      </c>
      <c r="U462" s="49" t="str">
        <f t="shared" si="41"/>
        <v/>
      </c>
    </row>
    <row r="463" spans="1:21">
      <c r="A463" s="49" t="str">
        <f>IF(Declarations!B220=0,"",Declarations!B220)</f>
        <v/>
      </c>
      <c r="B463" s="150" t="str">
        <f>IF(ISNA(VLOOKUP(A463,Declarations!B$6:C$185,2,FALSE)),"",IF(VLOOKUP(A463,Declarations!B$6:C$185,2,FALSE)="","",VLOOKUP(A463,Declarations!B$6:C$185,2,FALSE)))</f>
        <v/>
      </c>
      <c r="C463" s="150" t="str">
        <f>IF(ISNA(VLOOKUP(A463,Declarations!B$6:F$185,5,FALSE)),"",IF(VLOOKUP(A463,Declarations!B$6:F$185,5,FALSE)="","",VLOOKUP(A463,Declarations!B$6:F$185,5,FALSE)))</f>
        <v/>
      </c>
      <c r="D463" s="150" t="str">
        <f>IF(ISNA(VLOOKUP(A463,Declarations!B$6:F$185,4,FALSE)),"",IF(VLOOKUP(A463,Declarations!B$6:F$185,4,FALSE)="","",VLOOKUP(A463,Declarations!B$6:F$185,4,FALSE)))</f>
        <v/>
      </c>
      <c r="E463" s="150" t="str">
        <f>IF(ISNA(VLOOKUP(A463,Declarations!B$6:D$185,3,FALSE)),"",IF(VLOOKUP(A463,Declarations!B$6:D$185,3,FALSE)="","",VLOOKUP(A463,Declarations!B$6:D$185,3,FALSE)))</f>
        <v/>
      </c>
      <c r="F463" s="49" t="str">
        <f>IF(B463="","",IF(ISNA(VLOOKUP(A463,'75m'!F$5:G$302,2,FALSE)),"",VLOOKUP(A463,'75m'!F$5:G$302,2,FALSE)))</f>
        <v/>
      </c>
      <c r="G463" s="49">
        <f>IF(B463="",0,IF(ISNA(_xlfn.XLOOKUP(A463,'75m'!F$5:F$302,'75m'!M$5:M$302)),0,_xlfn.XLOOKUP(A463,'75m'!F$5:F$302,'75m'!M$5:M$302)))</f>
        <v>0</v>
      </c>
      <c r="H463" s="49" t="str">
        <f>IF(B463="","",IF(ISNA(VLOOKUP(A463,'75m'!F$5:K$302,6,FALSE)),"",VLOOKUP(A463,'75m'!F$5:K$302,6,FALSE)))</f>
        <v/>
      </c>
      <c r="I463" s="51">
        <f>IF(B463="",0,IF(ISNA(VLOOKUP(A463,'600m'!F$5:J$302,2,FALSE)),0,VLOOKUP(A463,'600m'!F$5:J$302,2,FALSE)))</f>
        <v>0</v>
      </c>
      <c r="J463" s="49">
        <f>IF(B463="",0,IF(ISNA(_xlfn.XLOOKUP(A463,'600m'!F$5:F$302,'600m'!M$5:M$302)),0,_xlfn.XLOOKUP(A463,'600m'!F$5:F$302,'600m'!M$5:M$302)))</f>
        <v>0</v>
      </c>
      <c r="K463" s="49" t="str">
        <f>IF(B463="","",IF(ISNA(VLOOKUP(A463,'600m'!F$5:K$302,6,FALSE)),"",VLOOKUP(A463,'600m'!F$5:K$302,6,FALSE)))</f>
        <v/>
      </c>
      <c r="L463" s="49" t="str">
        <f>IF(B463="","",IF(ISNA(VLOOKUP(A463,LongJump!F$5:G$302,2,FALSE)),"",VLOOKUP(A463,LongJump!F$5:G$302,2,FALSE)))</f>
        <v/>
      </c>
      <c r="M463" s="49">
        <f>IF(B463="",0,IF(ISNA(_xlfn.XLOOKUP(A463,LongJump!F$5:F$302,LongJump!M$5:M$302)),0,_xlfn.XLOOKUP(A463,LongJump!F$5:F$302,LongJump!M$5:M$302)))</f>
        <v>0</v>
      </c>
      <c r="N463" s="49" t="str">
        <f>IF(B463="","",IF(ISNA(VLOOKUP(A463,LongJump!F$5:K$302,6,FALSE)),0,VLOOKUP(A463,LongJump!F$5:K$302,6,FALSE)))</f>
        <v/>
      </c>
      <c r="O463" s="49" t="str">
        <f>IF(B463="","",IF(ISNA(VLOOKUP(A463,Vortex!F$5:J$302,2,FALSE)),"",VLOOKUP(A463,Vortex!F$5:J$302,2,FALSE)))</f>
        <v/>
      </c>
      <c r="P463" s="49">
        <f>IF(B463="",0,IF(ISNA(_xlfn.XLOOKUP(A463,Vortex!F$5:F$302,Vortex!M$5:M$302)),0,_xlfn.XLOOKUP(A463,Vortex!F$5:F$302,Vortex!M$5:M$302)))</f>
        <v>0</v>
      </c>
      <c r="Q463" s="49">
        <f t="shared" si="37"/>
        <v>0</v>
      </c>
      <c r="R463" s="49" t="str">
        <f t="shared" si="38"/>
        <v/>
      </c>
      <c r="S463" s="49" t="str">
        <f t="shared" si="39"/>
        <v/>
      </c>
      <c r="T463" s="49" t="str">
        <f t="shared" si="40"/>
        <v/>
      </c>
      <c r="U463" s="49" t="str">
        <f t="shared" si="41"/>
        <v/>
      </c>
    </row>
    <row r="464" spans="1:21">
      <c r="A464" s="49" t="str">
        <f>IF(Declarations!B221=0,"",Declarations!B221)</f>
        <v/>
      </c>
      <c r="B464" s="150" t="str">
        <f>IF(ISNA(VLOOKUP(A464,Declarations!B$6:C$185,2,FALSE)),"",IF(VLOOKUP(A464,Declarations!B$6:C$185,2,FALSE)="","",VLOOKUP(A464,Declarations!B$6:C$185,2,FALSE)))</f>
        <v/>
      </c>
      <c r="C464" s="150" t="str">
        <f>IF(ISNA(VLOOKUP(A464,Declarations!B$6:F$185,5,FALSE)),"",IF(VLOOKUP(A464,Declarations!B$6:F$185,5,FALSE)="","",VLOOKUP(A464,Declarations!B$6:F$185,5,FALSE)))</f>
        <v/>
      </c>
      <c r="D464" s="150" t="str">
        <f>IF(ISNA(VLOOKUP(A464,Declarations!B$6:F$185,4,FALSE)),"",IF(VLOOKUP(A464,Declarations!B$6:F$185,4,FALSE)="","",VLOOKUP(A464,Declarations!B$6:F$185,4,FALSE)))</f>
        <v/>
      </c>
      <c r="E464" s="150" t="str">
        <f>IF(ISNA(VLOOKUP(A464,Declarations!B$6:D$185,3,FALSE)),"",IF(VLOOKUP(A464,Declarations!B$6:D$185,3,FALSE)="","",VLOOKUP(A464,Declarations!B$6:D$185,3,FALSE)))</f>
        <v/>
      </c>
      <c r="F464" s="49" t="str">
        <f>IF(B464="","",IF(ISNA(VLOOKUP(A464,'75m'!F$5:G$302,2,FALSE)),"",VLOOKUP(A464,'75m'!F$5:G$302,2,FALSE)))</f>
        <v/>
      </c>
      <c r="G464" s="49">
        <f>IF(B464="",0,IF(ISNA(_xlfn.XLOOKUP(A464,'75m'!F$5:F$302,'75m'!M$5:M$302)),0,_xlfn.XLOOKUP(A464,'75m'!F$5:F$302,'75m'!M$5:M$302)))</f>
        <v>0</v>
      </c>
      <c r="H464" s="49" t="str">
        <f>IF(B464="","",IF(ISNA(VLOOKUP(A464,'75m'!F$5:K$302,6,FALSE)),"",VLOOKUP(A464,'75m'!F$5:K$302,6,FALSE)))</f>
        <v/>
      </c>
      <c r="I464" s="51">
        <f>IF(B464="",0,IF(ISNA(VLOOKUP(A464,'600m'!F$5:J$302,2,FALSE)),0,VLOOKUP(A464,'600m'!F$5:J$302,2,FALSE)))</f>
        <v>0</v>
      </c>
      <c r="J464" s="49">
        <f>IF(B464="",0,IF(ISNA(_xlfn.XLOOKUP(A464,'600m'!F$5:F$302,'600m'!M$5:M$302)),0,_xlfn.XLOOKUP(A464,'600m'!F$5:F$302,'600m'!M$5:M$302)))</f>
        <v>0</v>
      </c>
      <c r="K464" s="49" t="str">
        <f>IF(B464="","",IF(ISNA(VLOOKUP(A464,'600m'!F$5:K$302,6,FALSE)),"",VLOOKUP(A464,'600m'!F$5:K$302,6,FALSE)))</f>
        <v/>
      </c>
      <c r="L464" s="49" t="str">
        <f>IF(B464="","",IF(ISNA(VLOOKUP(A464,LongJump!F$5:G$302,2,FALSE)),"",VLOOKUP(A464,LongJump!F$5:G$302,2,FALSE)))</f>
        <v/>
      </c>
      <c r="M464" s="49">
        <f>IF(B464="",0,IF(ISNA(_xlfn.XLOOKUP(A464,LongJump!F$5:F$302,LongJump!M$5:M$302)),0,_xlfn.XLOOKUP(A464,LongJump!F$5:F$302,LongJump!M$5:M$302)))</f>
        <v>0</v>
      </c>
      <c r="N464" s="49" t="str">
        <f>IF(B464="","",IF(ISNA(VLOOKUP(A464,LongJump!F$5:K$302,6,FALSE)),0,VLOOKUP(A464,LongJump!F$5:K$302,6,FALSE)))</f>
        <v/>
      </c>
      <c r="O464" s="49" t="str">
        <f>IF(B464="","",IF(ISNA(VLOOKUP(A464,Vortex!F$5:J$302,2,FALSE)),"",VLOOKUP(A464,Vortex!F$5:J$302,2,FALSE)))</f>
        <v/>
      </c>
      <c r="P464" s="49">
        <f>IF(B464="",0,IF(ISNA(_xlfn.XLOOKUP(A464,Vortex!F$5:F$302,Vortex!M$5:M$302)),0,_xlfn.XLOOKUP(A464,Vortex!F$5:F$302,Vortex!M$5:M$302)))</f>
        <v>0</v>
      </c>
      <c r="Q464" s="49">
        <f t="shared" si="37"/>
        <v>0</v>
      </c>
      <c r="R464" s="49" t="str">
        <f t="shared" si="38"/>
        <v/>
      </c>
      <c r="S464" s="49" t="str">
        <f t="shared" si="39"/>
        <v/>
      </c>
      <c r="T464" s="49" t="str">
        <f t="shared" si="40"/>
        <v/>
      </c>
      <c r="U464" s="49" t="str">
        <f t="shared" si="41"/>
        <v/>
      </c>
    </row>
    <row r="465" spans="1:21">
      <c r="A465" s="49" t="str">
        <f>IF(Declarations!B222=0,"",Declarations!B222)</f>
        <v/>
      </c>
      <c r="B465" s="150" t="str">
        <f>IF(ISNA(VLOOKUP(A465,Declarations!B$6:C$185,2,FALSE)),"",IF(VLOOKUP(A465,Declarations!B$6:C$185,2,FALSE)="","",VLOOKUP(A465,Declarations!B$6:C$185,2,FALSE)))</f>
        <v/>
      </c>
      <c r="C465" s="150" t="str">
        <f>IF(ISNA(VLOOKUP(A465,Declarations!B$6:F$185,5,FALSE)),"",IF(VLOOKUP(A465,Declarations!B$6:F$185,5,FALSE)="","",VLOOKUP(A465,Declarations!B$6:F$185,5,FALSE)))</f>
        <v/>
      </c>
      <c r="D465" s="150" t="str">
        <f>IF(ISNA(VLOOKUP(A465,Declarations!B$6:F$185,4,FALSE)),"",IF(VLOOKUP(A465,Declarations!B$6:F$185,4,FALSE)="","",VLOOKUP(A465,Declarations!B$6:F$185,4,FALSE)))</f>
        <v/>
      </c>
      <c r="E465" s="150" t="str">
        <f>IF(ISNA(VLOOKUP(A465,Declarations!B$6:D$185,3,FALSE)),"",IF(VLOOKUP(A465,Declarations!B$6:D$185,3,FALSE)="","",VLOOKUP(A465,Declarations!B$6:D$185,3,FALSE)))</f>
        <v/>
      </c>
      <c r="F465" s="49" t="str">
        <f>IF(B465="","",IF(ISNA(VLOOKUP(A465,'75m'!F$5:G$302,2,FALSE)),"",VLOOKUP(A465,'75m'!F$5:G$302,2,FALSE)))</f>
        <v/>
      </c>
      <c r="G465" s="49">
        <f>IF(B465="",0,IF(ISNA(_xlfn.XLOOKUP(A465,'75m'!F$5:F$302,'75m'!M$5:M$302)),0,_xlfn.XLOOKUP(A465,'75m'!F$5:F$302,'75m'!M$5:M$302)))</f>
        <v>0</v>
      </c>
      <c r="H465" s="49" t="str">
        <f>IF(B465="","",IF(ISNA(VLOOKUP(A465,'75m'!F$5:K$302,6,FALSE)),"",VLOOKUP(A465,'75m'!F$5:K$302,6,FALSE)))</f>
        <v/>
      </c>
      <c r="I465" s="51">
        <f>IF(B465="",0,IF(ISNA(VLOOKUP(A465,'600m'!F$5:J$302,2,FALSE)),0,VLOOKUP(A465,'600m'!F$5:J$302,2,FALSE)))</f>
        <v>0</v>
      </c>
      <c r="J465" s="49">
        <f>IF(B465="",0,IF(ISNA(_xlfn.XLOOKUP(A465,'600m'!F$5:F$302,'600m'!M$5:M$302)),0,_xlfn.XLOOKUP(A465,'600m'!F$5:F$302,'600m'!M$5:M$302)))</f>
        <v>0</v>
      </c>
      <c r="K465" s="49" t="str">
        <f>IF(B465="","",IF(ISNA(VLOOKUP(A465,'600m'!F$5:K$302,6,FALSE)),"",VLOOKUP(A465,'600m'!F$5:K$302,6,FALSE)))</f>
        <v/>
      </c>
      <c r="L465" s="49" t="str">
        <f>IF(B465="","",IF(ISNA(VLOOKUP(A465,LongJump!F$5:G$302,2,FALSE)),"",VLOOKUP(A465,LongJump!F$5:G$302,2,FALSE)))</f>
        <v/>
      </c>
      <c r="M465" s="49">
        <f>IF(B465="",0,IF(ISNA(_xlfn.XLOOKUP(A465,LongJump!F$5:F$302,LongJump!M$5:M$302)),0,_xlfn.XLOOKUP(A465,LongJump!F$5:F$302,LongJump!M$5:M$302)))</f>
        <v>0</v>
      </c>
      <c r="N465" s="49" t="str">
        <f>IF(B465="","",IF(ISNA(VLOOKUP(A465,LongJump!F$5:K$302,6,FALSE)),0,VLOOKUP(A465,LongJump!F$5:K$302,6,FALSE)))</f>
        <v/>
      </c>
      <c r="O465" s="49" t="str">
        <f>IF(B465="","",IF(ISNA(VLOOKUP(A465,Vortex!F$5:J$302,2,FALSE)),"",VLOOKUP(A465,Vortex!F$5:J$302,2,FALSE)))</f>
        <v/>
      </c>
      <c r="P465" s="49">
        <f>IF(B465="",0,IF(ISNA(_xlfn.XLOOKUP(A465,Vortex!F$5:F$302,Vortex!M$5:M$302)),0,_xlfn.XLOOKUP(A465,Vortex!F$5:F$302,Vortex!M$5:M$302)))</f>
        <v>0</v>
      </c>
      <c r="Q465" s="49">
        <f t="shared" si="37"/>
        <v>0</v>
      </c>
      <c r="R465" s="49" t="str">
        <f t="shared" si="38"/>
        <v/>
      </c>
      <c r="S465" s="49" t="str">
        <f t="shared" si="39"/>
        <v/>
      </c>
      <c r="T465" s="49" t="str">
        <f t="shared" si="40"/>
        <v/>
      </c>
      <c r="U465" s="49" t="str">
        <f t="shared" si="41"/>
        <v/>
      </c>
    </row>
    <row r="466" spans="1:21">
      <c r="A466" s="49" t="str">
        <f>IF(Declarations!B223=0,"",Declarations!B223)</f>
        <v/>
      </c>
      <c r="B466" s="150" t="str">
        <f>IF(ISNA(VLOOKUP(A466,Declarations!B$6:C$185,2,FALSE)),"",IF(VLOOKUP(A466,Declarations!B$6:C$185,2,FALSE)="","",VLOOKUP(A466,Declarations!B$6:C$185,2,FALSE)))</f>
        <v/>
      </c>
      <c r="C466" s="150" t="str">
        <f>IF(ISNA(VLOOKUP(A466,Declarations!B$6:F$185,5,FALSE)),"",IF(VLOOKUP(A466,Declarations!B$6:F$185,5,FALSE)="","",VLOOKUP(A466,Declarations!B$6:F$185,5,FALSE)))</f>
        <v/>
      </c>
      <c r="D466" s="150" t="str">
        <f>IF(ISNA(VLOOKUP(A466,Declarations!B$6:F$185,4,FALSE)),"",IF(VLOOKUP(A466,Declarations!B$6:F$185,4,FALSE)="","",VLOOKUP(A466,Declarations!B$6:F$185,4,FALSE)))</f>
        <v/>
      </c>
      <c r="E466" s="150" t="str">
        <f>IF(ISNA(VLOOKUP(A466,Declarations!B$6:D$185,3,FALSE)),"",IF(VLOOKUP(A466,Declarations!B$6:D$185,3,FALSE)="","",VLOOKUP(A466,Declarations!B$6:D$185,3,FALSE)))</f>
        <v/>
      </c>
      <c r="F466" s="49" t="str">
        <f>IF(B466="","",IF(ISNA(VLOOKUP(A466,'75m'!F$5:G$302,2,FALSE)),"",VLOOKUP(A466,'75m'!F$5:G$302,2,FALSE)))</f>
        <v/>
      </c>
      <c r="G466" s="49">
        <f>IF(B466="",0,IF(ISNA(_xlfn.XLOOKUP(A466,'75m'!F$5:F$302,'75m'!M$5:M$302)),0,_xlfn.XLOOKUP(A466,'75m'!F$5:F$302,'75m'!M$5:M$302)))</f>
        <v>0</v>
      </c>
      <c r="H466" s="49" t="str">
        <f>IF(B466="","",IF(ISNA(VLOOKUP(A466,'75m'!F$5:K$302,6,FALSE)),"",VLOOKUP(A466,'75m'!F$5:K$302,6,FALSE)))</f>
        <v/>
      </c>
      <c r="I466" s="51">
        <f>IF(B466="",0,IF(ISNA(VLOOKUP(A466,'600m'!F$5:J$302,2,FALSE)),0,VLOOKUP(A466,'600m'!F$5:J$302,2,FALSE)))</f>
        <v>0</v>
      </c>
      <c r="J466" s="49">
        <f>IF(B466="",0,IF(ISNA(_xlfn.XLOOKUP(A466,'600m'!F$5:F$302,'600m'!M$5:M$302)),0,_xlfn.XLOOKUP(A466,'600m'!F$5:F$302,'600m'!M$5:M$302)))</f>
        <v>0</v>
      </c>
      <c r="K466" s="49" t="str">
        <f>IF(B466="","",IF(ISNA(VLOOKUP(A466,'600m'!F$5:K$302,6,FALSE)),"",VLOOKUP(A466,'600m'!F$5:K$302,6,FALSE)))</f>
        <v/>
      </c>
      <c r="L466" s="49" t="str">
        <f>IF(B466="","",IF(ISNA(VLOOKUP(A466,LongJump!F$5:G$302,2,FALSE)),"",VLOOKUP(A466,LongJump!F$5:G$302,2,FALSE)))</f>
        <v/>
      </c>
      <c r="M466" s="49">
        <f>IF(B466="",0,IF(ISNA(_xlfn.XLOOKUP(A466,LongJump!F$5:F$302,LongJump!M$5:M$302)),0,_xlfn.XLOOKUP(A466,LongJump!F$5:F$302,LongJump!M$5:M$302)))</f>
        <v>0</v>
      </c>
      <c r="N466" s="49" t="str">
        <f>IF(B466="","",IF(ISNA(VLOOKUP(A466,LongJump!F$5:K$302,6,FALSE)),0,VLOOKUP(A466,LongJump!F$5:K$302,6,FALSE)))</f>
        <v/>
      </c>
      <c r="O466" s="49" t="str">
        <f>IF(B466="","",IF(ISNA(VLOOKUP(A466,Vortex!F$5:J$302,2,FALSE)),"",VLOOKUP(A466,Vortex!F$5:J$302,2,FALSE)))</f>
        <v/>
      </c>
      <c r="P466" s="49">
        <f>IF(B466="",0,IF(ISNA(_xlfn.XLOOKUP(A466,Vortex!F$5:F$302,Vortex!M$5:M$302)),0,_xlfn.XLOOKUP(A466,Vortex!F$5:F$302,Vortex!M$5:M$302)))</f>
        <v>0</v>
      </c>
      <c r="Q466" s="49">
        <f t="shared" si="37"/>
        <v>0</v>
      </c>
      <c r="R466" s="49" t="str">
        <f t="shared" si="38"/>
        <v/>
      </c>
      <c r="S466" s="49" t="str">
        <f t="shared" si="39"/>
        <v/>
      </c>
      <c r="T466" s="49" t="str">
        <f t="shared" si="40"/>
        <v/>
      </c>
      <c r="U466" s="49" t="str">
        <f t="shared" si="41"/>
        <v/>
      </c>
    </row>
    <row r="467" spans="1:21">
      <c r="A467" s="49" t="str">
        <f>IF(Declarations!B224=0,"",Declarations!B224)</f>
        <v/>
      </c>
      <c r="B467" s="150" t="str">
        <f>IF(ISNA(VLOOKUP(A467,Declarations!B$6:C$185,2,FALSE)),"",IF(VLOOKUP(A467,Declarations!B$6:C$185,2,FALSE)="","",VLOOKUP(A467,Declarations!B$6:C$185,2,FALSE)))</f>
        <v/>
      </c>
      <c r="C467" s="150" t="str">
        <f>IF(ISNA(VLOOKUP(A467,Declarations!B$6:F$185,5,FALSE)),"",IF(VLOOKUP(A467,Declarations!B$6:F$185,5,FALSE)="","",VLOOKUP(A467,Declarations!B$6:F$185,5,FALSE)))</f>
        <v/>
      </c>
      <c r="D467" s="150" t="str">
        <f>IF(ISNA(VLOOKUP(A467,Declarations!B$6:F$185,4,FALSE)),"",IF(VLOOKUP(A467,Declarations!B$6:F$185,4,FALSE)="","",VLOOKUP(A467,Declarations!B$6:F$185,4,FALSE)))</f>
        <v/>
      </c>
      <c r="E467" s="150" t="str">
        <f>IF(ISNA(VLOOKUP(A467,Declarations!B$6:D$185,3,FALSE)),"",IF(VLOOKUP(A467,Declarations!B$6:D$185,3,FALSE)="","",VLOOKUP(A467,Declarations!B$6:D$185,3,FALSE)))</f>
        <v/>
      </c>
      <c r="F467" s="49" t="str">
        <f>IF(B467="","",IF(ISNA(VLOOKUP(A467,'75m'!F$5:G$302,2,FALSE)),"",VLOOKUP(A467,'75m'!F$5:G$302,2,FALSE)))</f>
        <v/>
      </c>
      <c r="G467" s="49">
        <f>IF(B467="",0,IF(ISNA(_xlfn.XLOOKUP(A467,'75m'!F$5:F$302,'75m'!M$5:M$302)),0,_xlfn.XLOOKUP(A467,'75m'!F$5:F$302,'75m'!M$5:M$302)))</f>
        <v>0</v>
      </c>
      <c r="H467" s="49" t="str">
        <f>IF(B467="","",IF(ISNA(VLOOKUP(A467,'75m'!F$5:K$302,6,FALSE)),"",VLOOKUP(A467,'75m'!F$5:K$302,6,FALSE)))</f>
        <v/>
      </c>
      <c r="I467" s="51">
        <f>IF(B467="",0,IF(ISNA(VLOOKUP(A467,'600m'!F$5:J$302,2,FALSE)),0,VLOOKUP(A467,'600m'!F$5:J$302,2,FALSE)))</f>
        <v>0</v>
      </c>
      <c r="J467" s="49">
        <f>IF(B467="",0,IF(ISNA(_xlfn.XLOOKUP(A467,'600m'!F$5:F$302,'600m'!M$5:M$302)),0,_xlfn.XLOOKUP(A467,'600m'!F$5:F$302,'600m'!M$5:M$302)))</f>
        <v>0</v>
      </c>
      <c r="K467" s="49" t="str">
        <f>IF(B467="","",IF(ISNA(VLOOKUP(A467,'600m'!F$5:K$302,6,FALSE)),"",VLOOKUP(A467,'600m'!F$5:K$302,6,FALSE)))</f>
        <v/>
      </c>
      <c r="L467" s="49" t="str">
        <f>IF(B467="","",IF(ISNA(VLOOKUP(A467,LongJump!F$5:G$302,2,FALSE)),"",VLOOKUP(A467,LongJump!F$5:G$302,2,FALSE)))</f>
        <v/>
      </c>
      <c r="M467" s="49">
        <f>IF(B467="",0,IF(ISNA(_xlfn.XLOOKUP(A467,LongJump!F$5:F$302,LongJump!M$5:M$302)),0,_xlfn.XLOOKUP(A467,LongJump!F$5:F$302,LongJump!M$5:M$302)))</f>
        <v>0</v>
      </c>
      <c r="N467" s="49" t="str">
        <f>IF(B467="","",IF(ISNA(VLOOKUP(A467,LongJump!F$5:K$302,6,FALSE)),0,VLOOKUP(A467,LongJump!F$5:K$302,6,FALSE)))</f>
        <v/>
      </c>
      <c r="O467" s="49" t="str">
        <f>IF(B467="","",IF(ISNA(VLOOKUP(A467,Vortex!F$5:J$302,2,FALSE)),"",VLOOKUP(A467,Vortex!F$5:J$302,2,FALSE)))</f>
        <v/>
      </c>
      <c r="P467" s="49">
        <f>IF(B467="",0,IF(ISNA(_xlfn.XLOOKUP(A467,Vortex!F$5:F$302,Vortex!M$5:M$302)),0,_xlfn.XLOOKUP(A467,Vortex!F$5:F$302,Vortex!M$5:M$302)))</f>
        <v>0</v>
      </c>
      <c r="Q467" s="49">
        <f t="shared" si="37"/>
        <v>0</v>
      </c>
      <c r="R467" s="49" t="str">
        <f t="shared" si="38"/>
        <v/>
      </c>
      <c r="S467" s="49" t="str">
        <f t="shared" si="39"/>
        <v/>
      </c>
      <c r="T467" s="49" t="str">
        <f t="shared" si="40"/>
        <v/>
      </c>
      <c r="U467" s="49" t="str">
        <f t="shared" si="41"/>
        <v/>
      </c>
    </row>
    <row r="468" spans="1:21">
      <c r="A468" s="49" t="str">
        <f>IF(Declarations!B225=0,"",Declarations!B225)</f>
        <v/>
      </c>
      <c r="B468" s="150" t="str">
        <f>IF(ISNA(VLOOKUP(A468,Declarations!B$6:C$185,2,FALSE)),"",IF(VLOOKUP(A468,Declarations!B$6:C$185,2,FALSE)="","",VLOOKUP(A468,Declarations!B$6:C$185,2,FALSE)))</f>
        <v/>
      </c>
      <c r="C468" s="150" t="str">
        <f>IF(ISNA(VLOOKUP(A468,Declarations!B$6:F$185,5,FALSE)),"",IF(VLOOKUP(A468,Declarations!B$6:F$185,5,FALSE)="","",VLOOKUP(A468,Declarations!B$6:F$185,5,FALSE)))</f>
        <v/>
      </c>
      <c r="D468" s="150" t="str">
        <f>IF(ISNA(VLOOKUP(A468,Declarations!B$6:F$185,4,FALSE)),"",IF(VLOOKUP(A468,Declarations!B$6:F$185,4,FALSE)="","",VLOOKUP(A468,Declarations!B$6:F$185,4,FALSE)))</f>
        <v/>
      </c>
      <c r="E468" s="150" t="str">
        <f>IF(ISNA(VLOOKUP(A468,Declarations!B$6:D$185,3,FALSE)),"",IF(VLOOKUP(A468,Declarations!B$6:D$185,3,FALSE)="","",VLOOKUP(A468,Declarations!B$6:D$185,3,FALSE)))</f>
        <v/>
      </c>
      <c r="F468" s="49" t="str">
        <f>IF(B468="","",IF(ISNA(VLOOKUP(A468,'75m'!F$5:G$302,2,FALSE)),"",VLOOKUP(A468,'75m'!F$5:G$302,2,FALSE)))</f>
        <v/>
      </c>
      <c r="G468" s="49">
        <f>IF(B468="",0,IF(ISNA(_xlfn.XLOOKUP(A468,'75m'!F$5:F$302,'75m'!M$5:M$302)),0,_xlfn.XLOOKUP(A468,'75m'!F$5:F$302,'75m'!M$5:M$302)))</f>
        <v>0</v>
      </c>
      <c r="H468" s="49" t="str">
        <f>IF(B468="","",IF(ISNA(VLOOKUP(A468,'75m'!F$5:K$302,6,FALSE)),"",VLOOKUP(A468,'75m'!F$5:K$302,6,FALSE)))</f>
        <v/>
      </c>
      <c r="I468" s="51">
        <f>IF(B468="",0,IF(ISNA(VLOOKUP(A468,'600m'!F$5:J$302,2,FALSE)),0,VLOOKUP(A468,'600m'!F$5:J$302,2,FALSE)))</f>
        <v>0</v>
      </c>
      <c r="J468" s="49">
        <f>IF(B468="",0,IF(ISNA(_xlfn.XLOOKUP(A468,'600m'!F$5:F$302,'600m'!M$5:M$302)),0,_xlfn.XLOOKUP(A468,'600m'!F$5:F$302,'600m'!M$5:M$302)))</f>
        <v>0</v>
      </c>
      <c r="K468" s="49" t="str">
        <f>IF(B468="","",IF(ISNA(VLOOKUP(A468,'600m'!F$5:K$302,6,FALSE)),"",VLOOKUP(A468,'600m'!F$5:K$302,6,FALSE)))</f>
        <v/>
      </c>
      <c r="L468" s="49" t="str">
        <f>IF(B468="","",IF(ISNA(VLOOKUP(A468,LongJump!F$5:G$302,2,FALSE)),"",VLOOKUP(A468,LongJump!F$5:G$302,2,FALSE)))</f>
        <v/>
      </c>
      <c r="M468" s="49">
        <f>IF(B468="",0,IF(ISNA(_xlfn.XLOOKUP(A468,LongJump!F$5:F$302,LongJump!M$5:M$302)),0,_xlfn.XLOOKUP(A468,LongJump!F$5:F$302,LongJump!M$5:M$302)))</f>
        <v>0</v>
      </c>
      <c r="N468" s="49" t="str">
        <f>IF(B468="","",IF(ISNA(VLOOKUP(A468,LongJump!F$5:K$302,6,FALSE)),0,VLOOKUP(A468,LongJump!F$5:K$302,6,FALSE)))</f>
        <v/>
      </c>
      <c r="O468" s="49" t="str">
        <f>IF(B468="","",IF(ISNA(VLOOKUP(A468,Vortex!F$5:J$302,2,FALSE)),"",VLOOKUP(A468,Vortex!F$5:J$302,2,FALSE)))</f>
        <v/>
      </c>
      <c r="P468" s="49">
        <f>IF(B468="",0,IF(ISNA(_xlfn.XLOOKUP(A468,Vortex!F$5:F$302,Vortex!M$5:M$302)),0,_xlfn.XLOOKUP(A468,Vortex!F$5:F$302,Vortex!M$5:M$302)))</f>
        <v>0</v>
      </c>
      <c r="Q468" s="49">
        <f t="shared" si="37"/>
        <v>0</v>
      </c>
      <c r="R468" s="49" t="str">
        <f t="shared" si="38"/>
        <v/>
      </c>
      <c r="S468" s="49" t="str">
        <f t="shared" si="39"/>
        <v/>
      </c>
      <c r="T468" s="49" t="str">
        <f t="shared" si="40"/>
        <v/>
      </c>
      <c r="U468" s="49" t="str">
        <f t="shared" si="41"/>
        <v/>
      </c>
    </row>
    <row r="469" spans="1:21">
      <c r="A469" s="49" t="str">
        <f>IF(Declarations!B226=0,"",Declarations!B226)</f>
        <v/>
      </c>
      <c r="B469" s="150" t="str">
        <f>IF(ISNA(VLOOKUP(A469,Declarations!B$6:C$185,2,FALSE)),"",IF(VLOOKUP(A469,Declarations!B$6:C$185,2,FALSE)="","",VLOOKUP(A469,Declarations!B$6:C$185,2,FALSE)))</f>
        <v/>
      </c>
      <c r="C469" s="150" t="str">
        <f>IF(ISNA(VLOOKUP(A469,Declarations!B$6:F$185,5,FALSE)),"",IF(VLOOKUP(A469,Declarations!B$6:F$185,5,FALSE)="","",VLOOKUP(A469,Declarations!B$6:F$185,5,FALSE)))</f>
        <v/>
      </c>
      <c r="D469" s="150" t="str">
        <f>IF(ISNA(VLOOKUP(A469,Declarations!B$6:F$185,4,FALSE)),"",IF(VLOOKUP(A469,Declarations!B$6:F$185,4,FALSE)="","",VLOOKUP(A469,Declarations!B$6:F$185,4,FALSE)))</f>
        <v/>
      </c>
      <c r="E469" s="150" t="str">
        <f>IF(ISNA(VLOOKUP(A469,Declarations!B$6:D$185,3,FALSE)),"",IF(VLOOKUP(A469,Declarations!B$6:D$185,3,FALSE)="","",VLOOKUP(A469,Declarations!B$6:D$185,3,FALSE)))</f>
        <v/>
      </c>
      <c r="F469" s="49" t="str">
        <f>IF(B469="","",IF(ISNA(VLOOKUP(A469,'75m'!F$5:G$302,2,FALSE)),"",VLOOKUP(A469,'75m'!F$5:G$302,2,FALSE)))</f>
        <v/>
      </c>
      <c r="G469" s="49">
        <f>IF(B469="",0,IF(ISNA(_xlfn.XLOOKUP(A469,'75m'!F$5:F$302,'75m'!M$5:M$302)),0,_xlfn.XLOOKUP(A469,'75m'!F$5:F$302,'75m'!M$5:M$302)))</f>
        <v>0</v>
      </c>
      <c r="H469" s="49" t="str">
        <f>IF(B469="","",IF(ISNA(VLOOKUP(A469,'75m'!F$5:K$302,6,FALSE)),"",VLOOKUP(A469,'75m'!F$5:K$302,6,FALSE)))</f>
        <v/>
      </c>
      <c r="I469" s="51">
        <f>IF(B469="",0,IF(ISNA(VLOOKUP(A469,'600m'!F$5:J$302,2,FALSE)),0,VLOOKUP(A469,'600m'!F$5:J$302,2,FALSE)))</f>
        <v>0</v>
      </c>
      <c r="J469" s="49">
        <f>IF(B469="",0,IF(ISNA(_xlfn.XLOOKUP(A469,'600m'!F$5:F$302,'600m'!M$5:M$302)),0,_xlfn.XLOOKUP(A469,'600m'!F$5:F$302,'600m'!M$5:M$302)))</f>
        <v>0</v>
      </c>
      <c r="K469" s="49" t="str">
        <f>IF(B469="","",IF(ISNA(VLOOKUP(A469,'600m'!F$5:K$302,6,FALSE)),"",VLOOKUP(A469,'600m'!F$5:K$302,6,FALSE)))</f>
        <v/>
      </c>
      <c r="L469" s="49" t="str">
        <f>IF(B469="","",IF(ISNA(VLOOKUP(A469,LongJump!F$5:G$302,2,FALSE)),"",VLOOKUP(A469,LongJump!F$5:G$302,2,FALSE)))</f>
        <v/>
      </c>
      <c r="M469" s="49">
        <f>IF(B469="",0,IF(ISNA(_xlfn.XLOOKUP(A469,LongJump!F$5:F$302,LongJump!M$5:M$302)),0,_xlfn.XLOOKUP(A469,LongJump!F$5:F$302,LongJump!M$5:M$302)))</f>
        <v>0</v>
      </c>
      <c r="N469" s="49" t="str">
        <f>IF(B469="","",IF(ISNA(VLOOKUP(A469,LongJump!F$5:K$302,6,FALSE)),0,VLOOKUP(A469,LongJump!F$5:K$302,6,FALSE)))</f>
        <v/>
      </c>
      <c r="O469" s="49" t="str">
        <f>IF(B469="","",IF(ISNA(VLOOKUP(A469,Vortex!F$5:J$302,2,FALSE)),"",VLOOKUP(A469,Vortex!F$5:J$302,2,FALSE)))</f>
        <v/>
      </c>
      <c r="P469" s="49">
        <f>IF(B469="",0,IF(ISNA(_xlfn.XLOOKUP(A469,Vortex!F$5:F$302,Vortex!M$5:M$302)),0,_xlfn.XLOOKUP(A469,Vortex!F$5:F$302,Vortex!M$5:M$302)))</f>
        <v>0</v>
      </c>
      <c r="Q469" s="49">
        <f t="shared" si="37"/>
        <v>0</v>
      </c>
      <c r="R469" s="49" t="str">
        <f t="shared" si="38"/>
        <v/>
      </c>
      <c r="S469" s="49" t="str">
        <f t="shared" si="39"/>
        <v/>
      </c>
      <c r="T469" s="49" t="str">
        <f t="shared" si="40"/>
        <v/>
      </c>
      <c r="U469" s="49" t="str">
        <f t="shared" si="41"/>
        <v/>
      </c>
    </row>
    <row r="470" spans="1:21">
      <c r="A470" s="49" t="str">
        <f>IF(Declarations!B227=0,"",Declarations!B227)</f>
        <v/>
      </c>
      <c r="B470" s="150" t="str">
        <f>IF(ISNA(VLOOKUP(A470,Declarations!B$6:C$185,2,FALSE)),"",IF(VLOOKUP(A470,Declarations!B$6:C$185,2,FALSE)="","",VLOOKUP(A470,Declarations!B$6:C$185,2,FALSE)))</f>
        <v/>
      </c>
      <c r="C470" s="150" t="str">
        <f>IF(ISNA(VLOOKUP(A470,Declarations!B$6:F$185,5,FALSE)),"",IF(VLOOKUP(A470,Declarations!B$6:F$185,5,FALSE)="","",VLOOKUP(A470,Declarations!B$6:F$185,5,FALSE)))</f>
        <v/>
      </c>
      <c r="D470" s="150" t="str">
        <f>IF(ISNA(VLOOKUP(A470,Declarations!B$6:F$185,4,FALSE)),"",IF(VLOOKUP(A470,Declarations!B$6:F$185,4,FALSE)="","",VLOOKUP(A470,Declarations!B$6:F$185,4,FALSE)))</f>
        <v/>
      </c>
      <c r="E470" s="150" t="str">
        <f>IF(ISNA(VLOOKUP(A470,Declarations!B$6:D$185,3,FALSE)),"",IF(VLOOKUP(A470,Declarations!B$6:D$185,3,FALSE)="","",VLOOKUP(A470,Declarations!B$6:D$185,3,FALSE)))</f>
        <v/>
      </c>
      <c r="F470" s="49" t="str">
        <f>IF(B470="","",IF(ISNA(VLOOKUP(A470,'75m'!F$5:G$302,2,FALSE)),"",VLOOKUP(A470,'75m'!F$5:G$302,2,FALSE)))</f>
        <v/>
      </c>
      <c r="G470" s="49">
        <f>IF(B470="",0,IF(ISNA(_xlfn.XLOOKUP(A470,'75m'!F$5:F$302,'75m'!M$5:M$302)),0,_xlfn.XLOOKUP(A470,'75m'!F$5:F$302,'75m'!M$5:M$302)))</f>
        <v>0</v>
      </c>
      <c r="H470" s="49" t="str">
        <f>IF(B470="","",IF(ISNA(VLOOKUP(A470,'75m'!F$5:K$302,6,FALSE)),"",VLOOKUP(A470,'75m'!F$5:K$302,6,FALSE)))</f>
        <v/>
      </c>
      <c r="I470" s="51">
        <f>IF(B470="",0,IF(ISNA(VLOOKUP(A470,'600m'!F$5:J$302,2,FALSE)),0,VLOOKUP(A470,'600m'!F$5:J$302,2,FALSE)))</f>
        <v>0</v>
      </c>
      <c r="J470" s="49">
        <f>IF(B470="",0,IF(ISNA(_xlfn.XLOOKUP(A470,'600m'!F$5:F$302,'600m'!M$5:M$302)),0,_xlfn.XLOOKUP(A470,'600m'!F$5:F$302,'600m'!M$5:M$302)))</f>
        <v>0</v>
      </c>
      <c r="K470" s="49" t="str">
        <f>IF(B470="","",IF(ISNA(VLOOKUP(A470,'600m'!F$5:K$302,6,FALSE)),"",VLOOKUP(A470,'600m'!F$5:K$302,6,FALSE)))</f>
        <v/>
      </c>
      <c r="L470" s="49" t="str">
        <f>IF(B470="","",IF(ISNA(VLOOKUP(A470,LongJump!F$5:G$302,2,FALSE)),"",VLOOKUP(A470,LongJump!F$5:G$302,2,FALSE)))</f>
        <v/>
      </c>
      <c r="M470" s="49">
        <f>IF(B470="",0,IF(ISNA(_xlfn.XLOOKUP(A470,LongJump!F$5:F$302,LongJump!M$5:M$302)),0,_xlfn.XLOOKUP(A470,LongJump!F$5:F$302,LongJump!M$5:M$302)))</f>
        <v>0</v>
      </c>
      <c r="N470" s="49" t="str">
        <f>IF(B470="","",IF(ISNA(VLOOKUP(A470,LongJump!F$5:K$302,6,FALSE)),0,VLOOKUP(A470,LongJump!F$5:K$302,6,FALSE)))</f>
        <v/>
      </c>
      <c r="O470" s="49" t="str">
        <f>IF(B470="","",IF(ISNA(VLOOKUP(A470,Vortex!F$5:J$302,2,FALSE)),"",VLOOKUP(A470,Vortex!F$5:J$302,2,FALSE)))</f>
        <v/>
      </c>
      <c r="P470" s="49">
        <f>IF(B470="",0,IF(ISNA(_xlfn.XLOOKUP(A470,Vortex!F$5:F$302,Vortex!M$5:M$302)),0,_xlfn.XLOOKUP(A470,Vortex!F$5:F$302,Vortex!M$5:M$302)))</f>
        <v>0</v>
      </c>
      <c r="Q470" s="49">
        <f t="shared" si="37"/>
        <v>0</v>
      </c>
      <c r="R470" s="49" t="str">
        <f t="shared" si="38"/>
        <v/>
      </c>
      <c r="S470" s="49" t="str">
        <f t="shared" si="39"/>
        <v/>
      </c>
      <c r="T470" s="49" t="str">
        <f t="shared" si="40"/>
        <v/>
      </c>
      <c r="U470" s="49" t="str">
        <f t="shared" si="41"/>
        <v/>
      </c>
    </row>
    <row r="471" spans="1:21">
      <c r="A471" s="49" t="str">
        <f>IF(Declarations!B228=0,"",Declarations!B228)</f>
        <v/>
      </c>
      <c r="B471" s="150" t="str">
        <f>IF(ISNA(VLOOKUP(A471,Declarations!B$6:C$185,2,FALSE)),"",IF(VLOOKUP(A471,Declarations!B$6:C$185,2,FALSE)="","",VLOOKUP(A471,Declarations!B$6:C$185,2,FALSE)))</f>
        <v/>
      </c>
      <c r="C471" s="150" t="str">
        <f>IF(ISNA(VLOOKUP(A471,Declarations!B$6:F$185,5,FALSE)),"",IF(VLOOKUP(A471,Declarations!B$6:F$185,5,FALSE)="","",VLOOKUP(A471,Declarations!B$6:F$185,5,FALSE)))</f>
        <v/>
      </c>
      <c r="D471" s="150" t="str">
        <f>IF(ISNA(VLOOKUP(A471,Declarations!B$6:F$185,4,FALSE)),"",IF(VLOOKUP(A471,Declarations!B$6:F$185,4,FALSE)="","",VLOOKUP(A471,Declarations!B$6:F$185,4,FALSE)))</f>
        <v/>
      </c>
      <c r="E471" s="150" t="str">
        <f>IF(ISNA(VLOOKUP(A471,Declarations!B$6:D$185,3,FALSE)),"",IF(VLOOKUP(A471,Declarations!B$6:D$185,3,FALSE)="","",VLOOKUP(A471,Declarations!B$6:D$185,3,FALSE)))</f>
        <v/>
      </c>
      <c r="F471" s="49" t="str">
        <f>IF(B471="","",IF(ISNA(VLOOKUP(A471,'75m'!F$5:G$302,2,FALSE)),"",VLOOKUP(A471,'75m'!F$5:G$302,2,FALSE)))</f>
        <v/>
      </c>
      <c r="G471" s="49">
        <f>IF(B471="",0,IF(ISNA(_xlfn.XLOOKUP(A471,'75m'!F$5:F$302,'75m'!M$5:M$302)),0,_xlfn.XLOOKUP(A471,'75m'!F$5:F$302,'75m'!M$5:M$302)))</f>
        <v>0</v>
      </c>
      <c r="H471" s="49" t="str">
        <f>IF(B471="","",IF(ISNA(VLOOKUP(A471,'75m'!F$5:K$302,6,FALSE)),"",VLOOKUP(A471,'75m'!F$5:K$302,6,FALSE)))</f>
        <v/>
      </c>
      <c r="I471" s="51">
        <f>IF(B471="",0,IF(ISNA(VLOOKUP(A471,'600m'!F$5:J$302,2,FALSE)),0,VLOOKUP(A471,'600m'!F$5:J$302,2,FALSE)))</f>
        <v>0</v>
      </c>
      <c r="J471" s="49">
        <f>IF(B471="",0,IF(ISNA(_xlfn.XLOOKUP(A471,'600m'!F$5:F$302,'600m'!M$5:M$302)),0,_xlfn.XLOOKUP(A471,'600m'!F$5:F$302,'600m'!M$5:M$302)))</f>
        <v>0</v>
      </c>
      <c r="K471" s="49" t="str">
        <f>IF(B471="","",IF(ISNA(VLOOKUP(A471,'600m'!F$5:K$302,6,FALSE)),"",VLOOKUP(A471,'600m'!F$5:K$302,6,FALSE)))</f>
        <v/>
      </c>
      <c r="L471" s="49" t="str">
        <f>IF(B471="","",IF(ISNA(VLOOKUP(A471,LongJump!F$5:G$302,2,FALSE)),"",VLOOKUP(A471,LongJump!F$5:G$302,2,FALSE)))</f>
        <v/>
      </c>
      <c r="M471" s="49">
        <f>IF(B471="",0,IF(ISNA(_xlfn.XLOOKUP(A471,LongJump!F$5:F$302,LongJump!M$5:M$302)),0,_xlfn.XLOOKUP(A471,LongJump!F$5:F$302,LongJump!M$5:M$302)))</f>
        <v>0</v>
      </c>
      <c r="N471" s="49" t="str">
        <f>IF(B471="","",IF(ISNA(VLOOKUP(A471,LongJump!F$5:K$302,6,FALSE)),0,VLOOKUP(A471,LongJump!F$5:K$302,6,FALSE)))</f>
        <v/>
      </c>
      <c r="O471" s="49" t="str">
        <f>IF(B471="","",IF(ISNA(VLOOKUP(A471,Vortex!F$5:J$302,2,FALSE)),"",VLOOKUP(A471,Vortex!F$5:J$302,2,FALSE)))</f>
        <v/>
      </c>
      <c r="P471" s="49">
        <f>IF(B471="",0,IF(ISNA(_xlfn.XLOOKUP(A471,Vortex!F$5:F$302,Vortex!M$5:M$302)),0,_xlfn.XLOOKUP(A471,Vortex!F$5:F$302,Vortex!M$5:M$302)))</f>
        <v>0</v>
      </c>
      <c r="Q471" s="49">
        <f t="shared" si="37"/>
        <v>0</v>
      </c>
      <c r="R471" s="49" t="str">
        <f t="shared" si="38"/>
        <v/>
      </c>
      <c r="S471" s="49" t="str">
        <f t="shared" si="39"/>
        <v/>
      </c>
      <c r="T471" s="49" t="str">
        <f t="shared" si="40"/>
        <v/>
      </c>
      <c r="U471" s="49" t="str">
        <f t="shared" si="41"/>
        <v/>
      </c>
    </row>
    <row r="472" spans="1:21">
      <c r="A472" s="49" t="str">
        <f>IF(Declarations!B229=0,"",Declarations!B229)</f>
        <v/>
      </c>
      <c r="B472" s="150" t="str">
        <f>IF(ISNA(VLOOKUP(A472,Declarations!B$6:C$185,2,FALSE)),"",IF(VLOOKUP(A472,Declarations!B$6:C$185,2,FALSE)="","",VLOOKUP(A472,Declarations!B$6:C$185,2,FALSE)))</f>
        <v/>
      </c>
      <c r="C472" s="150" t="str">
        <f>IF(ISNA(VLOOKUP(A472,Declarations!B$6:F$185,5,FALSE)),"",IF(VLOOKUP(A472,Declarations!B$6:F$185,5,FALSE)="","",VLOOKUP(A472,Declarations!B$6:F$185,5,FALSE)))</f>
        <v/>
      </c>
      <c r="D472" s="150" t="str">
        <f>IF(ISNA(VLOOKUP(A472,Declarations!B$6:F$185,4,FALSE)),"",IF(VLOOKUP(A472,Declarations!B$6:F$185,4,FALSE)="","",VLOOKUP(A472,Declarations!B$6:F$185,4,FALSE)))</f>
        <v/>
      </c>
      <c r="E472" s="150" t="str">
        <f>IF(ISNA(VLOOKUP(A472,Declarations!B$6:D$185,3,FALSE)),"",IF(VLOOKUP(A472,Declarations!B$6:D$185,3,FALSE)="","",VLOOKUP(A472,Declarations!B$6:D$185,3,FALSE)))</f>
        <v/>
      </c>
      <c r="F472" s="49" t="str">
        <f>IF(B472="","",IF(ISNA(VLOOKUP(A472,'75m'!F$5:G$302,2,FALSE)),"",VLOOKUP(A472,'75m'!F$5:G$302,2,FALSE)))</f>
        <v/>
      </c>
      <c r="G472" s="49">
        <f>IF(B472="",0,IF(ISNA(_xlfn.XLOOKUP(A472,'75m'!F$5:F$302,'75m'!M$5:M$302)),0,_xlfn.XLOOKUP(A472,'75m'!F$5:F$302,'75m'!M$5:M$302)))</f>
        <v>0</v>
      </c>
      <c r="H472" s="49" t="str">
        <f>IF(B472="","",IF(ISNA(VLOOKUP(A472,'75m'!F$5:K$302,6,FALSE)),"",VLOOKUP(A472,'75m'!F$5:K$302,6,FALSE)))</f>
        <v/>
      </c>
      <c r="I472" s="51">
        <f>IF(B472="",0,IF(ISNA(VLOOKUP(A472,'600m'!F$5:J$302,2,FALSE)),0,VLOOKUP(A472,'600m'!F$5:J$302,2,FALSE)))</f>
        <v>0</v>
      </c>
      <c r="J472" s="49">
        <f>IF(B472="",0,IF(ISNA(_xlfn.XLOOKUP(A472,'600m'!F$5:F$302,'600m'!M$5:M$302)),0,_xlfn.XLOOKUP(A472,'600m'!F$5:F$302,'600m'!M$5:M$302)))</f>
        <v>0</v>
      </c>
      <c r="K472" s="49" t="str">
        <f>IF(B472="","",IF(ISNA(VLOOKUP(A472,'600m'!F$5:K$302,6,FALSE)),"",VLOOKUP(A472,'600m'!F$5:K$302,6,FALSE)))</f>
        <v/>
      </c>
      <c r="L472" s="49" t="str">
        <f>IF(B472="","",IF(ISNA(VLOOKUP(A472,LongJump!F$5:G$302,2,FALSE)),"",VLOOKUP(A472,LongJump!F$5:G$302,2,FALSE)))</f>
        <v/>
      </c>
      <c r="M472" s="49">
        <f>IF(B472="",0,IF(ISNA(_xlfn.XLOOKUP(A472,LongJump!F$5:F$302,LongJump!M$5:M$302)),0,_xlfn.XLOOKUP(A472,LongJump!F$5:F$302,LongJump!M$5:M$302)))</f>
        <v>0</v>
      </c>
      <c r="N472" s="49" t="str">
        <f>IF(B472="","",IF(ISNA(VLOOKUP(A472,LongJump!F$5:K$302,6,FALSE)),0,VLOOKUP(A472,LongJump!F$5:K$302,6,FALSE)))</f>
        <v/>
      </c>
      <c r="O472" s="49" t="str">
        <f>IF(B472="","",IF(ISNA(VLOOKUP(A472,Vortex!F$5:J$302,2,FALSE)),"",VLOOKUP(A472,Vortex!F$5:J$302,2,FALSE)))</f>
        <v/>
      </c>
      <c r="P472" s="49">
        <f>IF(B472="",0,IF(ISNA(_xlfn.XLOOKUP(A472,Vortex!F$5:F$302,Vortex!M$5:M$302)),0,_xlfn.XLOOKUP(A472,Vortex!F$5:F$302,Vortex!M$5:M$302)))</f>
        <v>0</v>
      </c>
      <c r="Q472" s="49">
        <f t="shared" si="37"/>
        <v>0</v>
      </c>
      <c r="R472" s="49" t="str">
        <f t="shared" si="38"/>
        <v/>
      </c>
      <c r="S472" s="49" t="str">
        <f t="shared" si="39"/>
        <v/>
      </c>
      <c r="T472" s="49" t="str">
        <f t="shared" si="40"/>
        <v/>
      </c>
      <c r="U472" s="49" t="str">
        <f t="shared" si="41"/>
        <v/>
      </c>
    </row>
    <row r="473" spans="1:21">
      <c r="A473" s="49" t="str">
        <f>IF(Declarations!B230=0,"",Declarations!B230)</f>
        <v/>
      </c>
      <c r="B473" s="150" t="str">
        <f>IF(ISNA(VLOOKUP(A473,Declarations!B$6:C$185,2,FALSE)),"",IF(VLOOKUP(A473,Declarations!B$6:C$185,2,FALSE)="","",VLOOKUP(A473,Declarations!B$6:C$185,2,FALSE)))</f>
        <v/>
      </c>
      <c r="C473" s="150" t="str">
        <f>IF(ISNA(VLOOKUP(A473,Declarations!B$6:F$185,5,FALSE)),"",IF(VLOOKUP(A473,Declarations!B$6:F$185,5,FALSE)="","",VLOOKUP(A473,Declarations!B$6:F$185,5,FALSE)))</f>
        <v/>
      </c>
      <c r="D473" s="150" t="str">
        <f>IF(ISNA(VLOOKUP(A473,Declarations!B$6:F$185,4,FALSE)),"",IF(VLOOKUP(A473,Declarations!B$6:F$185,4,FALSE)="","",VLOOKUP(A473,Declarations!B$6:F$185,4,FALSE)))</f>
        <v/>
      </c>
      <c r="E473" s="150" t="str">
        <f>IF(ISNA(VLOOKUP(A473,Declarations!B$6:D$185,3,FALSE)),"",IF(VLOOKUP(A473,Declarations!B$6:D$185,3,FALSE)="","",VLOOKUP(A473,Declarations!B$6:D$185,3,FALSE)))</f>
        <v/>
      </c>
      <c r="F473" s="49" t="str">
        <f>IF(B473="","",IF(ISNA(VLOOKUP(A473,'75m'!F$5:G$302,2,FALSE)),"",VLOOKUP(A473,'75m'!F$5:G$302,2,FALSE)))</f>
        <v/>
      </c>
      <c r="G473" s="49">
        <f>IF(B473="",0,IF(ISNA(_xlfn.XLOOKUP(A473,'75m'!F$5:F$302,'75m'!M$5:M$302)),0,_xlfn.XLOOKUP(A473,'75m'!F$5:F$302,'75m'!M$5:M$302)))</f>
        <v>0</v>
      </c>
      <c r="H473" s="49" t="str">
        <f>IF(B473="","",IF(ISNA(VLOOKUP(A473,'75m'!F$5:K$302,6,FALSE)),"",VLOOKUP(A473,'75m'!F$5:K$302,6,FALSE)))</f>
        <v/>
      </c>
      <c r="I473" s="51">
        <f>IF(B473="",0,IF(ISNA(VLOOKUP(A473,'600m'!F$5:J$302,2,FALSE)),0,VLOOKUP(A473,'600m'!F$5:J$302,2,FALSE)))</f>
        <v>0</v>
      </c>
      <c r="J473" s="49">
        <f>IF(B473="",0,IF(ISNA(_xlfn.XLOOKUP(A473,'600m'!F$5:F$302,'600m'!M$5:M$302)),0,_xlfn.XLOOKUP(A473,'600m'!F$5:F$302,'600m'!M$5:M$302)))</f>
        <v>0</v>
      </c>
      <c r="K473" s="49" t="str">
        <f>IF(B473="","",IF(ISNA(VLOOKUP(A473,'600m'!F$5:K$302,6,FALSE)),"",VLOOKUP(A473,'600m'!F$5:K$302,6,FALSE)))</f>
        <v/>
      </c>
      <c r="L473" s="49" t="str">
        <f>IF(B473="","",IF(ISNA(VLOOKUP(A473,LongJump!F$5:G$302,2,FALSE)),"",VLOOKUP(A473,LongJump!F$5:G$302,2,FALSE)))</f>
        <v/>
      </c>
      <c r="M473" s="49">
        <f>IF(B473="",0,IF(ISNA(_xlfn.XLOOKUP(A473,LongJump!F$5:F$302,LongJump!M$5:M$302)),0,_xlfn.XLOOKUP(A473,LongJump!F$5:F$302,LongJump!M$5:M$302)))</f>
        <v>0</v>
      </c>
      <c r="N473" s="49" t="str">
        <f>IF(B473="","",IF(ISNA(VLOOKUP(A473,LongJump!F$5:K$302,6,FALSE)),0,VLOOKUP(A473,LongJump!F$5:K$302,6,FALSE)))</f>
        <v/>
      </c>
      <c r="O473" s="49" t="str">
        <f>IF(B473="","",IF(ISNA(VLOOKUP(A473,Vortex!F$5:J$302,2,FALSE)),"",VLOOKUP(A473,Vortex!F$5:J$302,2,FALSE)))</f>
        <v/>
      </c>
      <c r="P473" s="49">
        <f>IF(B473="",0,IF(ISNA(_xlfn.XLOOKUP(A473,Vortex!F$5:F$302,Vortex!M$5:M$302)),0,_xlfn.XLOOKUP(A473,Vortex!F$5:F$302,Vortex!M$5:M$302)))</f>
        <v>0</v>
      </c>
      <c r="Q473" s="49">
        <f t="shared" si="37"/>
        <v>0</v>
      </c>
      <c r="R473" s="49" t="str">
        <f t="shared" si="38"/>
        <v/>
      </c>
      <c r="S473" s="49" t="str">
        <f t="shared" si="39"/>
        <v/>
      </c>
      <c r="T473" s="49" t="str">
        <f t="shared" si="40"/>
        <v/>
      </c>
      <c r="U473" s="49" t="str">
        <f t="shared" si="41"/>
        <v/>
      </c>
    </row>
    <row r="474" spans="1:21">
      <c r="A474" s="49" t="str">
        <f>IF(Declarations!B231=0,"",Declarations!B231)</f>
        <v/>
      </c>
      <c r="B474" s="150" t="str">
        <f>IF(ISNA(VLOOKUP(A474,Declarations!B$6:C$185,2,FALSE)),"",IF(VLOOKUP(A474,Declarations!B$6:C$185,2,FALSE)="","",VLOOKUP(A474,Declarations!B$6:C$185,2,FALSE)))</f>
        <v/>
      </c>
      <c r="C474" s="150" t="str">
        <f>IF(ISNA(VLOOKUP(A474,Declarations!B$6:F$185,5,FALSE)),"",IF(VLOOKUP(A474,Declarations!B$6:F$185,5,FALSE)="","",VLOOKUP(A474,Declarations!B$6:F$185,5,FALSE)))</f>
        <v/>
      </c>
      <c r="D474" s="150" t="str">
        <f>IF(ISNA(VLOOKUP(A474,Declarations!B$6:F$185,4,FALSE)),"",IF(VLOOKUP(A474,Declarations!B$6:F$185,4,FALSE)="","",VLOOKUP(A474,Declarations!B$6:F$185,4,FALSE)))</f>
        <v/>
      </c>
      <c r="E474" s="150" t="str">
        <f>IF(ISNA(VLOOKUP(A474,Declarations!B$6:D$185,3,FALSE)),"",IF(VLOOKUP(A474,Declarations!B$6:D$185,3,FALSE)="","",VLOOKUP(A474,Declarations!B$6:D$185,3,FALSE)))</f>
        <v/>
      </c>
      <c r="F474" s="49" t="str">
        <f>IF(B474="","",IF(ISNA(VLOOKUP(A474,'75m'!F$5:G$302,2,FALSE)),"",VLOOKUP(A474,'75m'!F$5:G$302,2,FALSE)))</f>
        <v/>
      </c>
      <c r="G474" s="49">
        <f>IF(B474="",0,IF(ISNA(_xlfn.XLOOKUP(A474,'75m'!F$5:F$302,'75m'!M$5:M$302)),0,_xlfn.XLOOKUP(A474,'75m'!F$5:F$302,'75m'!M$5:M$302)))</f>
        <v>0</v>
      </c>
      <c r="H474" s="49" t="str">
        <f>IF(B474="","",IF(ISNA(VLOOKUP(A474,'75m'!F$5:K$302,6,FALSE)),"",VLOOKUP(A474,'75m'!F$5:K$302,6,FALSE)))</f>
        <v/>
      </c>
      <c r="I474" s="51">
        <f>IF(B474="",0,IF(ISNA(VLOOKUP(A474,'600m'!F$5:J$302,2,FALSE)),0,VLOOKUP(A474,'600m'!F$5:J$302,2,FALSE)))</f>
        <v>0</v>
      </c>
      <c r="J474" s="49">
        <f>IF(B474="",0,IF(ISNA(_xlfn.XLOOKUP(A474,'600m'!F$5:F$302,'600m'!M$5:M$302)),0,_xlfn.XLOOKUP(A474,'600m'!F$5:F$302,'600m'!M$5:M$302)))</f>
        <v>0</v>
      </c>
      <c r="K474" s="49" t="str">
        <f>IF(B474="","",IF(ISNA(VLOOKUP(A474,'600m'!F$5:K$302,6,FALSE)),"",VLOOKUP(A474,'600m'!F$5:K$302,6,FALSE)))</f>
        <v/>
      </c>
      <c r="L474" s="49" t="str">
        <f>IF(B474="","",IF(ISNA(VLOOKUP(A474,LongJump!F$5:G$302,2,FALSE)),"",VLOOKUP(A474,LongJump!F$5:G$302,2,FALSE)))</f>
        <v/>
      </c>
      <c r="M474" s="49">
        <f>IF(B474="",0,IF(ISNA(_xlfn.XLOOKUP(A474,LongJump!F$5:F$302,LongJump!M$5:M$302)),0,_xlfn.XLOOKUP(A474,LongJump!F$5:F$302,LongJump!M$5:M$302)))</f>
        <v>0</v>
      </c>
      <c r="N474" s="49" t="str">
        <f>IF(B474="","",IF(ISNA(VLOOKUP(A474,LongJump!F$5:K$302,6,FALSE)),0,VLOOKUP(A474,LongJump!F$5:K$302,6,FALSE)))</f>
        <v/>
      </c>
      <c r="O474" s="49" t="str">
        <f>IF(B474="","",IF(ISNA(VLOOKUP(A474,Vortex!F$5:J$302,2,FALSE)),"",VLOOKUP(A474,Vortex!F$5:J$302,2,FALSE)))</f>
        <v/>
      </c>
      <c r="P474" s="49">
        <f>IF(B474="",0,IF(ISNA(_xlfn.XLOOKUP(A474,Vortex!F$5:F$302,Vortex!M$5:M$302)),0,_xlfn.XLOOKUP(A474,Vortex!F$5:F$302,Vortex!M$5:M$302)))</f>
        <v>0</v>
      </c>
      <c r="Q474" s="49">
        <f t="shared" si="37"/>
        <v>0</v>
      </c>
      <c r="R474" s="49" t="str">
        <f t="shared" si="38"/>
        <v/>
      </c>
      <c r="S474" s="49" t="str">
        <f t="shared" si="39"/>
        <v/>
      </c>
      <c r="T474" s="49" t="str">
        <f t="shared" si="40"/>
        <v/>
      </c>
      <c r="U474" s="49" t="str">
        <f t="shared" si="41"/>
        <v/>
      </c>
    </row>
    <row r="475" spans="1:21">
      <c r="A475" s="49" t="str">
        <f>IF(Declarations!B232=0,"",Declarations!B232)</f>
        <v/>
      </c>
      <c r="B475" s="150" t="str">
        <f>IF(ISNA(VLOOKUP(A475,Declarations!B$6:C$185,2,FALSE)),"",IF(VLOOKUP(A475,Declarations!B$6:C$185,2,FALSE)="","",VLOOKUP(A475,Declarations!B$6:C$185,2,FALSE)))</f>
        <v/>
      </c>
      <c r="C475" s="150" t="str">
        <f>IF(ISNA(VLOOKUP(A475,Declarations!B$6:F$185,5,FALSE)),"",IF(VLOOKUP(A475,Declarations!B$6:F$185,5,FALSE)="","",VLOOKUP(A475,Declarations!B$6:F$185,5,FALSE)))</f>
        <v/>
      </c>
      <c r="D475" s="150" t="str">
        <f>IF(ISNA(VLOOKUP(A475,Declarations!B$6:F$185,4,FALSE)),"",IF(VLOOKUP(A475,Declarations!B$6:F$185,4,FALSE)="","",VLOOKUP(A475,Declarations!B$6:F$185,4,FALSE)))</f>
        <v/>
      </c>
      <c r="E475" s="150" t="str">
        <f>IF(ISNA(VLOOKUP(A475,Declarations!B$6:D$185,3,FALSE)),"",IF(VLOOKUP(A475,Declarations!B$6:D$185,3,FALSE)="","",VLOOKUP(A475,Declarations!B$6:D$185,3,FALSE)))</f>
        <v/>
      </c>
      <c r="F475" s="49" t="str">
        <f>IF(B475="","",IF(ISNA(VLOOKUP(A475,'75m'!F$5:G$302,2,FALSE)),"",VLOOKUP(A475,'75m'!F$5:G$302,2,FALSE)))</f>
        <v/>
      </c>
      <c r="G475" s="49">
        <f>IF(B475="",0,IF(ISNA(_xlfn.XLOOKUP(A475,'75m'!F$5:F$302,'75m'!M$5:M$302)),0,_xlfn.XLOOKUP(A475,'75m'!F$5:F$302,'75m'!M$5:M$302)))</f>
        <v>0</v>
      </c>
      <c r="H475" s="49" t="str">
        <f>IF(B475="","",IF(ISNA(VLOOKUP(A475,'75m'!F$5:K$302,6,FALSE)),"",VLOOKUP(A475,'75m'!F$5:K$302,6,FALSE)))</f>
        <v/>
      </c>
      <c r="I475" s="51">
        <f>IF(B475="",0,IF(ISNA(VLOOKUP(A475,'600m'!F$5:J$302,2,FALSE)),0,VLOOKUP(A475,'600m'!F$5:J$302,2,FALSE)))</f>
        <v>0</v>
      </c>
      <c r="J475" s="49">
        <f>IF(B475="",0,IF(ISNA(_xlfn.XLOOKUP(A475,'600m'!F$5:F$302,'600m'!M$5:M$302)),0,_xlfn.XLOOKUP(A475,'600m'!F$5:F$302,'600m'!M$5:M$302)))</f>
        <v>0</v>
      </c>
      <c r="K475" s="49" t="str">
        <f>IF(B475="","",IF(ISNA(VLOOKUP(A475,'600m'!F$5:K$302,6,FALSE)),"",VLOOKUP(A475,'600m'!F$5:K$302,6,FALSE)))</f>
        <v/>
      </c>
      <c r="L475" s="49" t="str">
        <f>IF(B475="","",IF(ISNA(VLOOKUP(A475,LongJump!F$5:G$302,2,FALSE)),"",VLOOKUP(A475,LongJump!F$5:G$302,2,FALSE)))</f>
        <v/>
      </c>
      <c r="M475" s="49">
        <f>IF(B475="",0,IF(ISNA(_xlfn.XLOOKUP(A475,LongJump!F$5:F$302,LongJump!M$5:M$302)),0,_xlfn.XLOOKUP(A475,LongJump!F$5:F$302,LongJump!M$5:M$302)))</f>
        <v>0</v>
      </c>
      <c r="N475" s="49" t="str">
        <f>IF(B475="","",IF(ISNA(VLOOKUP(A475,LongJump!F$5:K$302,6,FALSE)),0,VLOOKUP(A475,LongJump!F$5:K$302,6,FALSE)))</f>
        <v/>
      </c>
      <c r="O475" s="49" t="str">
        <f>IF(B475="","",IF(ISNA(VLOOKUP(A475,Vortex!F$5:J$302,2,FALSE)),"",VLOOKUP(A475,Vortex!F$5:J$302,2,FALSE)))</f>
        <v/>
      </c>
      <c r="P475" s="49">
        <f>IF(B475="",0,IF(ISNA(_xlfn.XLOOKUP(A475,Vortex!F$5:F$302,Vortex!M$5:M$302)),0,_xlfn.XLOOKUP(A475,Vortex!F$5:F$302,Vortex!M$5:M$302)))</f>
        <v>0</v>
      </c>
      <c r="Q475" s="49">
        <f t="shared" si="37"/>
        <v>0</v>
      </c>
      <c r="R475" s="49" t="str">
        <f t="shared" si="38"/>
        <v/>
      </c>
      <c r="S475" s="49" t="str">
        <f t="shared" si="39"/>
        <v/>
      </c>
      <c r="T475" s="49" t="str">
        <f t="shared" si="40"/>
        <v/>
      </c>
      <c r="U475" s="49" t="str">
        <f t="shared" si="41"/>
        <v/>
      </c>
    </row>
    <row r="476" spans="1:21">
      <c r="A476" s="49" t="str">
        <f>IF(Declarations!B233=0,"",Declarations!B233)</f>
        <v/>
      </c>
      <c r="B476" s="150" t="str">
        <f>IF(ISNA(VLOOKUP(A476,Declarations!B$6:C$185,2,FALSE)),"",IF(VLOOKUP(A476,Declarations!B$6:C$185,2,FALSE)="","",VLOOKUP(A476,Declarations!B$6:C$185,2,FALSE)))</f>
        <v/>
      </c>
      <c r="C476" s="150" t="str">
        <f>IF(ISNA(VLOOKUP(A476,Declarations!B$6:F$185,5,FALSE)),"",IF(VLOOKUP(A476,Declarations!B$6:F$185,5,FALSE)="","",VLOOKUP(A476,Declarations!B$6:F$185,5,FALSE)))</f>
        <v/>
      </c>
      <c r="D476" s="150" t="str">
        <f>IF(ISNA(VLOOKUP(A476,Declarations!B$6:F$185,4,FALSE)),"",IF(VLOOKUP(A476,Declarations!B$6:F$185,4,FALSE)="","",VLOOKUP(A476,Declarations!B$6:F$185,4,FALSE)))</f>
        <v/>
      </c>
      <c r="E476" s="150" t="str">
        <f>IF(ISNA(VLOOKUP(A476,Declarations!B$6:D$185,3,FALSE)),"",IF(VLOOKUP(A476,Declarations!B$6:D$185,3,FALSE)="","",VLOOKUP(A476,Declarations!B$6:D$185,3,FALSE)))</f>
        <v/>
      </c>
      <c r="F476" s="49" t="str">
        <f>IF(B476="","",IF(ISNA(VLOOKUP(A476,'75m'!F$5:G$302,2,FALSE)),"",VLOOKUP(A476,'75m'!F$5:G$302,2,FALSE)))</f>
        <v/>
      </c>
      <c r="G476" s="49">
        <f>IF(B476="",0,IF(ISNA(_xlfn.XLOOKUP(A476,'75m'!F$5:F$302,'75m'!M$5:M$302)),0,_xlfn.XLOOKUP(A476,'75m'!F$5:F$302,'75m'!M$5:M$302)))</f>
        <v>0</v>
      </c>
      <c r="H476" s="49" t="str">
        <f>IF(B476="","",IF(ISNA(VLOOKUP(A476,'75m'!F$5:K$302,6,FALSE)),"",VLOOKUP(A476,'75m'!F$5:K$302,6,FALSE)))</f>
        <v/>
      </c>
      <c r="I476" s="51">
        <f>IF(B476="",0,IF(ISNA(VLOOKUP(A476,'600m'!F$5:J$302,2,FALSE)),0,VLOOKUP(A476,'600m'!F$5:J$302,2,FALSE)))</f>
        <v>0</v>
      </c>
      <c r="J476" s="49">
        <f>IF(B476="",0,IF(ISNA(_xlfn.XLOOKUP(A476,'600m'!F$5:F$302,'600m'!M$5:M$302)),0,_xlfn.XLOOKUP(A476,'600m'!F$5:F$302,'600m'!M$5:M$302)))</f>
        <v>0</v>
      </c>
      <c r="K476" s="49" t="str">
        <f>IF(B476="","",IF(ISNA(VLOOKUP(A476,'600m'!F$5:K$302,6,FALSE)),"",VLOOKUP(A476,'600m'!F$5:K$302,6,FALSE)))</f>
        <v/>
      </c>
      <c r="L476" s="49" t="str">
        <f>IF(B476="","",IF(ISNA(VLOOKUP(A476,LongJump!F$5:G$302,2,FALSE)),"",VLOOKUP(A476,LongJump!F$5:G$302,2,FALSE)))</f>
        <v/>
      </c>
      <c r="M476" s="49">
        <f>IF(B476="",0,IF(ISNA(_xlfn.XLOOKUP(A476,LongJump!F$5:F$302,LongJump!M$5:M$302)),0,_xlfn.XLOOKUP(A476,LongJump!F$5:F$302,LongJump!M$5:M$302)))</f>
        <v>0</v>
      </c>
      <c r="N476" s="49" t="str">
        <f>IF(B476="","",IF(ISNA(VLOOKUP(A476,LongJump!F$5:K$302,6,FALSE)),0,VLOOKUP(A476,LongJump!F$5:K$302,6,FALSE)))</f>
        <v/>
      </c>
      <c r="O476" s="49" t="str">
        <f>IF(B476="","",IF(ISNA(VLOOKUP(A476,Vortex!F$5:J$302,2,FALSE)),"",VLOOKUP(A476,Vortex!F$5:J$302,2,FALSE)))</f>
        <v/>
      </c>
      <c r="P476" s="49">
        <f>IF(B476="",0,IF(ISNA(_xlfn.XLOOKUP(A476,Vortex!F$5:F$302,Vortex!M$5:M$302)),0,_xlfn.XLOOKUP(A476,Vortex!F$5:F$302,Vortex!M$5:M$302)))</f>
        <v>0</v>
      </c>
      <c r="Q476" s="49">
        <f t="shared" si="37"/>
        <v>0</v>
      </c>
      <c r="R476" s="49" t="str">
        <f t="shared" si="38"/>
        <v/>
      </c>
      <c r="S476" s="49" t="str">
        <f t="shared" si="39"/>
        <v/>
      </c>
      <c r="T476" s="49" t="str">
        <f t="shared" si="40"/>
        <v/>
      </c>
      <c r="U476" s="49" t="str">
        <f t="shared" si="41"/>
        <v/>
      </c>
    </row>
    <row r="477" spans="1:21">
      <c r="A477" s="49" t="str">
        <f>IF(Declarations!B234=0,"",Declarations!B234)</f>
        <v/>
      </c>
      <c r="B477" s="150" t="str">
        <f>IF(ISNA(VLOOKUP(A477,Declarations!B$6:C$185,2,FALSE)),"",IF(VLOOKUP(A477,Declarations!B$6:C$185,2,FALSE)="","",VLOOKUP(A477,Declarations!B$6:C$185,2,FALSE)))</f>
        <v/>
      </c>
      <c r="C477" s="150" t="str">
        <f>IF(ISNA(VLOOKUP(A477,Declarations!B$6:F$185,5,FALSE)),"",IF(VLOOKUP(A477,Declarations!B$6:F$185,5,FALSE)="","",VLOOKUP(A477,Declarations!B$6:F$185,5,FALSE)))</f>
        <v/>
      </c>
      <c r="D477" s="150" t="str">
        <f>IF(ISNA(VLOOKUP(A477,Declarations!B$6:F$185,4,FALSE)),"",IF(VLOOKUP(A477,Declarations!B$6:F$185,4,FALSE)="","",VLOOKUP(A477,Declarations!B$6:F$185,4,FALSE)))</f>
        <v/>
      </c>
      <c r="E477" s="150" t="str">
        <f>IF(ISNA(VLOOKUP(A477,Declarations!B$6:D$185,3,FALSE)),"",IF(VLOOKUP(A477,Declarations!B$6:D$185,3,FALSE)="","",VLOOKUP(A477,Declarations!B$6:D$185,3,FALSE)))</f>
        <v/>
      </c>
      <c r="F477" s="49" t="str">
        <f>IF(B477="","",IF(ISNA(VLOOKUP(A477,'75m'!F$5:G$302,2,FALSE)),"",VLOOKUP(A477,'75m'!F$5:G$302,2,FALSE)))</f>
        <v/>
      </c>
      <c r="G477" s="49">
        <f>IF(B477="",0,IF(ISNA(_xlfn.XLOOKUP(A477,'75m'!F$5:F$302,'75m'!M$5:M$302)),0,_xlfn.XLOOKUP(A477,'75m'!F$5:F$302,'75m'!M$5:M$302)))</f>
        <v>0</v>
      </c>
      <c r="H477" s="49" t="str">
        <f>IF(B477="","",IF(ISNA(VLOOKUP(A477,'75m'!F$5:K$302,6,FALSE)),"",VLOOKUP(A477,'75m'!F$5:K$302,6,FALSE)))</f>
        <v/>
      </c>
      <c r="I477" s="51">
        <f>IF(B477="",0,IF(ISNA(VLOOKUP(A477,'600m'!F$5:J$302,2,FALSE)),0,VLOOKUP(A477,'600m'!F$5:J$302,2,FALSE)))</f>
        <v>0</v>
      </c>
      <c r="J477" s="49">
        <f>IF(B477="",0,IF(ISNA(_xlfn.XLOOKUP(A477,'600m'!F$5:F$302,'600m'!M$5:M$302)),0,_xlfn.XLOOKUP(A477,'600m'!F$5:F$302,'600m'!M$5:M$302)))</f>
        <v>0</v>
      </c>
      <c r="K477" s="49" t="str">
        <f>IF(B477="","",IF(ISNA(VLOOKUP(A477,'600m'!F$5:K$302,6,FALSE)),"",VLOOKUP(A477,'600m'!F$5:K$302,6,FALSE)))</f>
        <v/>
      </c>
      <c r="L477" s="49" t="str">
        <f>IF(B477="","",IF(ISNA(VLOOKUP(A477,LongJump!F$5:G$302,2,FALSE)),"",VLOOKUP(A477,LongJump!F$5:G$302,2,FALSE)))</f>
        <v/>
      </c>
      <c r="M477" s="49">
        <f>IF(B477="",0,IF(ISNA(_xlfn.XLOOKUP(A477,LongJump!F$5:F$302,LongJump!M$5:M$302)),0,_xlfn.XLOOKUP(A477,LongJump!F$5:F$302,LongJump!M$5:M$302)))</f>
        <v>0</v>
      </c>
      <c r="N477" s="49" t="str">
        <f>IF(B477="","",IF(ISNA(VLOOKUP(A477,LongJump!F$5:K$302,6,FALSE)),0,VLOOKUP(A477,LongJump!F$5:K$302,6,FALSE)))</f>
        <v/>
      </c>
      <c r="O477" s="49" t="str">
        <f>IF(B477="","",IF(ISNA(VLOOKUP(A477,Vortex!F$5:J$302,2,FALSE)),"",VLOOKUP(A477,Vortex!F$5:J$302,2,FALSE)))</f>
        <v/>
      </c>
      <c r="P477" s="49">
        <f>IF(B477="",0,IF(ISNA(_xlfn.XLOOKUP(A477,Vortex!F$5:F$302,Vortex!M$5:M$302)),0,_xlfn.XLOOKUP(A477,Vortex!F$5:F$302,Vortex!M$5:M$302)))</f>
        <v>0</v>
      </c>
      <c r="Q477" s="49">
        <f t="shared" si="37"/>
        <v>0</v>
      </c>
      <c r="R477" s="49" t="str">
        <f t="shared" si="38"/>
        <v/>
      </c>
      <c r="S477" s="49" t="str">
        <f t="shared" si="39"/>
        <v/>
      </c>
      <c r="T477" s="49" t="str">
        <f t="shared" si="40"/>
        <v/>
      </c>
      <c r="U477" s="49" t="str">
        <f t="shared" si="41"/>
        <v/>
      </c>
    </row>
    <row r="478" spans="1:21">
      <c r="A478" s="49" t="str">
        <f>IF(Declarations!B235=0,"",Declarations!B235)</f>
        <v/>
      </c>
      <c r="B478" s="150" t="str">
        <f>IF(ISNA(VLOOKUP(A478,Declarations!B$6:C$185,2,FALSE)),"",IF(VLOOKUP(A478,Declarations!B$6:C$185,2,FALSE)="","",VLOOKUP(A478,Declarations!B$6:C$185,2,FALSE)))</f>
        <v/>
      </c>
      <c r="C478" s="150" t="str">
        <f>IF(ISNA(VLOOKUP(A478,Declarations!B$6:F$185,5,FALSE)),"",IF(VLOOKUP(A478,Declarations!B$6:F$185,5,FALSE)="","",VLOOKUP(A478,Declarations!B$6:F$185,5,FALSE)))</f>
        <v/>
      </c>
      <c r="D478" s="150" t="str">
        <f>IF(ISNA(VLOOKUP(A478,Declarations!B$6:F$185,4,FALSE)),"",IF(VLOOKUP(A478,Declarations!B$6:F$185,4,FALSE)="","",VLOOKUP(A478,Declarations!B$6:F$185,4,FALSE)))</f>
        <v/>
      </c>
      <c r="E478" s="150" t="str">
        <f>IF(ISNA(VLOOKUP(A478,Declarations!B$6:D$185,3,FALSE)),"",IF(VLOOKUP(A478,Declarations!B$6:D$185,3,FALSE)="","",VLOOKUP(A478,Declarations!B$6:D$185,3,FALSE)))</f>
        <v/>
      </c>
      <c r="F478" s="49" t="str">
        <f>IF(B478="","",IF(ISNA(VLOOKUP(A478,'75m'!F$5:G$302,2,FALSE)),"",VLOOKUP(A478,'75m'!F$5:G$302,2,FALSE)))</f>
        <v/>
      </c>
      <c r="G478" s="49">
        <f>IF(B478="",0,IF(ISNA(_xlfn.XLOOKUP(A478,'75m'!F$5:F$302,'75m'!M$5:M$302)),0,_xlfn.XLOOKUP(A478,'75m'!F$5:F$302,'75m'!M$5:M$302)))</f>
        <v>0</v>
      </c>
      <c r="H478" s="49" t="str">
        <f>IF(B478="","",IF(ISNA(VLOOKUP(A478,'75m'!F$5:K$302,6,FALSE)),"",VLOOKUP(A478,'75m'!F$5:K$302,6,FALSE)))</f>
        <v/>
      </c>
      <c r="I478" s="51">
        <f>IF(B478="",0,IF(ISNA(VLOOKUP(A478,'600m'!F$5:J$302,2,FALSE)),0,VLOOKUP(A478,'600m'!F$5:J$302,2,FALSE)))</f>
        <v>0</v>
      </c>
      <c r="J478" s="49">
        <f>IF(B478="",0,IF(ISNA(_xlfn.XLOOKUP(A478,'600m'!F$5:F$302,'600m'!M$5:M$302)),0,_xlfn.XLOOKUP(A478,'600m'!F$5:F$302,'600m'!M$5:M$302)))</f>
        <v>0</v>
      </c>
      <c r="K478" s="49" t="str">
        <f>IF(B478="","",IF(ISNA(VLOOKUP(A478,'600m'!F$5:K$302,6,FALSE)),"",VLOOKUP(A478,'600m'!F$5:K$302,6,FALSE)))</f>
        <v/>
      </c>
      <c r="L478" s="49" t="str">
        <f>IF(B478="","",IF(ISNA(VLOOKUP(A478,LongJump!F$5:G$302,2,FALSE)),"",VLOOKUP(A478,LongJump!F$5:G$302,2,FALSE)))</f>
        <v/>
      </c>
      <c r="M478" s="49">
        <f>IF(B478="",0,IF(ISNA(_xlfn.XLOOKUP(A478,LongJump!F$5:F$302,LongJump!M$5:M$302)),0,_xlfn.XLOOKUP(A478,LongJump!F$5:F$302,LongJump!M$5:M$302)))</f>
        <v>0</v>
      </c>
      <c r="N478" s="49" t="str">
        <f>IF(B478="","",IF(ISNA(VLOOKUP(A478,LongJump!F$5:K$302,6,FALSE)),0,VLOOKUP(A478,LongJump!F$5:K$302,6,FALSE)))</f>
        <v/>
      </c>
      <c r="O478" s="49" t="str">
        <f>IF(B478="","",IF(ISNA(VLOOKUP(A478,Vortex!F$5:J$302,2,FALSE)),"",VLOOKUP(A478,Vortex!F$5:J$302,2,FALSE)))</f>
        <v/>
      </c>
      <c r="P478" s="49">
        <f>IF(B478="",0,IF(ISNA(_xlfn.XLOOKUP(A478,Vortex!F$5:F$302,Vortex!M$5:M$302)),0,_xlfn.XLOOKUP(A478,Vortex!F$5:F$302,Vortex!M$5:M$302)))</f>
        <v>0</v>
      </c>
      <c r="Q478" s="49">
        <f t="shared" si="37"/>
        <v>0</v>
      </c>
      <c r="R478" s="49" t="str">
        <f t="shared" si="38"/>
        <v/>
      </c>
      <c r="S478" s="49" t="str">
        <f t="shared" si="39"/>
        <v/>
      </c>
      <c r="T478" s="49" t="str">
        <f t="shared" si="40"/>
        <v/>
      </c>
      <c r="U478" s="49" t="str">
        <f t="shared" si="41"/>
        <v/>
      </c>
    </row>
    <row r="479" spans="1:21">
      <c r="A479" s="49" t="str">
        <f>IF(Declarations!B236=0,"",Declarations!B236)</f>
        <v/>
      </c>
      <c r="B479" s="150" t="str">
        <f>IF(ISNA(VLOOKUP(A479,Declarations!B$6:C$185,2,FALSE)),"",IF(VLOOKUP(A479,Declarations!B$6:C$185,2,FALSE)="","",VLOOKUP(A479,Declarations!B$6:C$185,2,FALSE)))</f>
        <v/>
      </c>
      <c r="C479" s="150" t="str">
        <f>IF(ISNA(VLOOKUP(A479,Declarations!B$6:F$185,5,FALSE)),"",IF(VLOOKUP(A479,Declarations!B$6:F$185,5,FALSE)="","",VLOOKUP(A479,Declarations!B$6:F$185,5,FALSE)))</f>
        <v/>
      </c>
      <c r="D479" s="150" t="str">
        <f>IF(ISNA(VLOOKUP(A479,Declarations!B$6:F$185,4,FALSE)),"",IF(VLOOKUP(A479,Declarations!B$6:F$185,4,FALSE)="","",VLOOKUP(A479,Declarations!B$6:F$185,4,FALSE)))</f>
        <v/>
      </c>
      <c r="E479" s="150" t="str">
        <f>IF(ISNA(VLOOKUP(A479,Declarations!B$6:D$185,3,FALSE)),"",IF(VLOOKUP(A479,Declarations!B$6:D$185,3,FALSE)="","",VLOOKUP(A479,Declarations!B$6:D$185,3,FALSE)))</f>
        <v/>
      </c>
      <c r="F479" s="49" t="str">
        <f>IF(B479="","",IF(ISNA(VLOOKUP(A479,'75m'!F$5:G$302,2,FALSE)),"",VLOOKUP(A479,'75m'!F$5:G$302,2,FALSE)))</f>
        <v/>
      </c>
      <c r="G479" s="49">
        <f>IF(B479="",0,IF(ISNA(_xlfn.XLOOKUP(A479,'75m'!F$5:F$302,'75m'!M$5:M$302)),0,_xlfn.XLOOKUP(A479,'75m'!F$5:F$302,'75m'!M$5:M$302)))</f>
        <v>0</v>
      </c>
      <c r="H479" s="49" t="str">
        <f>IF(B479="","",IF(ISNA(VLOOKUP(A479,'75m'!F$5:K$302,6,FALSE)),"",VLOOKUP(A479,'75m'!F$5:K$302,6,FALSE)))</f>
        <v/>
      </c>
      <c r="I479" s="51">
        <f>IF(B479="",0,IF(ISNA(VLOOKUP(A479,'600m'!F$5:J$302,2,FALSE)),0,VLOOKUP(A479,'600m'!F$5:J$302,2,FALSE)))</f>
        <v>0</v>
      </c>
      <c r="J479" s="49">
        <f>IF(B479="",0,IF(ISNA(_xlfn.XLOOKUP(A479,'600m'!F$5:F$302,'600m'!M$5:M$302)),0,_xlfn.XLOOKUP(A479,'600m'!F$5:F$302,'600m'!M$5:M$302)))</f>
        <v>0</v>
      </c>
      <c r="K479" s="49" t="str">
        <f>IF(B479="","",IF(ISNA(VLOOKUP(A479,'600m'!F$5:K$302,6,FALSE)),"",VLOOKUP(A479,'600m'!F$5:K$302,6,FALSE)))</f>
        <v/>
      </c>
      <c r="L479" s="49" t="str">
        <f>IF(B479="","",IF(ISNA(VLOOKUP(A479,LongJump!F$5:G$302,2,FALSE)),"",VLOOKUP(A479,LongJump!F$5:G$302,2,FALSE)))</f>
        <v/>
      </c>
      <c r="M479" s="49">
        <f>IF(B479="",0,IF(ISNA(_xlfn.XLOOKUP(A479,LongJump!F$5:F$302,LongJump!M$5:M$302)),0,_xlfn.XLOOKUP(A479,LongJump!F$5:F$302,LongJump!M$5:M$302)))</f>
        <v>0</v>
      </c>
      <c r="N479" s="49" t="str">
        <f>IF(B479="","",IF(ISNA(VLOOKUP(A479,LongJump!F$5:K$302,6,FALSE)),0,VLOOKUP(A479,LongJump!F$5:K$302,6,FALSE)))</f>
        <v/>
      </c>
      <c r="O479" s="49" t="str">
        <f>IF(B479="","",IF(ISNA(VLOOKUP(A479,Vortex!F$5:J$302,2,FALSE)),"",VLOOKUP(A479,Vortex!F$5:J$302,2,FALSE)))</f>
        <v/>
      </c>
      <c r="P479" s="49">
        <f>IF(B479="",0,IF(ISNA(_xlfn.XLOOKUP(A479,Vortex!F$5:F$302,Vortex!M$5:M$302)),0,_xlfn.XLOOKUP(A479,Vortex!F$5:F$302,Vortex!M$5:M$302)))</f>
        <v>0</v>
      </c>
      <c r="Q479" s="49">
        <f t="shared" si="37"/>
        <v>0</v>
      </c>
      <c r="R479" s="49" t="str">
        <f t="shared" si="38"/>
        <v/>
      </c>
      <c r="S479" s="49" t="str">
        <f t="shared" si="39"/>
        <v/>
      </c>
      <c r="T479" s="49" t="str">
        <f t="shared" si="40"/>
        <v/>
      </c>
      <c r="U479" s="49" t="str">
        <f t="shared" si="41"/>
        <v/>
      </c>
    </row>
    <row r="480" spans="1:21">
      <c r="A480" s="49" t="str">
        <f>IF(Declarations!B237=0,"",Declarations!B237)</f>
        <v/>
      </c>
      <c r="B480" s="150" t="str">
        <f>IF(ISNA(VLOOKUP(A480,Declarations!B$6:C$185,2,FALSE)),"",IF(VLOOKUP(A480,Declarations!B$6:C$185,2,FALSE)="","",VLOOKUP(A480,Declarations!B$6:C$185,2,FALSE)))</f>
        <v/>
      </c>
      <c r="C480" s="150" t="str">
        <f>IF(ISNA(VLOOKUP(A480,Declarations!B$6:F$185,5,FALSE)),"",IF(VLOOKUP(A480,Declarations!B$6:F$185,5,FALSE)="","",VLOOKUP(A480,Declarations!B$6:F$185,5,FALSE)))</f>
        <v/>
      </c>
      <c r="D480" s="150" t="str">
        <f>IF(ISNA(VLOOKUP(A480,Declarations!B$6:F$185,4,FALSE)),"",IF(VLOOKUP(A480,Declarations!B$6:F$185,4,FALSE)="","",VLOOKUP(A480,Declarations!B$6:F$185,4,FALSE)))</f>
        <v/>
      </c>
      <c r="E480" s="150" t="str">
        <f>IF(ISNA(VLOOKUP(A480,Declarations!B$6:D$185,3,FALSE)),"",IF(VLOOKUP(A480,Declarations!B$6:D$185,3,FALSE)="","",VLOOKUP(A480,Declarations!B$6:D$185,3,FALSE)))</f>
        <v/>
      </c>
      <c r="F480" s="49" t="str">
        <f>IF(B480="","",IF(ISNA(VLOOKUP(A480,'75m'!F$5:G$302,2,FALSE)),"",VLOOKUP(A480,'75m'!F$5:G$302,2,FALSE)))</f>
        <v/>
      </c>
      <c r="G480" s="49">
        <f>IF(B480="",0,IF(ISNA(_xlfn.XLOOKUP(A480,'75m'!F$5:F$302,'75m'!M$5:M$302)),0,_xlfn.XLOOKUP(A480,'75m'!F$5:F$302,'75m'!M$5:M$302)))</f>
        <v>0</v>
      </c>
      <c r="H480" s="49" t="str">
        <f>IF(B480="","",IF(ISNA(VLOOKUP(A480,'75m'!F$5:K$302,6,FALSE)),"",VLOOKUP(A480,'75m'!F$5:K$302,6,FALSE)))</f>
        <v/>
      </c>
      <c r="I480" s="51">
        <f>IF(B480="",0,IF(ISNA(VLOOKUP(A480,'600m'!F$5:J$302,2,FALSE)),0,VLOOKUP(A480,'600m'!F$5:J$302,2,FALSE)))</f>
        <v>0</v>
      </c>
      <c r="J480" s="49">
        <f>IF(B480="",0,IF(ISNA(_xlfn.XLOOKUP(A480,'600m'!F$5:F$302,'600m'!M$5:M$302)),0,_xlfn.XLOOKUP(A480,'600m'!F$5:F$302,'600m'!M$5:M$302)))</f>
        <v>0</v>
      </c>
      <c r="K480" s="49" t="str">
        <f>IF(B480="","",IF(ISNA(VLOOKUP(A480,'600m'!F$5:K$302,6,FALSE)),"",VLOOKUP(A480,'600m'!F$5:K$302,6,FALSE)))</f>
        <v/>
      </c>
      <c r="L480" s="49" t="str">
        <f>IF(B480="","",IF(ISNA(VLOOKUP(A480,LongJump!F$5:G$302,2,FALSE)),"",VLOOKUP(A480,LongJump!F$5:G$302,2,FALSE)))</f>
        <v/>
      </c>
      <c r="M480" s="49">
        <f>IF(B480="",0,IF(ISNA(_xlfn.XLOOKUP(A480,LongJump!F$5:F$302,LongJump!M$5:M$302)),0,_xlfn.XLOOKUP(A480,LongJump!F$5:F$302,LongJump!M$5:M$302)))</f>
        <v>0</v>
      </c>
      <c r="N480" s="49" t="str">
        <f>IF(B480="","",IF(ISNA(VLOOKUP(A480,LongJump!F$5:K$302,6,FALSE)),0,VLOOKUP(A480,LongJump!F$5:K$302,6,FALSE)))</f>
        <v/>
      </c>
      <c r="O480" s="49" t="str">
        <f>IF(B480="","",IF(ISNA(VLOOKUP(A480,Vortex!F$5:J$302,2,FALSE)),"",VLOOKUP(A480,Vortex!F$5:J$302,2,FALSE)))</f>
        <v/>
      </c>
      <c r="P480" s="49">
        <f>IF(B480="",0,IF(ISNA(_xlfn.XLOOKUP(A480,Vortex!F$5:F$302,Vortex!M$5:M$302)),0,_xlfn.XLOOKUP(A480,Vortex!F$5:F$302,Vortex!M$5:M$302)))</f>
        <v>0</v>
      </c>
      <c r="Q480" s="49">
        <f t="shared" si="37"/>
        <v>0</v>
      </c>
      <c r="R480" s="49" t="str">
        <f t="shared" si="38"/>
        <v/>
      </c>
      <c r="S480" s="49" t="str">
        <f t="shared" si="39"/>
        <v/>
      </c>
      <c r="T480" s="49" t="str">
        <f t="shared" si="40"/>
        <v/>
      </c>
      <c r="U480" s="49" t="str">
        <f t="shared" si="41"/>
        <v/>
      </c>
    </row>
    <row r="481" spans="1:21">
      <c r="A481" s="49" t="str">
        <f>IF(Declarations!B238=0,"",Declarations!B238)</f>
        <v/>
      </c>
      <c r="B481" s="150" t="str">
        <f>IF(ISNA(VLOOKUP(A481,Declarations!B$6:C$185,2,FALSE)),"",IF(VLOOKUP(A481,Declarations!B$6:C$185,2,FALSE)="","",VLOOKUP(A481,Declarations!B$6:C$185,2,FALSE)))</f>
        <v/>
      </c>
      <c r="C481" s="150" t="str">
        <f>IF(ISNA(VLOOKUP(A481,Declarations!B$6:F$185,5,FALSE)),"",IF(VLOOKUP(A481,Declarations!B$6:F$185,5,FALSE)="","",VLOOKUP(A481,Declarations!B$6:F$185,5,FALSE)))</f>
        <v/>
      </c>
      <c r="D481" s="150" t="str">
        <f>IF(ISNA(VLOOKUP(A481,Declarations!B$6:F$185,4,FALSE)),"",IF(VLOOKUP(A481,Declarations!B$6:F$185,4,FALSE)="","",VLOOKUP(A481,Declarations!B$6:F$185,4,FALSE)))</f>
        <v/>
      </c>
      <c r="E481" s="150" t="str">
        <f>IF(ISNA(VLOOKUP(A481,Declarations!B$6:D$185,3,FALSE)),"",IF(VLOOKUP(A481,Declarations!B$6:D$185,3,FALSE)="","",VLOOKUP(A481,Declarations!B$6:D$185,3,FALSE)))</f>
        <v/>
      </c>
      <c r="F481" s="49" t="str">
        <f>IF(B481="","",IF(ISNA(VLOOKUP(A481,'75m'!F$5:G$302,2,FALSE)),"",VLOOKUP(A481,'75m'!F$5:G$302,2,FALSE)))</f>
        <v/>
      </c>
      <c r="G481" s="49">
        <f>IF(B481="",0,IF(ISNA(_xlfn.XLOOKUP(A481,'75m'!F$5:F$302,'75m'!M$5:M$302)),0,_xlfn.XLOOKUP(A481,'75m'!F$5:F$302,'75m'!M$5:M$302)))</f>
        <v>0</v>
      </c>
      <c r="H481" s="49" t="str">
        <f>IF(B481="","",IF(ISNA(VLOOKUP(A481,'75m'!F$5:K$302,6,FALSE)),"",VLOOKUP(A481,'75m'!F$5:K$302,6,FALSE)))</f>
        <v/>
      </c>
      <c r="I481" s="51">
        <f>IF(B481="",0,IF(ISNA(VLOOKUP(A481,'600m'!F$5:J$302,2,FALSE)),0,VLOOKUP(A481,'600m'!F$5:J$302,2,FALSE)))</f>
        <v>0</v>
      </c>
      <c r="J481" s="49">
        <f>IF(B481="",0,IF(ISNA(_xlfn.XLOOKUP(A481,'600m'!F$5:F$302,'600m'!M$5:M$302)),0,_xlfn.XLOOKUP(A481,'600m'!F$5:F$302,'600m'!M$5:M$302)))</f>
        <v>0</v>
      </c>
      <c r="K481" s="49" t="str">
        <f>IF(B481="","",IF(ISNA(VLOOKUP(A481,'600m'!F$5:K$302,6,FALSE)),"",VLOOKUP(A481,'600m'!F$5:K$302,6,FALSE)))</f>
        <v/>
      </c>
      <c r="L481" s="49" t="str">
        <f>IF(B481="","",IF(ISNA(VLOOKUP(A481,LongJump!F$5:G$302,2,FALSE)),"",VLOOKUP(A481,LongJump!F$5:G$302,2,FALSE)))</f>
        <v/>
      </c>
      <c r="M481" s="49">
        <f>IF(B481="",0,IF(ISNA(_xlfn.XLOOKUP(A481,LongJump!F$5:F$302,LongJump!M$5:M$302)),0,_xlfn.XLOOKUP(A481,LongJump!F$5:F$302,LongJump!M$5:M$302)))</f>
        <v>0</v>
      </c>
      <c r="N481" s="49" t="str">
        <f>IF(B481="","",IF(ISNA(VLOOKUP(A481,LongJump!F$5:K$302,6,FALSE)),0,VLOOKUP(A481,LongJump!F$5:K$302,6,FALSE)))</f>
        <v/>
      </c>
      <c r="O481" s="49" t="str">
        <f>IF(B481="","",IF(ISNA(VLOOKUP(A481,Vortex!F$5:J$302,2,FALSE)),"",VLOOKUP(A481,Vortex!F$5:J$302,2,FALSE)))</f>
        <v/>
      </c>
      <c r="P481" s="49">
        <f>IF(B481="",0,IF(ISNA(_xlfn.XLOOKUP(A481,Vortex!F$5:F$302,Vortex!M$5:M$302)),0,_xlfn.XLOOKUP(A481,Vortex!F$5:F$302,Vortex!M$5:M$302)))</f>
        <v>0</v>
      </c>
      <c r="Q481" s="49">
        <f t="shared" si="37"/>
        <v>0</v>
      </c>
      <c r="R481" s="49" t="str">
        <f t="shared" si="38"/>
        <v/>
      </c>
      <c r="S481" s="49" t="str">
        <f t="shared" si="39"/>
        <v/>
      </c>
      <c r="T481" s="49" t="str">
        <f t="shared" si="40"/>
        <v/>
      </c>
      <c r="U481" s="49" t="str">
        <f t="shared" si="41"/>
        <v/>
      </c>
    </row>
    <row r="482" spans="1:21">
      <c r="A482" s="49" t="str">
        <f>IF(Declarations!B239=0,"",Declarations!B239)</f>
        <v/>
      </c>
      <c r="B482" s="150" t="str">
        <f>IF(ISNA(VLOOKUP(A482,Declarations!B$6:C$185,2,FALSE)),"",IF(VLOOKUP(A482,Declarations!B$6:C$185,2,FALSE)="","",VLOOKUP(A482,Declarations!B$6:C$185,2,FALSE)))</f>
        <v/>
      </c>
      <c r="C482" s="150" t="str">
        <f>IF(ISNA(VLOOKUP(A482,Declarations!B$6:F$185,5,FALSE)),"",IF(VLOOKUP(A482,Declarations!B$6:F$185,5,FALSE)="","",VLOOKUP(A482,Declarations!B$6:F$185,5,FALSE)))</f>
        <v/>
      </c>
      <c r="D482" s="150" t="str">
        <f>IF(ISNA(VLOOKUP(A482,Declarations!B$6:F$185,4,FALSE)),"",IF(VLOOKUP(A482,Declarations!B$6:F$185,4,FALSE)="","",VLOOKUP(A482,Declarations!B$6:F$185,4,FALSE)))</f>
        <v/>
      </c>
      <c r="E482" s="150" t="str">
        <f>IF(ISNA(VLOOKUP(A482,Declarations!B$6:D$185,3,FALSE)),"",IF(VLOOKUP(A482,Declarations!B$6:D$185,3,FALSE)="","",VLOOKUP(A482,Declarations!B$6:D$185,3,FALSE)))</f>
        <v/>
      </c>
      <c r="F482" s="49" t="str">
        <f>IF(B482="","",IF(ISNA(VLOOKUP(A482,'75m'!F$5:G$302,2,FALSE)),"",VLOOKUP(A482,'75m'!F$5:G$302,2,FALSE)))</f>
        <v/>
      </c>
      <c r="G482" s="49">
        <f>IF(B482="",0,IF(ISNA(_xlfn.XLOOKUP(A482,'75m'!F$5:F$302,'75m'!M$5:M$302)),0,_xlfn.XLOOKUP(A482,'75m'!F$5:F$302,'75m'!M$5:M$302)))</f>
        <v>0</v>
      </c>
      <c r="H482" s="49" t="str">
        <f>IF(B482="","",IF(ISNA(VLOOKUP(A482,'75m'!F$5:K$302,6,FALSE)),"",VLOOKUP(A482,'75m'!F$5:K$302,6,FALSE)))</f>
        <v/>
      </c>
      <c r="I482" s="51">
        <f>IF(B482="",0,IF(ISNA(VLOOKUP(A482,'600m'!F$5:J$302,2,FALSE)),0,VLOOKUP(A482,'600m'!F$5:J$302,2,FALSE)))</f>
        <v>0</v>
      </c>
      <c r="J482" s="49">
        <f>IF(B482="",0,IF(ISNA(_xlfn.XLOOKUP(A482,'600m'!F$5:F$302,'600m'!M$5:M$302)),0,_xlfn.XLOOKUP(A482,'600m'!F$5:F$302,'600m'!M$5:M$302)))</f>
        <v>0</v>
      </c>
      <c r="K482" s="49" t="str">
        <f>IF(B482="","",IF(ISNA(VLOOKUP(A482,'600m'!F$5:K$302,6,FALSE)),"",VLOOKUP(A482,'600m'!F$5:K$302,6,FALSE)))</f>
        <v/>
      </c>
      <c r="L482" s="49" t="str">
        <f>IF(B482="","",IF(ISNA(VLOOKUP(A482,LongJump!F$5:G$302,2,FALSE)),"",VLOOKUP(A482,LongJump!F$5:G$302,2,FALSE)))</f>
        <v/>
      </c>
      <c r="M482" s="49">
        <f>IF(B482="",0,IF(ISNA(_xlfn.XLOOKUP(A482,LongJump!F$5:F$302,LongJump!M$5:M$302)),0,_xlfn.XLOOKUP(A482,LongJump!F$5:F$302,LongJump!M$5:M$302)))</f>
        <v>0</v>
      </c>
      <c r="N482" s="49" t="str">
        <f>IF(B482="","",IF(ISNA(VLOOKUP(A482,LongJump!F$5:K$302,6,FALSE)),0,VLOOKUP(A482,LongJump!F$5:K$302,6,FALSE)))</f>
        <v/>
      </c>
      <c r="O482" s="49" t="str">
        <f>IF(B482="","",IF(ISNA(VLOOKUP(A482,Vortex!F$5:J$302,2,FALSE)),"",VLOOKUP(A482,Vortex!F$5:J$302,2,FALSE)))</f>
        <v/>
      </c>
      <c r="P482" s="49">
        <f>IF(B482="",0,IF(ISNA(_xlfn.XLOOKUP(A482,Vortex!F$5:F$302,Vortex!M$5:M$302)),0,_xlfn.XLOOKUP(A482,Vortex!F$5:F$302,Vortex!M$5:M$302)))</f>
        <v>0</v>
      </c>
      <c r="Q482" s="49">
        <f t="shared" si="37"/>
        <v>0</v>
      </c>
      <c r="R482" s="49" t="str">
        <f t="shared" si="38"/>
        <v/>
      </c>
      <c r="S482" s="49" t="str">
        <f t="shared" si="39"/>
        <v/>
      </c>
      <c r="T482" s="49" t="str">
        <f t="shared" si="40"/>
        <v/>
      </c>
      <c r="U482" s="49" t="str">
        <f t="shared" si="41"/>
        <v/>
      </c>
    </row>
    <row r="483" spans="1:21">
      <c r="A483" s="49" t="str">
        <f>IF(Declarations!B240=0,"",Declarations!B240)</f>
        <v/>
      </c>
      <c r="B483" s="150" t="str">
        <f>IF(ISNA(VLOOKUP(A483,Declarations!B$6:C$185,2,FALSE)),"",IF(VLOOKUP(A483,Declarations!B$6:C$185,2,FALSE)="","",VLOOKUP(A483,Declarations!B$6:C$185,2,FALSE)))</f>
        <v/>
      </c>
      <c r="C483" s="150" t="str">
        <f>IF(ISNA(VLOOKUP(A483,Declarations!B$6:F$185,5,FALSE)),"",IF(VLOOKUP(A483,Declarations!B$6:F$185,5,FALSE)="","",VLOOKUP(A483,Declarations!B$6:F$185,5,FALSE)))</f>
        <v/>
      </c>
      <c r="D483" s="150" t="str">
        <f>IF(ISNA(VLOOKUP(A483,Declarations!B$6:F$185,4,FALSE)),"",IF(VLOOKUP(A483,Declarations!B$6:F$185,4,FALSE)="","",VLOOKUP(A483,Declarations!B$6:F$185,4,FALSE)))</f>
        <v/>
      </c>
      <c r="E483" s="150" t="str">
        <f>IF(ISNA(VLOOKUP(A483,Declarations!B$6:D$185,3,FALSE)),"",IF(VLOOKUP(A483,Declarations!B$6:D$185,3,FALSE)="","",VLOOKUP(A483,Declarations!B$6:D$185,3,FALSE)))</f>
        <v/>
      </c>
      <c r="F483" s="49" t="str">
        <f>IF(B483="","",IF(ISNA(VLOOKUP(A483,'75m'!F$5:G$302,2,FALSE)),"",VLOOKUP(A483,'75m'!F$5:G$302,2,FALSE)))</f>
        <v/>
      </c>
      <c r="G483" s="49">
        <f>IF(B483="",0,IF(ISNA(_xlfn.XLOOKUP(A483,'75m'!F$5:F$302,'75m'!M$5:M$302)),0,_xlfn.XLOOKUP(A483,'75m'!F$5:F$302,'75m'!M$5:M$302)))</f>
        <v>0</v>
      </c>
      <c r="H483" s="49" t="str">
        <f>IF(B483="","",IF(ISNA(VLOOKUP(A483,'75m'!F$5:K$302,6,FALSE)),"",VLOOKUP(A483,'75m'!F$5:K$302,6,FALSE)))</f>
        <v/>
      </c>
      <c r="I483" s="51">
        <f>IF(B483="",0,IF(ISNA(VLOOKUP(A483,'600m'!F$5:J$302,2,FALSE)),0,VLOOKUP(A483,'600m'!F$5:J$302,2,FALSE)))</f>
        <v>0</v>
      </c>
      <c r="J483" s="49">
        <f>IF(B483="",0,IF(ISNA(_xlfn.XLOOKUP(A483,'600m'!F$5:F$302,'600m'!M$5:M$302)),0,_xlfn.XLOOKUP(A483,'600m'!F$5:F$302,'600m'!M$5:M$302)))</f>
        <v>0</v>
      </c>
      <c r="K483" s="49" t="str">
        <f>IF(B483="","",IF(ISNA(VLOOKUP(A483,'600m'!F$5:K$302,6,FALSE)),"",VLOOKUP(A483,'600m'!F$5:K$302,6,FALSE)))</f>
        <v/>
      </c>
      <c r="L483" s="49" t="str">
        <f>IF(B483="","",IF(ISNA(VLOOKUP(A483,LongJump!F$5:G$302,2,FALSE)),"",VLOOKUP(A483,LongJump!F$5:G$302,2,FALSE)))</f>
        <v/>
      </c>
      <c r="M483" s="49">
        <f>IF(B483="",0,IF(ISNA(_xlfn.XLOOKUP(A483,LongJump!F$5:F$302,LongJump!M$5:M$302)),0,_xlfn.XLOOKUP(A483,LongJump!F$5:F$302,LongJump!M$5:M$302)))</f>
        <v>0</v>
      </c>
      <c r="N483" s="49" t="str">
        <f>IF(B483="","",IF(ISNA(VLOOKUP(A483,LongJump!F$5:K$302,6,FALSE)),0,VLOOKUP(A483,LongJump!F$5:K$302,6,FALSE)))</f>
        <v/>
      </c>
      <c r="O483" s="49" t="str">
        <f>IF(B483="","",IF(ISNA(VLOOKUP(A483,Vortex!F$5:J$302,2,FALSE)),"",VLOOKUP(A483,Vortex!F$5:J$302,2,FALSE)))</f>
        <v/>
      </c>
      <c r="P483" s="49">
        <f>IF(B483="",0,IF(ISNA(_xlfn.XLOOKUP(A483,Vortex!F$5:F$302,Vortex!M$5:M$302)),0,_xlfn.XLOOKUP(A483,Vortex!F$5:F$302,Vortex!M$5:M$302)))</f>
        <v>0</v>
      </c>
      <c r="Q483" s="49">
        <f t="shared" si="37"/>
        <v>0</v>
      </c>
      <c r="R483" s="49" t="str">
        <f t="shared" si="38"/>
        <v/>
      </c>
      <c r="S483" s="49" t="str">
        <f t="shared" si="39"/>
        <v/>
      </c>
      <c r="T483" s="49" t="str">
        <f t="shared" si="40"/>
        <v/>
      </c>
      <c r="U483" s="49" t="str">
        <f t="shared" si="41"/>
        <v/>
      </c>
    </row>
    <row r="484" spans="1:21">
      <c r="A484" s="49" t="str">
        <f>IF(Declarations!B241=0,"",Declarations!B241)</f>
        <v/>
      </c>
      <c r="B484" s="150" t="str">
        <f>IF(ISNA(VLOOKUP(A484,Declarations!B$6:C$185,2,FALSE)),"",IF(VLOOKUP(A484,Declarations!B$6:C$185,2,FALSE)="","",VLOOKUP(A484,Declarations!B$6:C$185,2,FALSE)))</f>
        <v/>
      </c>
      <c r="C484" s="150" t="str">
        <f>IF(ISNA(VLOOKUP(A484,Declarations!B$6:F$185,5,FALSE)),"",IF(VLOOKUP(A484,Declarations!B$6:F$185,5,FALSE)="","",VLOOKUP(A484,Declarations!B$6:F$185,5,FALSE)))</f>
        <v/>
      </c>
      <c r="D484" s="150" t="str">
        <f>IF(ISNA(VLOOKUP(A484,Declarations!B$6:F$185,4,FALSE)),"",IF(VLOOKUP(A484,Declarations!B$6:F$185,4,FALSE)="","",VLOOKUP(A484,Declarations!B$6:F$185,4,FALSE)))</f>
        <v/>
      </c>
      <c r="E484" s="150" t="str">
        <f>IF(ISNA(VLOOKUP(A484,Declarations!B$6:D$185,3,FALSE)),"",IF(VLOOKUP(A484,Declarations!B$6:D$185,3,FALSE)="","",VLOOKUP(A484,Declarations!B$6:D$185,3,FALSE)))</f>
        <v/>
      </c>
      <c r="F484" s="49" t="str">
        <f>IF(B484="","",IF(ISNA(VLOOKUP(A484,'75m'!F$5:G$302,2,FALSE)),"",VLOOKUP(A484,'75m'!F$5:G$302,2,FALSE)))</f>
        <v/>
      </c>
      <c r="G484" s="49">
        <f>IF(B484="",0,IF(ISNA(_xlfn.XLOOKUP(A484,'75m'!F$5:F$302,'75m'!M$5:M$302)),0,_xlfn.XLOOKUP(A484,'75m'!F$5:F$302,'75m'!M$5:M$302)))</f>
        <v>0</v>
      </c>
      <c r="H484" s="49" t="str">
        <f>IF(B484="","",IF(ISNA(VLOOKUP(A484,'75m'!F$5:K$302,6,FALSE)),"",VLOOKUP(A484,'75m'!F$5:K$302,6,FALSE)))</f>
        <v/>
      </c>
      <c r="I484" s="51">
        <f>IF(B484="",0,IF(ISNA(VLOOKUP(A484,'600m'!F$5:J$302,2,FALSE)),0,VLOOKUP(A484,'600m'!F$5:J$302,2,FALSE)))</f>
        <v>0</v>
      </c>
      <c r="J484" s="49">
        <f>IF(B484="",0,IF(ISNA(_xlfn.XLOOKUP(A484,'600m'!F$5:F$302,'600m'!M$5:M$302)),0,_xlfn.XLOOKUP(A484,'600m'!F$5:F$302,'600m'!M$5:M$302)))</f>
        <v>0</v>
      </c>
      <c r="K484" s="49" t="str">
        <f>IF(B484="","",IF(ISNA(VLOOKUP(A484,'600m'!F$5:K$302,6,FALSE)),"",VLOOKUP(A484,'600m'!F$5:K$302,6,FALSE)))</f>
        <v/>
      </c>
      <c r="L484" s="49" t="str">
        <f>IF(B484="","",IF(ISNA(VLOOKUP(A484,LongJump!F$5:G$302,2,FALSE)),"",VLOOKUP(A484,LongJump!F$5:G$302,2,FALSE)))</f>
        <v/>
      </c>
      <c r="M484" s="49">
        <f>IF(B484="",0,IF(ISNA(_xlfn.XLOOKUP(A484,LongJump!F$5:F$302,LongJump!M$5:M$302)),0,_xlfn.XLOOKUP(A484,LongJump!F$5:F$302,LongJump!M$5:M$302)))</f>
        <v>0</v>
      </c>
      <c r="N484" s="49" t="str">
        <f>IF(B484="","",IF(ISNA(VLOOKUP(A484,LongJump!F$5:K$302,6,FALSE)),0,VLOOKUP(A484,LongJump!F$5:K$302,6,FALSE)))</f>
        <v/>
      </c>
      <c r="O484" s="49" t="str">
        <f>IF(B484="","",IF(ISNA(VLOOKUP(A484,Vortex!F$5:J$302,2,FALSE)),"",VLOOKUP(A484,Vortex!F$5:J$302,2,FALSE)))</f>
        <v/>
      </c>
      <c r="P484" s="49">
        <f>IF(B484="",0,IF(ISNA(_xlfn.XLOOKUP(A484,Vortex!F$5:F$302,Vortex!M$5:M$302)),0,_xlfn.XLOOKUP(A484,Vortex!F$5:F$302,Vortex!M$5:M$302)))</f>
        <v>0</v>
      </c>
      <c r="Q484" s="49">
        <f t="shared" si="37"/>
        <v>0</v>
      </c>
      <c r="R484" s="49" t="str">
        <f t="shared" si="38"/>
        <v/>
      </c>
      <c r="S484" s="49" t="str">
        <f t="shared" si="39"/>
        <v/>
      </c>
      <c r="T484" s="49" t="str">
        <f t="shared" si="40"/>
        <v/>
      </c>
      <c r="U484" s="49" t="str">
        <f t="shared" si="41"/>
        <v/>
      </c>
    </row>
    <row r="485" spans="1:21">
      <c r="A485" s="49" t="str">
        <f>IF(Declarations!B242=0,"",Declarations!B242)</f>
        <v/>
      </c>
      <c r="B485" s="150" t="str">
        <f>IF(ISNA(VLOOKUP(A485,Declarations!B$6:C$185,2,FALSE)),"",IF(VLOOKUP(A485,Declarations!B$6:C$185,2,FALSE)="","",VLOOKUP(A485,Declarations!B$6:C$185,2,FALSE)))</f>
        <v/>
      </c>
      <c r="C485" s="150" t="str">
        <f>IF(ISNA(VLOOKUP(A485,Declarations!B$6:F$185,5,FALSE)),"",IF(VLOOKUP(A485,Declarations!B$6:F$185,5,FALSE)="","",VLOOKUP(A485,Declarations!B$6:F$185,5,FALSE)))</f>
        <v/>
      </c>
      <c r="D485" s="150" t="str">
        <f>IF(ISNA(VLOOKUP(A485,Declarations!B$6:F$185,4,FALSE)),"",IF(VLOOKUP(A485,Declarations!B$6:F$185,4,FALSE)="","",VLOOKUP(A485,Declarations!B$6:F$185,4,FALSE)))</f>
        <v/>
      </c>
      <c r="E485" s="150" t="str">
        <f>IF(ISNA(VLOOKUP(A485,Declarations!B$6:D$185,3,FALSE)),"",IF(VLOOKUP(A485,Declarations!B$6:D$185,3,FALSE)="","",VLOOKUP(A485,Declarations!B$6:D$185,3,FALSE)))</f>
        <v/>
      </c>
      <c r="F485" s="49" t="str">
        <f>IF(B485="","",IF(ISNA(VLOOKUP(A485,'75m'!F$5:G$302,2,FALSE)),"",VLOOKUP(A485,'75m'!F$5:G$302,2,FALSE)))</f>
        <v/>
      </c>
      <c r="G485" s="49">
        <f>IF(B485="",0,IF(ISNA(_xlfn.XLOOKUP(A485,'75m'!F$5:F$302,'75m'!M$5:M$302)),0,_xlfn.XLOOKUP(A485,'75m'!F$5:F$302,'75m'!M$5:M$302)))</f>
        <v>0</v>
      </c>
      <c r="H485" s="49" t="str">
        <f>IF(B485="","",IF(ISNA(VLOOKUP(A485,'75m'!F$5:K$302,6,FALSE)),"",VLOOKUP(A485,'75m'!F$5:K$302,6,FALSE)))</f>
        <v/>
      </c>
      <c r="I485" s="51">
        <f>IF(B485="",0,IF(ISNA(VLOOKUP(A485,'600m'!F$5:J$302,2,FALSE)),0,VLOOKUP(A485,'600m'!F$5:J$302,2,FALSE)))</f>
        <v>0</v>
      </c>
      <c r="J485" s="49">
        <f>IF(B485="",0,IF(ISNA(_xlfn.XLOOKUP(A485,'600m'!F$5:F$302,'600m'!M$5:M$302)),0,_xlfn.XLOOKUP(A485,'600m'!F$5:F$302,'600m'!M$5:M$302)))</f>
        <v>0</v>
      </c>
      <c r="K485" s="49" t="str">
        <f>IF(B485="","",IF(ISNA(VLOOKUP(A485,'600m'!F$5:K$302,6,FALSE)),"",VLOOKUP(A485,'600m'!F$5:K$302,6,FALSE)))</f>
        <v/>
      </c>
      <c r="L485" s="49" t="str">
        <f>IF(B485="","",IF(ISNA(VLOOKUP(A485,LongJump!F$5:G$302,2,FALSE)),"",VLOOKUP(A485,LongJump!F$5:G$302,2,FALSE)))</f>
        <v/>
      </c>
      <c r="M485" s="49">
        <f>IF(B485="",0,IF(ISNA(_xlfn.XLOOKUP(A485,LongJump!F$5:F$302,LongJump!M$5:M$302)),0,_xlfn.XLOOKUP(A485,LongJump!F$5:F$302,LongJump!M$5:M$302)))</f>
        <v>0</v>
      </c>
      <c r="N485" s="49" t="str">
        <f>IF(B485="","",IF(ISNA(VLOOKUP(A485,LongJump!F$5:K$302,6,FALSE)),0,VLOOKUP(A485,LongJump!F$5:K$302,6,FALSE)))</f>
        <v/>
      </c>
      <c r="O485" s="49" t="str">
        <f>IF(B485="","",IF(ISNA(VLOOKUP(A485,Vortex!F$5:J$302,2,FALSE)),"",VLOOKUP(A485,Vortex!F$5:J$302,2,FALSE)))</f>
        <v/>
      </c>
      <c r="P485" s="49">
        <f>IF(B485="",0,IF(ISNA(_xlfn.XLOOKUP(A485,Vortex!F$5:F$302,Vortex!M$5:M$302)),0,_xlfn.XLOOKUP(A485,Vortex!F$5:F$302,Vortex!M$5:M$302)))</f>
        <v>0</v>
      </c>
      <c r="Q485" s="49">
        <f t="shared" si="37"/>
        <v>0</v>
      </c>
      <c r="R485" s="49" t="str">
        <f t="shared" si="38"/>
        <v/>
      </c>
      <c r="S485" s="49" t="str">
        <f t="shared" si="39"/>
        <v/>
      </c>
      <c r="T485" s="49" t="str">
        <f t="shared" si="40"/>
        <v/>
      </c>
      <c r="U485" s="49" t="str">
        <f t="shared" si="41"/>
        <v/>
      </c>
    </row>
    <row r="486" spans="1:21">
      <c r="A486" s="49" t="str">
        <f>IF(Declarations!B243=0,"",Declarations!B243)</f>
        <v/>
      </c>
      <c r="B486" s="150" t="str">
        <f>IF(ISNA(VLOOKUP(A486,Declarations!B$6:C$185,2,FALSE)),"",IF(VLOOKUP(A486,Declarations!B$6:C$185,2,FALSE)="","",VLOOKUP(A486,Declarations!B$6:C$185,2,FALSE)))</f>
        <v/>
      </c>
      <c r="C486" s="150" t="str">
        <f>IF(ISNA(VLOOKUP(A486,Declarations!B$6:F$185,5,FALSE)),"",IF(VLOOKUP(A486,Declarations!B$6:F$185,5,FALSE)="","",VLOOKUP(A486,Declarations!B$6:F$185,5,FALSE)))</f>
        <v/>
      </c>
      <c r="D486" s="150" t="str">
        <f>IF(ISNA(VLOOKUP(A486,Declarations!B$6:F$185,4,FALSE)),"",IF(VLOOKUP(A486,Declarations!B$6:F$185,4,FALSE)="","",VLOOKUP(A486,Declarations!B$6:F$185,4,FALSE)))</f>
        <v/>
      </c>
      <c r="E486" s="150" t="str">
        <f>IF(ISNA(VLOOKUP(A486,Declarations!B$6:D$185,3,FALSE)),"",IF(VLOOKUP(A486,Declarations!B$6:D$185,3,FALSE)="","",VLOOKUP(A486,Declarations!B$6:D$185,3,FALSE)))</f>
        <v/>
      </c>
      <c r="F486" s="49" t="str">
        <f>IF(B486="","",IF(ISNA(VLOOKUP(A486,'75m'!F$5:G$302,2,FALSE)),"",VLOOKUP(A486,'75m'!F$5:G$302,2,FALSE)))</f>
        <v/>
      </c>
      <c r="G486" s="49">
        <f>IF(B486="",0,IF(ISNA(_xlfn.XLOOKUP(A486,'75m'!F$5:F$302,'75m'!M$5:M$302)),0,_xlfn.XLOOKUP(A486,'75m'!F$5:F$302,'75m'!M$5:M$302)))</f>
        <v>0</v>
      </c>
      <c r="H486" s="49" t="str">
        <f>IF(B486="","",IF(ISNA(VLOOKUP(A486,'75m'!F$5:K$302,6,FALSE)),"",VLOOKUP(A486,'75m'!F$5:K$302,6,FALSE)))</f>
        <v/>
      </c>
      <c r="I486" s="51">
        <f>IF(B486="",0,IF(ISNA(VLOOKUP(A486,'600m'!F$5:J$302,2,FALSE)),0,VLOOKUP(A486,'600m'!F$5:J$302,2,FALSE)))</f>
        <v>0</v>
      </c>
      <c r="J486" s="49">
        <f>IF(B486="",0,IF(ISNA(_xlfn.XLOOKUP(A486,'600m'!F$5:F$302,'600m'!M$5:M$302)),0,_xlfn.XLOOKUP(A486,'600m'!F$5:F$302,'600m'!M$5:M$302)))</f>
        <v>0</v>
      </c>
      <c r="K486" s="49" t="str">
        <f>IF(B486="","",IF(ISNA(VLOOKUP(A486,'600m'!F$5:K$302,6,FALSE)),"",VLOOKUP(A486,'600m'!F$5:K$302,6,FALSE)))</f>
        <v/>
      </c>
      <c r="L486" s="49" t="str">
        <f>IF(B486="","",IF(ISNA(VLOOKUP(A486,LongJump!F$5:G$302,2,FALSE)),"",VLOOKUP(A486,LongJump!F$5:G$302,2,FALSE)))</f>
        <v/>
      </c>
      <c r="M486" s="49">
        <f>IF(B486="",0,IF(ISNA(_xlfn.XLOOKUP(A486,LongJump!F$5:F$302,LongJump!M$5:M$302)),0,_xlfn.XLOOKUP(A486,LongJump!F$5:F$302,LongJump!M$5:M$302)))</f>
        <v>0</v>
      </c>
      <c r="N486" s="49" t="str">
        <f>IF(B486="","",IF(ISNA(VLOOKUP(A486,LongJump!F$5:K$302,6,FALSE)),0,VLOOKUP(A486,LongJump!F$5:K$302,6,FALSE)))</f>
        <v/>
      </c>
      <c r="O486" s="49" t="str">
        <f>IF(B486="","",IF(ISNA(VLOOKUP(A486,Vortex!F$5:J$302,2,FALSE)),"",VLOOKUP(A486,Vortex!F$5:J$302,2,FALSE)))</f>
        <v/>
      </c>
      <c r="P486" s="49">
        <f>IF(B486="",0,IF(ISNA(_xlfn.XLOOKUP(A486,Vortex!F$5:F$302,Vortex!M$5:M$302)),0,_xlfn.XLOOKUP(A486,Vortex!F$5:F$302,Vortex!M$5:M$302)))</f>
        <v>0</v>
      </c>
      <c r="Q486" s="49">
        <f t="shared" si="37"/>
        <v>0</v>
      </c>
      <c r="R486" s="49" t="str">
        <f t="shared" si="38"/>
        <v/>
      </c>
      <c r="S486" s="49" t="str">
        <f t="shared" si="39"/>
        <v/>
      </c>
      <c r="T486" s="49" t="str">
        <f t="shared" si="40"/>
        <v/>
      </c>
      <c r="U486" s="49" t="str">
        <f t="shared" si="41"/>
        <v/>
      </c>
    </row>
    <row r="487" spans="1:21">
      <c r="A487" s="49" t="str">
        <f>IF(Declarations!B244=0,"",Declarations!B244)</f>
        <v/>
      </c>
      <c r="B487" s="150" t="str">
        <f>IF(ISNA(VLOOKUP(A487,Declarations!B$6:C$185,2,FALSE)),"",IF(VLOOKUP(A487,Declarations!B$6:C$185,2,FALSE)="","",VLOOKUP(A487,Declarations!B$6:C$185,2,FALSE)))</f>
        <v/>
      </c>
      <c r="C487" s="150" t="str">
        <f>IF(ISNA(VLOOKUP(A487,Declarations!B$6:F$185,5,FALSE)),"",IF(VLOOKUP(A487,Declarations!B$6:F$185,5,FALSE)="","",VLOOKUP(A487,Declarations!B$6:F$185,5,FALSE)))</f>
        <v/>
      </c>
      <c r="D487" s="150" t="str">
        <f>IF(ISNA(VLOOKUP(A487,Declarations!B$6:F$185,4,FALSE)),"",IF(VLOOKUP(A487,Declarations!B$6:F$185,4,FALSE)="","",VLOOKUP(A487,Declarations!B$6:F$185,4,FALSE)))</f>
        <v/>
      </c>
      <c r="E487" s="150" t="str">
        <f>IF(ISNA(VLOOKUP(A487,Declarations!B$6:D$185,3,FALSE)),"",IF(VLOOKUP(A487,Declarations!B$6:D$185,3,FALSE)="","",VLOOKUP(A487,Declarations!B$6:D$185,3,FALSE)))</f>
        <v/>
      </c>
      <c r="F487" s="49" t="str">
        <f>IF(B487="","",IF(ISNA(VLOOKUP(A487,'75m'!F$5:G$302,2,FALSE)),"",VLOOKUP(A487,'75m'!F$5:G$302,2,FALSE)))</f>
        <v/>
      </c>
      <c r="G487" s="49">
        <f>IF(B487="",0,IF(ISNA(_xlfn.XLOOKUP(A487,'75m'!F$5:F$302,'75m'!M$5:M$302)),0,_xlfn.XLOOKUP(A487,'75m'!F$5:F$302,'75m'!M$5:M$302)))</f>
        <v>0</v>
      </c>
      <c r="H487" s="49" t="str">
        <f>IF(B487="","",IF(ISNA(VLOOKUP(A487,'75m'!F$5:K$302,6,FALSE)),"",VLOOKUP(A487,'75m'!F$5:K$302,6,FALSE)))</f>
        <v/>
      </c>
      <c r="I487" s="51">
        <f>IF(B487="",0,IF(ISNA(VLOOKUP(A487,'600m'!F$5:J$302,2,FALSE)),0,VLOOKUP(A487,'600m'!F$5:J$302,2,FALSE)))</f>
        <v>0</v>
      </c>
      <c r="J487" s="49">
        <f>IF(B487="",0,IF(ISNA(_xlfn.XLOOKUP(A487,'600m'!F$5:F$302,'600m'!M$5:M$302)),0,_xlfn.XLOOKUP(A487,'600m'!F$5:F$302,'600m'!M$5:M$302)))</f>
        <v>0</v>
      </c>
      <c r="K487" s="49" t="str">
        <f>IF(B487="","",IF(ISNA(VLOOKUP(A487,'600m'!F$5:K$302,6,FALSE)),"",VLOOKUP(A487,'600m'!F$5:K$302,6,FALSE)))</f>
        <v/>
      </c>
      <c r="L487" s="49" t="str">
        <f>IF(B487="","",IF(ISNA(VLOOKUP(A487,LongJump!F$5:G$302,2,FALSE)),"",VLOOKUP(A487,LongJump!F$5:G$302,2,FALSE)))</f>
        <v/>
      </c>
      <c r="M487" s="49">
        <f>IF(B487="",0,IF(ISNA(_xlfn.XLOOKUP(A487,LongJump!F$5:F$302,LongJump!M$5:M$302)),0,_xlfn.XLOOKUP(A487,LongJump!F$5:F$302,LongJump!M$5:M$302)))</f>
        <v>0</v>
      </c>
      <c r="N487" s="49" t="str">
        <f>IF(B487="","",IF(ISNA(VLOOKUP(A487,LongJump!F$5:K$302,6,FALSE)),0,VLOOKUP(A487,LongJump!F$5:K$302,6,FALSE)))</f>
        <v/>
      </c>
      <c r="O487" s="49" t="str">
        <f>IF(B487="","",IF(ISNA(VLOOKUP(A487,Vortex!F$5:J$302,2,FALSE)),"",VLOOKUP(A487,Vortex!F$5:J$302,2,FALSE)))</f>
        <v/>
      </c>
      <c r="P487" s="49">
        <f>IF(B487="",0,IF(ISNA(_xlfn.XLOOKUP(A487,Vortex!F$5:F$302,Vortex!M$5:M$302)),0,_xlfn.XLOOKUP(A487,Vortex!F$5:F$302,Vortex!M$5:M$302)))</f>
        <v>0</v>
      </c>
      <c r="Q487" s="49">
        <f t="shared" si="37"/>
        <v>0</v>
      </c>
      <c r="R487" s="49" t="str">
        <f t="shared" si="38"/>
        <v/>
      </c>
      <c r="S487" s="49" t="str">
        <f t="shared" si="39"/>
        <v/>
      </c>
      <c r="T487" s="49" t="str">
        <f t="shared" si="40"/>
        <v/>
      </c>
      <c r="U487" s="49" t="str">
        <f t="shared" si="41"/>
        <v/>
      </c>
    </row>
    <row r="488" spans="1:21">
      <c r="A488" s="49" t="str">
        <f>IF(Declarations!B245=0,"",Declarations!B245)</f>
        <v/>
      </c>
      <c r="B488" s="150" t="str">
        <f>IF(ISNA(VLOOKUP(A488,Declarations!B$6:C$185,2,FALSE)),"",IF(VLOOKUP(A488,Declarations!B$6:C$185,2,FALSE)="","",VLOOKUP(A488,Declarations!B$6:C$185,2,FALSE)))</f>
        <v/>
      </c>
      <c r="C488" s="150" t="str">
        <f>IF(ISNA(VLOOKUP(A488,Declarations!B$6:F$185,5,FALSE)),"",IF(VLOOKUP(A488,Declarations!B$6:F$185,5,FALSE)="","",VLOOKUP(A488,Declarations!B$6:F$185,5,FALSE)))</f>
        <v/>
      </c>
      <c r="D488" s="150" t="str">
        <f>IF(ISNA(VLOOKUP(A488,Declarations!B$6:F$185,4,FALSE)),"",IF(VLOOKUP(A488,Declarations!B$6:F$185,4,FALSE)="","",VLOOKUP(A488,Declarations!B$6:F$185,4,FALSE)))</f>
        <v/>
      </c>
      <c r="E488" s="150" t="str">
        <f>IF(ISNA(VLOOKUP(A488,Declarations!B$6:D$185,3,FALSE)),"",IF(VLOOKUP(A488,Declarations!B$6:D$185,3,FALSE)="","",VLOOKUP(A488,Declarations!B$6:D$185,3,FALSE)))</f>
        <v/>
      </c>
      <c r="F488" s="49" t="str">
        <f>IF(B488="","",IF(ISNA(VLOOKUP(A488,'75m'!F$5:G$302,2,FALSE)),"",VLOOKUP(A488,'75m'!F$5:G$302,2,FALSE)))</f>
        <v/>
      </c>
      <c r="G488" s="49">
        <f>IF(B488="",0,IF(ISNA(_xlfn.XLOOKUP(A488,'75m'!F$5:F$302,'75m'!M$5:M$302)),0,_xlfn.XLOOKUP(A488,'75m'!F$5:F$302,'75m'!M$5:M$302)))</f>
        <v>0</v>
      </c>
      <c r="H488" s="49" t="str">
        <f>IF(B488="","",IF(ISNA(VLOOKUP(A488,'75m'!F$5:K$302,6,FALSE)),"",VLOOKUP(A488,'75m'!F$5:K$302,6,FALSE)))</f>
        <v/>
      </c>
      <c r="I488" s="51">
        <f>IF(B488="",0,IF(ISNA(VLOOKUP(A488,'600m'!F$5:J$302,2,FALSE)),0,VLOOKUP(A488,'600m'!F$5:J$302,2,FALSE)))</f>
        <v>0</v>
      </c>
      <c r="J488" s="49">
        <f>IF(B488="",0,IF(ISNA(_xlfn.XLOOKUP(A488,'600m'!F$5:F$302,'600m'!M$5:M$302)),0,_xlfn.XLOOKUP(A488,'600m'!F$5:F$302,'600m'!M$5:M$302)))</f>
        <v>0</v>
      </c>
      <c r="K488" s="49" t="str">
        <f>IF(B488="","",IF(ISNA(VLOOKUP(A488,'600m'!F$5:K$302,6,FALSE)),"",VLOOKUP(A488,'600m'!F$5:K$302,6,FALSE)))</f>
        <v/>
      </c>
      <c r="L488" s="49" t="str">
        <f>IF(B488="","",IF(ISNA(VLOOKUP(A488,LongJump!F$5:G$302,2,FALSE)),"",VLOOKUP(A488,LongJump!F$5:G$302,2,FALSE)))</f>
        <v/>
      </c>
      <c r="M488" s="49">
        <f>IF(B488="",0,IF(ISNA(_xlfn.XLOOKUP(A488,LongJump!F$5:F$302,LongJump!M$5:M$302)),0,_xlfn.XLOOKUP(A488,LongJump!F$5:F$302,LongJump!M$5:M$302)))</f>
        <v>0</v>
      </c>
      <c r="N488" s="49" t="str">
        <f>IF(B488="","",IF(ISNA(VLOOKUP(A488,LongJump!F$5:K$302,6,FALSE)),0,VLOOKUP(A488,LongJump!F$5:K$302,6,FALSE)))</f>
        <v/>
      </c>
      <c r="O488" s="49" t="str">
        <f>IF(B488="","",IF(ISNA(VLOOKUP(A488,Vortex!F$5:J$302,2,FALSE)),"",VLOOKUP(A488,Vortex!F$5:J$302,2,FALSE)))</f>
        <v/>
      </c>
      <c r="P488" s="49">
        <f>IF(B488="",0,IF(ISNA(_xlfn.XLOOKUP(A488,Vortex!F$5:F$302,Vortex!M$5:M$302)),0,_xlfn.XLOOKUP(A488,Vortex!F$5:F$302,Vortex!M$5:M$302)))</f>
        <v>0</v>
      </c>
      <c r="Q488" s="49">
        <f t="shared" si="37"/>
        <v>0</v>
      </c>
      <c r="R488" s="49" t="str">
        <f t="shared" si="38"/>
        <v/>
      </c>
      <c r="S488" s="49" t="str">
        <f t="shared" si="39"/>
        <v/>
      </c>
      <c r="T488" s="49" t="str">
        <f t="shared" si="40"/>
        <v/>
      </c>
      <c r="U488" s="49" t="str">
        <f t="shared" si="41"/>
        <v/>
      </c>
    </row>
    <row r="489" spans="1:21">
      <c r="A489" s="49" t="str">
        <f>IF(Declarations!B246=0,"",Declarations!B246)</f>
        <v/>
      </c>
      <c r="B489" s="150" t="str">
        <f>IF(ISNA(VLOOKUP(A489,Declarations!B$6:C$185,2,FALSE)),"",IF(VLOOKUP(A489,Declarations!B$6:C$185,2,FALSE)="","",VLOOKUP(A489,Declarations!B$6:C$185,2,FALSE)))</f>
        <v/>
      </c>
      <c r="C489" s="150" t="str">
        <f>IF(ISNA(VLOOKUP(A489,Declarations!B$6:F$185,5,FALSE)),"",IF(VLOOKUP(A489,Declarations!B$6:F$185,5,FALSE)="","",VLOOKUP(A489,Declarations!B$6:F$185,5,FALSE)))</f>
        <v/>
      </c>
      <c r="D489" s="150" t="str">
        <f>IF(ISNA(VLOOKUP(A489,Declarations!B$6:F$185,4,FALSE)),"",IF(VLOOKUP(A489,Declarations!B$6:F$185,4,FALSE)="","",VLOOKUP(A489,Declarations!B$6:F$185,4,FALSE)))</f>
        <v/>
      </c>
      <c r="E489" s="150" t="str">
        <f>IF(ISNA(VLOOKUP(A489,Declarations!B$6:D$185,3,FALSE)),"",IF(VLOOKUP(A489,Declarations!B$6:D$185,3,FALSE)="","",VLOOKUP(A489,Declarations!B$6:D$185,3,FALSE)))</f>
        <v/>
      </c>
      <c r="F489" s="49" t="str">
        <f>IF(B489="","",IF(ISNA(VLOOKUP(A489,'75m'!F$5:G$302,2,FALSE)),"",VLOOKUP(A489,'75m'!F$5:G$302,2,FALSE)))</f>
        <v/>
      </c>
      <c r="G489" s="49">
        <f>IF(B489="",0,IF(ISNA(_xlfn.XLOOKUP(A489,'75m'!F$5:F$302,'75m'!M$5:M$302)),0,_xlfn.XLOOKUP(A489,'75m'!F$5:F$302,'75m'!M$5:M$302)))</f>
        <v>0</v>
      </c>
      <c r="H489" s="49" t="str">
        <f>IF(B489="","",IF(ISNA(VLOOKUP(A489,'75m'!F$5:K$302,6,FALSE)),"",VLOOKUP(A489,'75m'!F$5:K$302,6,FALSE)))</f>
        <v/>
      </c>
      <c r="I489" s="51">
        <f>IF(B489="",0,IF(ISNA(VLOOKUP(A489,'600m'!F$5:J$302,2,FALSE)),0,VLOOKUP(A489,'600m'!F$5:J$302,2,FALSE)))</f>
        <v>0</v>
      </c>
      <c r="J489" s="49">
        <f>IF(B489="",0,IF(ISNA(_xlfn.XLOOKUP(A489,'600m'!F$5:F$302,'600m'!M$5:M$302)),0,_xlfn.XLOOKUP(A489,'600m'!F$5:F$302,'600m'!M$5:M$302)))</f>
        <v>0</v>
      </c>
      <c r="K489" s="49" t="str">
        <f>IF(B489="","",IF(ISNA(VLOOKUP(A489,'600m'!F$5:K$302,6,FALSE)),"",VLOOKUP(A489,'600m'!F$5:K$302,6,FALSE)))</f>
        <v/>
      </c>
      <c r="L489" s="49" t="str">
        <f>IF(B489="","",IF(ISNA(VLOOKUP(A489,LongJump!F$5:G$302,2,FALSE)),"",VLOOKUP(A489,LongJump!F$5:G$302,2,FALSE)))</f>
        <v/>
      </c>
      <c r="M489" s="49">
        <f>IF(B489="",0,IF(ISNA(_xlfn.XLOOKUP(A489,LongJump!F$5:F$302,LongJump!M$5:M$302)),0,_xlfn.XLOOKUP(A489,LongJump!F$5:F$302,LongJump!M$5:M$302)))</f>
        <v>0</v>
      </c>
      <c r="N489" s="49" t="str">
        <f>IF(B489="","",IF(ISNA(VLOOKUP(A489,LongJump!F$5:K$302,6,FALSE)),0,VLOOKUP(A489,LongJump!F$5:K$302,6,FALSE)))</f>
        <v/>
      </c>
      <c r="O489" s="49" t="str">
        <f>IF(B489="","",IF(ISNA(VLOOKUP(A489,Vortex!F$5:J$302,2,FALSE)),"",VLOOKUP(A489,Vortex!F$5:J$302,2,FALSE)))</f>
        <v/>
      </c>
      <c r="P489" s="49">
        <f>IF(B489="",0,IF(ISNA(_xlfn.XLOOKUP(A489,Vortex!F$5:F$302,Vortex!M$5:M$302)),0,_xlfn.XLOOKUP(A489,Vortex!F$5:F$302,Vortex!M$5:M$302)))</f>
        <v>0</v>
      </c>
      <c r="Q489" s="49">
        <f t="shared" si="37"/>
        <v>0</v>
      </c>
      <c r="R489" s="49" t="str">
        <f t="shared" si="38"/>
        <v/>
      </c>
      <c r="S489" s="49" t="str">
        <f t="shared" si="39"/>
        <v/>
      </c>
      <c r="T489" s="49" t="str">
        <f t="shared" si="40"/>
        <v/>
      </c>
      <c r="U489" s="49" t="str">
        <f t="shared" si="41"/>
        <v/>
      </c>
    </row>
    <row r="490" spans="1:21">
      <c r="A490" s="49" t="str">
        <f>IF(Declarations!B247=0,"",Declarations!B247)</f>
        <v/>
      </c>
      <c r="B490" s="150" t="str">
        <f>IF(ISNA(VLOOKUP(A490,Declarations!B$6:C$185,2,FALSE)),"",IF(VLOOKUP(A490,Declarations!B$6:C$185,2,FALSE)="","",VLOOKUP(A490,Declarations!B$6:C$185,2,FALSE)))</f>
        <v/>
      </c>
      <c r="C490" s="150" t="str">
        <f>IF(ISNA(VLOOKUP(A490,Declarations!B$6:F$185,5,FALSE)),"",IF(VLOOKUP(A490,Declarations!B$6:F$185,5,FALSE)="","",VLOOKUP(A490,Declarations!B$6:F$185,5,FALSE)))</f>
        <v/>
      </c>
      <c r="D490" s="150" t="str">
        <f>IF(ISNA(VLOOKUP(A490,Declarations!B$6:F$185,4,FALSE)),"",IF(VLOOKUP(A490,Declarations!B$6:F$185,4,FALSE)="","",VLOOKUP(A490,Declarations!B$6:F$185,4,FALSE)))</f>
        <v/>
      </c>
      <c r="E490" s="150" t="str">
        <f>IF(ISNA(VLOOKUP(A490,Declarations!B$6:D$185,3,FALSE)),"",IF(VLOOKUP(A490,Declarations!B$6:D$185,3,FALSE)="","",VLOOKUP(A490,Declarations!B$6:D$185,3,FALSE)))</f>
        <v/>
      </c>
      <c r="F490" s="49" t="str">
        <f>IF(B490="","",IF(ISNA(VLOOKUP(A490,'75m'!F$5:G$302,2,FALSE)),"",VLOOKUP(A490,'75m'!F$5:G$302,2,FALSE)))</f>
        <v/>
      </c>
      <c r="G490" s="49">
        <f>IF(B490="",0,IF(ISNA(_xlfn.XLOOKUP(A490,'75m'!F$5:F$302,'75m'!M$5:M$302)),0,_xlfn.XLOOKUP(A490,'75m'!F$5:F$302,'75m'!M$5:M$302)))</f>
        <v>0</v>
      </c>
      <c r="H490" s="49" t="str">
        <f>IF(B490="","",IF(ISNA(VLOOKUP(A490,'75m'!F$5:K$302,6,FALSE)),"",VLOOKUP(A490,'75m'!F$5:K$302,6,FALSE)))</f>
        <v/>
      </c>
      <c r="I490" s="51">
        <f>IF(B490="",0,IF(ISNA(VLOOKUP(A490,'600m'!F$5:J$302,2,FALSE)),0,VLOOKUP(A490,'600m'!F$5:J$302,2,FALSE)))</f>
        <v>0</v>
      </c>
      <c r="J490" s="49">
        <f>IF(B490="",0,IF(ISNA(_xlfn.XLOOKUP(A490,'600m'!F$5:F$302,'600m'!M$5:M$302)),0,_xlfn.XLOOKUP(A490,'600m'!F$5:F$302,'600m'!M$5:M$302)))</f>
        <v>0</v>
      </c>
      <c r="K490" s="49" t="str">
        <f>IF(B490="","",IF(ISNA(VLOOKUP(A490,'600m'!F$5:K$302,6,FALSE)),"",VLOOKUP(A490,'600m'!F$5:K$302,6,FALSE)))</f>
        <v/>
      </c>
      <c r="L490" s="49" t="str">
        <f>IF(B490="","",IF(ISNA(VLOOKUP(A490,LongJump!F$5:G$302,2,FALSE)),"",VLOOKUP(A490,LongJump!F$5:G$302,2,FALSE)))</f>
        <v/>
      </c>
      <c r="M490" s="49">
        <f>IF(B490="",0,IF(ISNA(_xlfn.XLOOKUP(A490,LongJump!F$5:F$302,LongJump!M$5:M$302)),0,_xlfn.XLOOKUP(A490,LongJump!F$5:F$302,LongJump!M$5:M$302)))</f>
        <v>0</v>
      </c>
      <c r="N490" s="49" t="str">
        <f>IF(B490="","",IF(ISNA(VLOOKUP(A490,LongJump!F$5:K$302,6,FALSE)),0,VLOOKUP(A490,LongJump!F$5:K$302,6,FALSE)))</f>
        <v/>
      </c>
      <c r="O490" s="49" t="str">
        <f>IF(B490="","",IF(ISNA(VLOOKUP(A490,Vortex!F$5:J$302,2,FALSE)),"",VLOOKUP(A490,Vortex!F$5:J$302,2,FALSE)))</f>
        <v/>
      </c>
      <c r="P490" s="49">
        <f>IF(B490="",0,IF(ISNA(_xlfn.XLOOKUP(A490,Vortex!F$5:F$302,Vortex!M$5:M$302)),0,_xlfn.XLOOKUP(A490,Vortex!F$5:F$302,Vortex!M$5:M$302)))</f>
        <v>0</v>
      </c>
      <c r="Q490" s="49">
        <f t="shared" si="37"/>
        <v>0</v>
      </c>
      <c r="R490" s="49" t="str">
        <f t="shared" si="38"/>
        <v/>
      </c>
      <c r="S490" s="49" t="str">
        <f t="shared" si="39"/>
        <v/>
      </c>
      <c r="T490" s="49" t="str">
        <f t="shared" si="40"/>
        <v/>
      </c>
      <c r="U490" s="49" t="str">
        <f t="shared" si="41"/>
        <v/>
      </c>
    </row>
    <row r="491" spans="1:21">
      <c r="A491" s="49" t="str">
        <f>IF(Declarations!B248=0,"",Declarations!B248)</f>
        <v/>
      </c>
      <c r="B491" s="150" t="str">
        <f>IF(ISNA(VLOOKUP(A491,Declarations!B$6:C$185,2,FALSE)),"",IF(VLOOKUP(A491,Declarations!B$6:C$185,2,FALSE)="","",VLOOKUP(A491,Declarations!B$6:C$185,2,FALSE)))</f>
        <v/>
      </c>
      <c r="C491" s="150" t="str">
        <f>IF(ISNA(VLOOKUP(A491,Declarations!B$6:F$185,5,FALSE)),"",IF(VLOOKUP(A491,Declarations!B$6:F$185,5,FALSE)="","",VLOOKUP(A491,Declarations!B$6:F$185,5,FALSE)))</f>
        <v/>
      </c>
      <c r="D491" s="150" t="str">
        <f>IF(ISNA(VLOOKUP(A491,Declarations!B$6:F$185,4,FALSE)),"",IF(VLOOKUP(A491,Declarations!B$6:F$185,4,FALSE)="","",VLOOKUP(A491,Declarations!B$6:F$185,4,FALSE)))</f>
        <v/>
      </c>
      <c r="E491" s="150" t="str">
        <f>IF(ISNA(VLOOKUP(A491,Declarations!B$6:D$185,3,FALSE)),"",IF(VLOOKUP(A491,Declarations!B$6:D$185,3,FALSE)="","",VLOOKUP(A491,Declarations!B$6:D$185,3,FALSE)))</f>
        <v/>
      </c>
      <c r="F491" s="49" t="str">
        <f>IF(B491="","",IF(ISNA(VLOOKUP(A491,'75m'!F$5:G$302,2,FALSE)),"",VLOOKUP(A491,'75m'!F$5:G$302,2,FALSE)))</f>
        <v/>
      </c>
      <c r="G491" s="49">
        <f>IF(B491="",0,IF(ISNA(_xlfn.XLOOKUP(A491,'75m'!F$5:F$302,'75m'!M$5:M$302)),0,_xlfn.XLOOKUP(A491,'75m'!F$5:F$302,'75m'!M$5:M$302)))</f>
        <v>0</v>
      </c>
      <c r="H491" s="49" t="str">
        <f>IF(B491="","",IF(ISNA(VLOOKUP(A491,'75m'!F$5:K$302,6,FALSE)),"",VLOOKUP(A491,'75m'!F$5:K$302,6,FALSE)))</f>
        <v/>
      </c>
      <c r="I491" s="51">
        <f>IF(B491="",0,IF(ISNA(VLOOKUP(A491,'600m'!F$5:J$302,2,FALSE)),0,VLOOKUP(A491,'600m'!F$5:J$302,2,FALSE)))</f>
        <v>0</v>
      </c>
      <c r="J491" s="49">
        <f>IF(B491="",0,IF(ISNA(_xlfn.XLOOKUP(A491,'600m'!F$5:F$302,'600m'!M$5:M$302)),0,_xlfn.XLOOKUP(A491,'600m'!F$5:F$302,'600m'!M$5:M$302)))</f>
        <v>0</v>
      </c>
      <c r="K491" s="49" t="str">
        <f>IF(B491="","",IF(ISNA(VLOOKUP(A491,'600m'!F$5:K$302,6,FALSE)),"",VLOOKUP(A491,'600m'!F$5:K$302,6,FALSE)))</f>
        <v/>
      </c>
      <c r="L491" s="49" t="str">
        <f>IF(B491="","",IF(ISNA(VLOOKUP(A491,LongJump!F$5:G$302,2,FALSE)),"",VLOOKUP(A491,LongJump!F$5:G$302,2,FALSE)))</f>
        <v/>
      </c>
      <c r="M491" s="49">
        <f>IF(B491="",0,IF(ISNA(_xlfn.XLOOKUP(A491,LongJump!F$5:F$302,LongJump!M$5:M$302)),0,_xlfn.XLOOKUP(A491,LongJump!F$5:F$302,LongJump!M$5:M$302)))</f>
        <v>0</v>
      </c>
      <c r="N491" s="49" t="str">
        <f>IF(B491="","",IF(ISNA(VLOOKUP(A491,LongJump!F$5:K$302,6,FALSE)),0,VLOOKUP(A491,LongJump!F$5:K$302,6,FALSE)))</f>
        <v/>
      </c>
      <c r="O491" s="49" t="str">
        <f>IF(B491="","",IF(ISNA(VLOOKUP(A491,Vortex!F$5:J$302,2,FALSE)),"",VLOOKUP(A491,Vortex!F$5:J$302,2,FALSE)))</f>
        <v/>
      </c>
      <c r="P491" s="49">
        <f>IF(B491="",0,IF(ISNA(_xlfn.XLOOKUP(A491,Vortex!F$5:F$302,Vortex!M$5:M$302)),0,_xlfn.XLOOKUP(A491,Vortex!F$5:F$302,Vortex!M$5:M$302)))</f>
        <v>0</v>
      </c>
      <c r="Q491" s="49">
        <f t="shared" si="37"/>
        <v>0</v>
      </c>
      <c r="R491" s="49" t="str">
        <f t="shared" si="38"/>
        <v/>
      </c>
      <c r="S491" s="49" t="str">
        <f t="shared" si="39"/>
        <v/>
      </c>
      <c r="T491" s="49" t="str">
        <f t="shared" si="40"/>
        <v/>
      </c>
      <c r="U491" s="49" t="str">
        <f t="shared" si="41"/>
        <v/>
      </c>
    </row>
    <row r="492" spans="1:21">
      <c r="A492" s="49" t="str">
        <f>IF(Declarations!B249=0,"",Declarations!B249)</f>
        <v/>
      </c>
      <c r="B492" s="150" t="str">
        <f>IF(ISNA(VLOOKUP(A492,Declarations!B$6:C$185,2,FALSE)),"",IF(VLOOKUP(A492,Declarations!B$6:C$185,2,FALSE)="","",VLOOKUP(A492,Declarations!B$6:C$185,2,FALSE)))</f>
        <v/>
      </c>
      <c r="C492" s="150" t="str">
        <f>IF(ISNA(VLOOKUP(A492,Declarations!B$6:F$185,5,FALSE)),"",IF(VLOOKUP(A492,Declarations!B$6:F$185,5,FALSE)="","",VLOOKUP(A492,Declarations!B$6:F$185,5,FALSE)))</f>
        <v/>
      </c>
      <c r="D492" s="150" t="str">
        <f>IF(ISNA(VLOOKUP(A492,Declarations!B$6:F$185,4,FALSE)),"",IF(VLOOKUP(A492,Declarations!B$6:F$185,4,FALSE)="","",VLOOKUP(A492,Declarations!B$6:F$185,4,FALSE)))</f>
        <v/>
      </c>
      <c r="E492" s="150" t="str">
        <f>IF(ISNA(VLOOKUP(A492,Declarations!B$6:D$185,3,FALSE)),"",IF(VLOOKUP(A492,Declarations!B$6:D$185,3,FALSE)="","",VLOOKUP(A492,Declarations!B$6:D$185,3,FALSE)))</f>
        <v/>
      </c>
      <c r="F492" s="49" t="str">
        <f>IF(B492="","",IF(ISNA(VLOOKUP(A492,'75m'!F$5:G$302,2,FALSE)),"",VLOOKUP(A492,'75m'!F$5:G$302,2,FALSE)))</f>
        <v/>
      </c>
      <c r="G492" s="49">
        <f>IF(B492="",0,IF(ISNA(_xlfn.XLOOKUP(A492,'75m'!F$5:F$302,'75m'!M$5:M$302)),0,_xlfn.XLOOKUP(A492,'75m'!F$5:F$302,'75m'!M$5:M$302)))</f>
        <v>0</v>
      </c>
      <c r="H492" s="49" t="str">
        <f>IF(B492="","",IF(ISNA(VLOOKUP(A492,'75m'!F$5:K$302,6,FALSE)),"",VLOOKUP(A492,'75m'!F$5:K$302,6,FALSE)))</f>
        <v/>
      </c>
      <c r="I492" s="51">
        <f>IF(B492="",0,IF(ISNA(VLOOKUP(A492,'600m'!F$5:J$302,2,FALSE)),0,VLOOKUP(A492,'600m'!F$5:J$302,2,FALSE)))</f>
        <v>0</v>
      </c>
      <c r="J492" s="49">
        <f>IF(B492="",0,IF(ISNA(_xlfn.XLOOKUP(A492,'600m'!F$5:F$302,'600m'!M$5:M$302)),0,_xlfn.XLOOKUP(A492,'600m'!F$5:F$302,'600m'!M$5:M$302)))</f>
        <v>0</v>
      </c>
      <c r="K492" s="49" t="str">
        <f>IF(B492="","",IF(ISNA(VLOOKUP(A492,'600m'!F$5:K$302,6,FALSE)),"",VLOOKUP(A492,'600m'!F$5:K$302,6,FALSE)))</f>
        <v/>
      </c>
      <c r="L492" s="49" t="str">
        <f>IF(B492="","",IF(ISNA(VLOOKUP(A492,LongJump!F$5:G$302,2,FALSE)),"",VLOOKUP(A492,LongJump!F$5:G$302,2,FALSE)))</f>
        <v/>
      </c>
      <c r="M492" s="49">
        <f>IF(B492="",0,IF(ISNA(_xlfn.XLOOKUP(A492,LongJump!F$5:F$302,LongJump!M$5:M$302)),0,_xlfn.XLOOKUP(A492,LongJump!F$5:F$302,LongJump!M$5:M$302)))</f>
        <v>0</v>
      </c>
      <c r="N492" s="49" t="str">
        <f>IF(B492="","",IF(ISNA(VLOOKUP(A492,LongJump!F$5:K$302,6,FALSE)),0,VLOOKUP(A492,LongJump!F$5:K$302,6,FALSE)))</f>
        <v/>
      </c>
      <c r="O492" s="49" t="str">
        <f>IF(B492="","",IF(ISNA(VLOOKUP(A492,Vortex!F$5:J$302,2,FALSE)),"",VLOOKUP(A492,Vortex!F$5:J$302,2,FALSE)))</f>
        <v/>
      </c>
      <c r="P492" s="49">
        <f>IF(B492="",0,IF(ISNA(_xlfn.XLOOKUP(A492,Vortex!F$5:F$302,Vortex!M$5:M$302)),0,_xlfn.XLOOKUP(A492,Vortex!F$5:F$302,Vortex!M$5:M$302)))</f>
        <v>0</v>
      </c>
      <c r="Q492" s="49">
        <f t="shared" si="37"/>
        <v>0</v>
      </c>
      <c r="R492" s="49" t="str">
        <f t="shared" si="38"/>
        <v/>
      </c>
      <c r="S492" s="49" t="str">
        <f t="shared" si="39"/>
        <v/>
      </c>
      <c r="T492" s="49" t="str">
        <f t="shared" si="40"/>
        <v/>
      </c>
      <c r="U492" s="49" t="str">
        <f t="shared" si="41"/>
        <v/>
      </c>
    </row>
    <row r="493" spans="1:21">
      <c r="A493" s="49" t="str">
        <f>IF(Declarations!B250=0,"",Declarations!B250)</f>
        <v/>
      </c>
      <c r="B493" s="150" t="str">
        <f>IF(ISNA(VLOOKUP(A493,Declarations!B$6:C$185,2,FALSE)),"",IF(VLOOKUP(A493,Declarations!B$6:C$185,2,FALSE)="","",VLOOKUP(A493,Declarations!B$6:C$185,2,FALSE)))</f>
        <v/>
      </c>
      <c r="C493" s="150" t="str">
        <f>IF(ISNA(VLOOKUP(A493,Declarations!B$6:F$185,5,FALSE)),"",IF(VLOOKUP(A493,Declarations!B$6:F$185,5,FALSE)="","",VLOOKUP(A493,Declarations!B$6:F$185,5,FALSE)))</f>
        <v/>
      </c>
      <c r="D493" s="150" t="str">
        <f>IF(ISNA(VLOOKUP(A493,Declarations!B$6:F$185,4,FALSE)),"",IF(VLOOKUP(A493,Declarations!B$6:F$185,4,FALSE)="","",VLOOKUP(A493,Declarations!B$6:F$185,4,FALSE)))</f>
        <v/>
      </c>
      <c r="E493" s="150" t="str">
        <f>IF(ISNA(VLOOKUP(A493,Declarations!B$6:D$185,3,FALSE)),"",IF(VLOOKUP(A493,Declarations!B$6:D$185,3,FALSE)="","",VLOOKUP(A493,Declarations!B$6:D$185,3,FALSE)))</f>
        <v/>
      </c>
      <c r="F493" s="49" t="str">
        <f>IF(B493="","",IF(ISNA(VLOOKUP(A493,'75m'!F$5:G$302,2,FALSE)),"",VLOOKUP(A493,'75m'!F$5:G$302,2,FALSE)))</f>
        <v/>
      </c>
      <c r="G493" s="49">
        <f>IF(B493="",0,IF(ISNA(_xlfn.XLOOKUP(A493,'75m'!F$5:F$302,'75m'!M$5:M$302)),0,_xlfn.XLOOKUP(A493,'75m'!F$5:F$302,'75m'!M$5:M$302)))</f>
        <v>0</v>
      </c>
      <c r="H493" s="49" t="str">
        <f>IF(B493="","",IF(ISNA(VLOOKUP(A493,'75m'!F$5:K$302,6,FALSE)),"",VLOOKUP(A493,'75m'!F$5:K$302,6,FALSE)))</f>
        <v/>
      </c>
      <c r="I493" s="51">
        <f>IF(B493="",0,IF(ISNA(VLOOKUP(A493,'600m'!F$5:J$302,2,FALSE)),0,VLOOKUP(A493,'600m'!F$5:J$302,2,FALSE)))</f>
        <v>0</v>
      </c>
      <c r="J493" s="49">
        <f>IF(B493="",0,IF(ISNA(_xlfn.XLOOKUP(A493,'600m'!F$5:F$302,'600m'!M$5:M$302)),0,_xlfn.XLOOKUP(A493,'600m'!F$5:F$302,'600m'!M$5:M$302)))</f>
        <v>0</v>
      </c>
      <c r="K493" s="49" t="str">
        <f>IF(B493="","",IF(ISNA(VLOOKUP(A493,'600m'!F$5:K$302,6,FALSE)),"",VLOOKUP(A493,'600m'!F$5:K$302,6,FALSE)))</f>
        <v/>
      </c>
      <c r="L493" s="49" t="str">
        <f>IF(B493="","",IF(ISNA(VLOOKUP(A493,LongJump!F$5:G$302,2,FALSE)),"",VLOOKUP(A493,LongJump!F$5:G$302,2,FALSE)))</f>
        <v/>
      </c>
      <c r="M493" s="49">
        <f>IF(B493="",0,IF(ISNA(_xlfn.XLOOKUP(A493,LongJump!F$5:F$302,LongJump!M$5:M$302)),0,_xlfn.XLOOKUP(A493,LongJump!F$5:F$302,LongJump!M$5:M$302)))</f>
        <v>0</v>
      </c>
      <c r="N493" s="49" t="str">
        <f>IF(B493="","",IF(ISNA(VLOOKUP(A493,LongJump!F$5:K$302,6,FALSE)),0,VLOOKUP(A493,LongJump!F$5:K$302,6,FALSE)))</f>
        <v/>
      </c>
      <c r="O493" s="49" t="str">
        <f>IF(B493="","",IF(ISNA(VLOOKUP(A493,Vortex!F$5:J$302,2,FALSE)),"",VLOOKUP(A493,Vortex!F$5:J$302,2,FALSE)))</f>
        <v/>
      </c>
      <c r="P493" s="49">
        <f>IF(B493="",0,IF(ISNA(_xlfn.XLOOKUP(A493,Vortex!F$5:F$302,Vortex!M$5:M$302)),0,_xlfn.XLOOKUP(A493,Vortex!F$5:F$302,Vortex!M$5:M$302)))</f>
        <v>0</v>
      </c>
      <c r="Q493" s="49">
        <f t="shared" si="37"/>
        <v>0</v>
      </c>
      <c r="R493" s="49" t="str">
        <f t="shared" si="38"/>
        <v/>
      </c>
      <c r="S493" s="49" t="str">
        <f t="shared" si="39"/>
        <v/>
      </c>
      <c r="T493" s="49" t="str">
        <f t="shared" si="40"/>
        <v/>
      </c>
      <c r="U493" s="49" t="str">
        <f t="shared" si="41"/>
        <v/>
      </c>
    </row>
    <row r="494" spans="1:21">
      <c r="A494" s="49" t="str">
        <f>IF(Declarations!B251=0,"",Declarations!B251)</f>
        <v/>
      </c>
      <c r="B494" s="150" t="str">
        <f>IF(ISNA(VLOOKUP(A494,Declarations!B$6:C$185,2,FALSE)),"",IF(VLOOKUP(A494,Declarations!B$6:C$185,2,FALSE)="","",VLOOKUP(A494,Declarations!B$6:C$185,2,FALSE)))</f>
        <v/>
      </c>
      <c r="C494" s="150" t="str">
        <f>IF(ISNA(VLOOKUP(A494,Declarations!B$6:F$185,5,FALSE)),"",IF(VLOOKUP(A494,Declarations!B$6:F$185,5,FALSE)="","",VLOOKUP(A494,Declarations!B$6:F$185,5,FALSE)))</f>
        <v/>
      </c>
      <c r="D494" s="150" t="str">
        <f>IF(ISNA(VLOOKUP(A494,Declarations!B$6:F$185,4,FALSE)),"",IF(VLOOKUP(A494,Declarations!B$6:F$185,4,FALSE)="","",VLOOKUP(A494,Declarations!B$6:F$185,4,FALSE)))</f>
        <v/>
      </c>
      <c r="E494" s="150" t="str">
        <f>IF(ISNA(VLOOKUP(A494,Declarations!B$6:D$185,3,FALSE)),"",IF(VLOOKUP(A494,Declarations!B$6:D$185,3,FALSE)="","",VLOOKUP(A494,Declarations!B$6:D$185,3,FALSE)))</f>
        <v/>
      </c>
      <c r="F494" s="49" t="str">
        <f>IF(B494="","",IF(ISNA(VLOOKUP(A494,'75m'!F$5:G$302,2,FALSE)),"",VLOOKUP(A494,'75m'!F$5:G$302,2,FALSE)))</f>
        <v/>
      </c>
      <c r="G494" s="49">
        <f>IF(B494="",0,IF(ISNA(_xlfn.XLOOKUP(A494,'75m'!F$5:F$302,'75m'!M$5:M$302)),0,_xlfn.XLOOKUP(A494,'75m'!F$5:F$302,'75m'!M$5:M$302)))</f>
        <v>0</v>
      </c>
      <c r="H494" s="49" t="str">
        <f>IF(B494="","",IF(ISNA(VLOOKUP(A494,'75m'!F$5:K$302,6,FALSE)),"",VLOOKUP(A494,'75m'!F$5:K$302,6,FALSE)))</f>
        <v/>
      </c>
      <c r="I494" s="51">
        <f>IF(B494="",0,IF(ISNA(VLOOKUP(A494,'600m'!F$5:J$302,2,FALSE)),0,VLOOKUP(A494,'600m'!F$5:J$302,2,FALSE)))</f>
        <v>0</v>
      </c>
      <c r="J494" s="49">
        <f>IF(B494="",0,IF(ISNA(_xlfn.XLOOKUP(A494,'600m'!F$5:F$302,'600m'!M$5:M$302)),0,_xlfn.XLOOKUP(A494,'600m'!F$5:F$302,'600m'!M$5:M$302)))</f>
        <v>0</v>
      </c>
      <c r="K494" s="49" t="str">
        <f>IF(B494="","",IF(ISNA(VLOOKUP(A494,'600m'!F$5:K$302,6,FALSE)),"",VLOOKUP(A494,'600m'!F$5:K$302,6,FALSE)))</f>
        <v/>
      </c>
      <c r="L494" s="49" t="str">
        <f>IF(B494="","",IF(ISNA(VLOOKUP(A494,LongJump!F$5:G$302,2,FALSE)),"",VLOOKUP(A494,LongJump!F$5:G$302,2,FALSE)))</f>
        <v/>
      </c>
      <c r="M494" s="49">
        <f>IF(B494="",0,IF(ISNA(_xlfn.XLOOKUP(A494,LongJump!F$5:F$302,LongJump!M$5:M$302)),0,_xlfn.XLOOKUP(A494,LongJump!F$5:F$302,LongJump!M$5:M$302)))</f>
        <v>0</v>
      </c>
      <c r="N494" s="49" t="str">
        <f>IF(B494="","",IF(ISNA(VLOOKUP(A494,LongJump!F$5:K$302,6,FALSE)),0,VLOOKUP(A494,LongJump!F$5:K$302,6,FALSE)))</f>
        <v/>
      </c>
      <c r="O494" s="49" t="str">
        <f>IF(B494="","",IF(ISNA(VLOOKUP(A494,Vortex!F$5:J$302,2,FALSE)),"",VLOOKUP(A494,Vortex!F$5:J$302,2,FALSE)))</f>
        <v/>
      </c>
      <c r="P494" s="49">
        <f>IF(B494="",0,IF(ISNA(_xlfn.XLOOKUP(A494,Vortex!F$5:F$302,Vortex!M$5:M$302)),0,_xlfn.XLOOKUP(A494,Vortex!F$5:F$302,Vortex!M$5:M$302)))</f>
        <v>0</v>
      </c>
      <c r="Q494" s="49">
        <f t="shared" si="37"/>
        <v>0</v>
      </c>
      <c r="R494" s="49" t="str">
        <f t="shared" si="38"/>
        <v/>
      </c>
      <c r="S494" s="49" t="str">
        <f t="shared" si="39"/>
        <v/>
      </c>
      <c r="T494" s="49" t="str">
        <f t="shared" si="40"/>
        <v/>
      </c>
      <c r="U494" s="49" t="str">
        <f t="shared" si="41"/>
        <v/>
      </c>
    </row>
    <row r="495" spans="1:21">
      <c r="A495" s="49" t="str">
        <f>IF(Declarations!B252=0,"",Declarations!B252)</f>
        <v/>
      </c>
      <c r="B495" s="150" t="str">
        <f>IF(ISNA(VLOOKUP(A495,Declarations!B$6:C$185,2,FALSE)),"",IF(VLOOKUP(A495,Declarations!B$6:C$185,2,FALSE)="","",VLOOKUP(A495,Declarations!B$6:C$185,2,FALSE)))</f>
        <v/>
      </c>
      <c r="C495" s="150" t="str">
        <f>IF(ISNA(VLOOKUP(A495,Declarations!B$6:F$185,5,FALSE)),"",IF(VLOOKUP(A495,Declarations!B$6:F$185,5,FALSE)="","",VLOOKUP(A495,Declarations!B$6:F$185,5,FALSE)))</f>
        <v/>
      </c>
      <c r="D495" s="150" t="str">
        <f>IF(ISNA(VLOOKUP(A495,Declarations!B$6:F$185,4,FALSE)),"",IF(VLOOKUP(A495,Declarations!B$6:F$185,4,FALSE)="","",VLOOKUP(A495,Declarations!B$6:F$185,4,FALSE)))</f>
        <v/>
      </c>
      <c r="E495" s="150" t="str">
        <f>IF(ISNA(VLOOKUP(A495,Declarations!B$6:D$185,3,FALSE)),"",IF(VLOOKUP(A495,Declarations!B$6:D$185,3,FALSE)="","",VLOOKUP(A495,Declarations!B$6:D$185,3,FALSE)))</f>
        <v/>
      </c>
      <c r="F495" s="49" t="str">
        <f>IF(B495="","",IF(ISNA(VLOOKUP(A495,'75m'!F$5:G$302,2,FALSE)),"",VLOOKUP(A495,'75m'!F$5:G$302,2,FALSE)))</f>
        <v/>
      </c>
      <c r="G495" s="49">
        <f>IF(B495="",0,IF(ISNA(_xlfn.XLOOKUP(A495,'75m'!F$5:F$302,'75m'!M$5:M$302)),0,_xlfn.XLOOKUP(A495,'75m'!F$5:F$302,'75m'!M$5:M$302)))</f>
        <v>0</v>
      </c>
      <c r="H495" s="49" t="str">
        <f>IF(B495="","",IF(ISNA(VLOOKUP(A495,'75m'!F$5:K$302,6,FALSE)),"",VLOOKUP(A495,'75m'!F$5:K$302,6,FALSE)))</f>
        <v/>
      </c>
      <c r="I495" s="51">
        <f>IF(B495="",0,IF(ISNA(VLOOKUP(A495,'600m'!F$5:J$302,2,FALSE)),0,VLOOKUP(A495,'600m'!F$5:J$302,2,FALSE)))</f>
        <v>0</v>
      </c>
      <c r="J495" s="49">
        <f>IF(B495="",0,IF(ISNA(_xlfn.XLOOKUP(A495,'600m'!F$5:F$302,'600m'!M$5:M$302)),0,_xlfn.XLOOKUP(A495,'600m'!F$5:F$302,'600m'!M$5:M$302)))</f>
        <v>0</v>
      </c>
      <c r="K495" s="49" t="str">
        <f>IF(B495="","",IF(ISNA(VLOOKUP(A495,'600m'!F$5:K$302,6,FALSE)),"",VLOOKUP(A495,'600m'!F$5:K$302,6,FALSE)))</f>
        <v/>
      </c>
      <c r="L495" s="49" t="str">
        <f>IF(B495="","",IF(ISNA(VLOOKUP(A495,LongJump!F$5:G$302,2,FALSE)),"",VLOOKUP(A495,LongJump!F$5:G$302,2,FALSE)))</f>
        <v/>
      </c>
      <c r="M495" s="49">
        <f>IF(B495="",0,IF(ISNA(_xlfn.XLOOKUP(A495,LongJump!F$5:F$302,LongJump!M$5:M$302)),0,_xlfn.XLOOKUP(A495,LongJump!F$5:F$302,LongJump!M$5:M$302)))</f>
        <v>0</v>
      </c>
      <c r="N495" s="49" t="str">
        <f>IF(B495="","",IF(ISNA(VLOOKUP(A495,LongJump!F$5:K$302,6,FALSE)),0,VLOOKUP(A495,LongJump!F$5:K$302,6,FALSE)))</f>
        <v/>
      </c>
      <c r="O495" s="49" t="str">
        <f>IF(B495="","",IF(ISNA(VLOOKUP(A495,Vortex!F$5:J$302,2,FALSE)),"",VLOOKUP(A495,Vortex!F$5:J$302,2,FALSE)))</f>
        <v/>
      </c>
      <c r="P495" s="49">
        <f>IF(B495="",0,IF(ISNA(_xlfn.XLOOKUP(A495,Vortex!F$5:F$302,Vortex!M$5:M$302)),0,_xlfn.XLOOKUP(A495,Vortex!F$5:F$302,Vortex!M$5:M$302)))</f>
        <v>0</v>
      </c>
      <c r="Q495" s="49">
        <f t="shared" si="37"/>
        <v>0</v>
      </c>
      <c r="R495" s="49" t="str">
        <f t="shared" si="38"/>
        <v/>
      </c>
      <c r="S495" s="49" t="str">
        <f t="shared" si="39"/>
        <v/>
      </c>
      <c r="T495" s="49" t="str">
        <f t="shared" si="40"/>
        <v/>
      </c>
      <c r="U495" s="49" t="str">
        <f t="shared" si="41"/>
        <v/>
      </c>
    </row>
    <row r="496" spans="1:21">
      <c r="A496" s="49" t="str">
        <f>IF(Declarations!B253=0,"",Declarations!B253)</f>
        <v/>
      </c>
      <c r="B496" s="150" t="str">
        <f>IF(ISNA(VLOOKUP(A496,Declarations!B$6:C$185,2,FALSE)),"",IF(VLOOKUP(A496,Declarations!B$6:C$185,2,FALSE)="","",VLOOKUP(A496,Declarations!B$6:C$185,2,FALSE)))</f>
        <v/>
      </c>
      <c r="C496" s="150" t="str">
        <f>IF(ISNA(VLOOKUP(A496,Declarations!B$6:F$185,5,FALSE)),"",IF(VLOOKUP(A496,Declarations!B$6:F$185,5,FALSE)="","",VLOOKUP(A496,Declarations!B$6:F$185,5,FALSE)))</f>
        <v/>
      </c>
      <c r="D496" s="150" t="str">
        <f>IF(ISNA(VLOOKUP(A496,Declarations!B$6:F$185,4,FALSE)),"",IF(VLOOKUP(A496,Declarations!B$6:F$185,4,FALSE)="","",VLOOKUP(A496,Declarations!B$6:F$185,4,FALSE)))</f>
        <v/>
      </c>
      <c r="E496" s="150" t="str">
        <f>IF(ISNA(VLOOKUP(A496,Declarations!B$6:D$185,3,FALSE)),"",IF(VLOOKUP(A496,Declarations!B$6:D$185,3,FALSE)="","",VLOOKUP(A496,Declarations!B$6:D$185,3,FALSE)))</f>
        <v/>
      </c>
      <c r="F496" s="49" t="str">
        <f>IF(B496="","",IF(ISNA(VLOOKUP(A496,'75m'!F$5:G$302,2,FALSE)),"",VLOOKUP(A496,'75m'!F$5:G$302,2,FALSE)))</f>
        <v/>
      </c>
      <c r="G496" s="49">
        <f>IF(B496="",0,IF(ISNA(_xlfn.XLOOKUP(A496,'75m'!F$5:F$302,'75m'!M$5:M$302)),0,_xlfn.XLOOKUP(A496,'75m'!F$5:F$302,'75m'!M$5:M$302)))</f>
        <v>0</v>
      </c>
      <c r="H496" s="49" t="str">
        <f>IF(B496="","",IF(ISNA(VLOOKUP(A496,'75m'!F$5:K$302,6,FALSE)),"",VLOOKUP(A496,'75m'!F$5:K$302,6,FALSE)))</f>
        <v/>
      </c>
      <c r="I496" s="51">
        <f>IF(B496="",0,IF(ISNA(VLOOKUP(A496,'600m'!F$5:J$302,2,FALSE)),0,VLOOKUP(A496,'600m'!F$5:J$302,2,FALSE)))</f>
        <v>0</v>
      </c>
      <c r="J496" s="49">
        <f>IF(B496="",0,IF(ISNA(_xlfn.XLOOKUP(A496,'600m'!F$5:F$302,'600m'!M$5:M$302)),0,_xlfn.XLOOKUP(A496,'600m'!F$5:F$302,'600m'!M$5:M$302)))</f>
        <v>0</v>
      </c>
      <c r="K496" s="49" t="str">
        <f>IF(B496="","",IF(ISNA(VLOOKUP(A496,'600m'!F$5:K$302,6,FALSE)),"",VLOOKUP(A496,'600m'!F$5:K$302,6,FALSE)))</f>
        <v/>
      </c>
      <c r="L496" s="49" t="str">
        <f>IF(B496="","",IF(ISNA(VLOOKUP(A496,LongJump!F$5:G$302,2,FALSE)),"",VLOOKUP(A496,LongJump!F$5:G$302,2,FALSE)))</f>
        <v/>
      </c>
      <c r="M496" s="49">
        <f>IF(B496="",0,IF(ISNA(_xlfn.XLOOKUP(A496,LongJump!F$5:F$302,LongJump!M$5:M$302)),0,_xlfn.XLOOKUP(A496,LongJump!F$5:F$302,LongJump!M$5:M$302)))</f>
        <v>0</v>
      </c>
      <c r="N496" s="49" t="str">
        <f>IF(B496="","",IF(ISNA(VLOOKUP(A496,LongJump!F$5:K$302,6,FALSE)),0,VLOOKUP(A496,LongJump!F$5:K$302,6,FALSE)))</f>
        <v/>
      </c>
      <c r="O496" s="49" t="str">
        <f>IF(B496="","",IF(ISNA(VLOOKUP(A496,Vortex!F$5:J$302,2,FALSE)),"",VLOOKUP(A496,Vortex!F$5:J$302,2,FALSE)))</f>
        <v/>
      </c>
      <c r="P496" s="49">
        <f>IF(B496="",0,IF(ISNA(_xlfn.XLOOKUP(A496,Vortex!F$5:F$302,Vortex!M$5:M$302)),0,_xlfn.XLOOKUP(A496,Vortex!F$5:F$302,Vortex!M$5:M$302)))</f>
        <v>0</v>
      </c>
      <c r="Q496" s="49">
        <f t="shared" si="37"/>
        <v>0</v>
      </c>
      <c r="R496" s="49" t="str">
        <f t="shared" si="38"/>
        <v/>
      </c>
      <c r="S496" s="49" t="str">
        <f t="shared" si="39"/>
        <v/>
      </c>
      <c r="T496" s="49" t="str">
        <f t="shared" si="40"/>
        <v/>
      </c>
      <c r="U496" s="49" t="str">
        <f t="shared" si="41"/>
        <v/>
      </c>
    </row>
    <row r="497" spans="1:21">
      <c r="A497" s="49" t="str">
        <f>IF(Declarations!B254=0,"",Declarations!B254)</f>
        <v/>
      </c>
      <c r="B497" s="150" t="str">
        <f>IF(ISNA(VLOOKUP(A497,Declarations!B$6:C$185,2,FALSE)),"",IF(VLOOKUP(A497,Declarations!B$6:C$185,2,FALSE)="","",VLOOKUP(A497,Declarations!B$6:C$185,2,FALSE)))</f>
        <v/>
      </c>
      <c r="C497" s="150" t="str">
        <f>IF(ISNA(VLOOKUP(A497,Declarations!B$6:F$185,5,FALSE)),"",IF(VLOOKUP(A497,Declarations!B$6:F$185,5,FALSE)="","",VLOOKUP(A497,Declarations!B$6:F$185,5,FALSE)))</f>
        <v/>
      </c>
      <c r="D497" s="150" t="str">
        <f>IF(ISNA(VLOOKUP(A497,Declarations!B$6:F$185,4,FALSE)),"",IF(VLOOKUP(A497,Declarations!B$6:F$185,4,FALSE)="","",VLOOKUP(A497,Declarations!B$6:F$185,4,FALSE)))</f>
        <v/>
      </c>
      <c r="E497" s="150" t="str">
        <f>IF(ISNA(VLOOKUP(A497,Declarations!B$6:D$185,3,FALSE)),"",IF(VLOOKUP(A497,Declarations!B$6:D$185,3,FALSE)="","",VLOOKUP(A497,Declarations!B$6:D$185,3,FALSE)))</f>
        <v/>
      </c>
      <c r="F497" s="49" t="str">
        <f>IF(B497="","",IF(ISNA(VLOOKUP(A497,'75m'!F$5:G$302,2,FALSE)),"",VLOOKUP(A497,'75m'!F$5:G$302,2,FALSE)))</f>
        <v/>
      </c>
      <c r="G497" s="49">
        <f>IF(B497="",0,IF(ISNA(_xlfn.XLOOKUP(A497,'75m'!F$5:F$302,'75m'!M$5:M$302)),0,_xlfn.XLOOKUP(A497,'75m'!F$5:F$302,'75m'!M$5:M$302)))</f>
        <v>0</v>
      </c>
      <c r="H497" s="49" t="str">
        <f>IF(B497="","",IF(ISNA(VLOOKUP(A497,'75m'!F$5:K$302,6,FALSE)),"",VLOOKUP(A497,'75m'!F$5:K$302,6,FALSE)))</f>
        <v/>
      </c>
      <c r="I497" s="51">
        <f>IF(B497="",0,IF(ISNA(VLOOKUP(A497,'600m'!F$5:J$302,2,FALSE)),0,VLOOKUP(A497,'600m'!F$5:J$302,2,FALSE)))</f>
        <v>0</v>
      </c>
      <c r="J497" s="49">
        <f>IF(B497="",0,IF(ISNA(_xlfn.XLOOKUP(A497,'600m'!F$5:F$302,'600m'!M$5:M$302)),0,_xlfn.XLOOKUP(A497,'600m'!F$5:F$302,'600m'!M$5:M$302)))</f>
        <v>0</v>
      </c>
      <c r="K497" s="49" t="str">
        <f>IF(B497="","",IF(ISNA(VLOOKUP(A497,'600m'!F$5:K$302,6,FALSE)),"",VLOOKUP(A497,'600m'!F$5:K$302,6,FALSE)))</f>
        <v/>
      </c>
      <c r="L497" s="49" t="str">
        <f>IF(B497="","",IF(ISNA(VLOOKUP(A497,LongJump!F$5:G$302,2,FALSE)),"",VLOOKUP(A497,LongJump!F$5:G$302,2,FALSE)))</f>
        <v/>
      </c>
      <c r="M497" s="49">
        <f>IF(B497="",0,IF(ISNA(_xlfn.XLOOKUP(A497,LongJump!F$5:F$302,LongJump!M$5:M$302)),0,_xlfn.XLOOKUP(A497,LongJump!F$5:F$302,LongJump!M$5:M$302)))</f>
        <v>0</v>
      </c>
      <c r="N497" s="49" t="str">
        <f>IF(B497="","",IF(ISNA(VLOOKUP(A497,LongJump!F$5:K$302,6,FALSE)),0,VLOOKUP(A497,LongJump!F$5:K$302,6,FALSE)))</f>
        <v/>
      </c>
      <c r="O497" s="49" t="str">
        <f>IF(B497="","",IF(ISNA(VLOOKUP(A497,Vortex!F$5:J$302,2,FALSE)),"",VLOOKUP(A497,Vortex!F$5:J$302,2,FALSE)))</f>
        <v/>
      </c>
      <c r="P497" s="49">
        <f>IF(B497="",0,IF(ISNA(_xlfn.XLOOKUP(A497,Vortex!F$5:F$302,Vortex!M$5:M$302)),0,_xlfn.XLOOKUP(A497,Vortex!F$5:F$302,Vortex!M$5:M$302)))</f>
        <v>0</v>
      </c>
      <c r="Q497" s="49">
        <f t="shared" si="37"/>
        <v>0</v>
      </c>
      <c r="R497" s="49" t="str">
        <f t="shared" si="38"/>
        <v/>
      </c>
      <c r="S497" s="49" t="str">
        <f t="shared" si="39"/>
        <v/>
      </c>
      <c r="T497" s="49" t="str">
        <f t="shared" si="40"/>
        <v/>
      </c>
      <c r="U497" s="49" t="str">
        <f t="shared" si="41"/>
        <v/>
      </c>
    </row>
    <row r="498" spans="1:21">
      <c r="A498" s="49" t="str">
        <f>IF(Declarations!B255=0,"",Declarations!B255)</f>
        <v/>
      </c>
      <c r="B498" s="150" t="str">
        <f>IF(ISNA(VLOOKUP(A498,Declarations!B$6:C$185,2,FALSE)),"",IF(VLOOKUP(A498,Declarations!B$6:C$185,2,FALSE)="","",VLOOKUP(A498,Declarations!B$6:C$185,2,FALSE)))</f>
        <v/>
      </c>
      <c r="C498" s="150" t="str">
        <f>IF(ISNA(VLOOKUP(A498,Declarations!B$6:F$185,5,FALSE)),"",IF(VLOOKUP(A498,Declarations!B$6:F$185,5,FALSE)="","",VLOOKUP(A498,Declarations!B$6:F$185,5,FALSE)))</f>
        <v/>
      </c>
      <c r="D498" s="150" t="str">
        <f>IF(ISNA(VLOOKUP(A498,Declarations!B$6:F$185,4,FALSE)),"",IF(VLOOKUP(A498,Declarations!B$6:F$185,4,FALSE)="","",VLOOKUP(A498,Declarations!B$6:F$185,4,FALSE)))</f>
        <v/>
      </c>
      <c r="E498" s="150" t="str">
        <f>IF(ISNA(VLOOKUP(A498,Declarations!B$6:D$185,3,FALSE)),"",IF(VLOOKUP(A498,Declarations!B$6:D$185,3,FALSE)="","",VLOOKUP(A498,Declarations!B$6:D$185,3,FALSE)))</f>
        <v/>
      </c>
      <c r="F498" s="49" t="str">
        <f>IF(B498="","",IF(ISNA(VLOOKUP(A498,'75m'!F$5:G$302,2,FALSE)),"",VLOOKUP(A498,'75m'!F$5:G$302,2,FALSE)))</f>
        <v/>
      </c>
      <c r="G498" s="49">
        <f>IF(B498="",0,IF(ISNA(_xlfn.XLOOKUP(A498,'75m'!F$5:F$302,'75m'!M$5:M$302)),0,_xlfn.XLOOKUP(A498,'75m'!F$5:F$302,'75m'!M$5:M$302)))</f>
        <v>0</v>
      </c>
      <c r="H498" s="49" t="str">
        <f>IF(B498="","",IF(ISNA(VLOOKUP(A498,'75m'!F$5:K$302,6,FALSE)),"",VLOOKUP(A498,'75m'!F$5:K$302,6,FALSE)))</f>
        <v/>
      </c>
      <c r="I498" s="51">
        <f>IF(B498="",0,IF(ISNA(VLOOKUP(A498,'600m'!F$5:J$302,2,FALSE)),0,VLOOKUP(A498,'600m'!F$5:J$302,2,FALSE)))</f>
        <v>0</v>
      </c>
      <c r="J498" s="49">
        <f>IF(B498="",0,IF(ISNA(_xlfn.XLOOKUP(A498,'600m'!F$5:F$302,'600m'!M$5:M$302)),0,_xlfn.XLOOKUP(A498,'600m'!F$5:F$302,'600m'!M$5:M$302)))</f>
        <v>0</v>
      </c>
      <c r="K498" s="49" t="str">
        <f>IF(B498="","",IF(ISNA(VLOOKUP(A498,'600m'!F$5:K$302,6,FALSE)),"",VLOOKUP(A498,'600m'!F$5:K$302,6,FALSE)))</f>
        <v/>
      </c>
      <c r="L498" s="49" t="str">
        <f>IF(B498="","",IF(ISNA(VLOOKUP(A498,LongJump!F$5:G$302,2,FALSE)),"",VLOOKUP(A498,LongJump!F$5:G$302,2,FALSE)))</f>
        <v/>
      </c>
      <c r="M498" s="49">
        <f>IF(B498="",0,IF(ISNA(_xlfn.XLOOKUP(A498,LongJump!F$5:F$302,LongJump!M$5:M$302)),0,_xlfn.XLOOKUP(A498,LongJump!F$5:F$302,LongJump!M$5:M$302)))</f>
        <v>0</v>
      </c>
      <c r="N498" s="49" t="str">
        <f>IF(B498="","",IF(ISNA(VLOOKUP(A498,LongJump!F$5:K$302,6,FALSE)),0,VLOOKUP(A498,LongJump!F$5:K$302,6,FALSE)))</f>
        <v/>
      </c>
      <c r="O498" s="49" t="str">
        <f>IF(B498="","",IF(ISNA(VLOOKUP(A498,Vortex!F$5:J$302,2,FALSE)),"",VLOOKUP(A498,Vortex!F$5:J$302,2,FALSE)))</f>
        <v/>
      </c>
      <c r="P498" s="49">
        <f>IF(B498="",0,IF(ISNA(_xlfn.XLOOKUP(A498,Vortex!F$5:F$302,Vortex!M$5:M$302)),0,_xlfn.XLOOKUP(A498,Vortex!F$5:F$302,Vortex!M$5:M$302)))</f>
        <v>0</v>
      </c>
      <c r="Q498" s="49">
        <f t="shared" si="37"/>
        <v>0</v>
      </c>
      <c r="R498" s="49" t="str">
        <f t="shared" si="38"/>
        <v/>
      </c>
      <c r="S498" s="49" t="str">
        <f t="shared" si="39"/>
        <v/>
      </c>
      <c r="T498" s="49" t="str">
        <f t="shared" si="40"/>
        <v/>
      </c>
      <c r="U498" s="49" t="str">
        <f t="shared" si="41"/>
        <v/>
      </c>
    </row>
    <row r="499" spans="1:21">
      <c r="A499" s="49" t="str">
        <f>IF(Declarations!B256=0,"",Declarations!B256)</f>
        <v/>
      </c>
      <c r="B499" s="150" t="str">
        <f>IF(ISNA(VLOOKUP(A499,Declarations!B$6:C$185,2,FALSE)),"",IF(VLOOKUP(A499,Declarations!B$6:C$185,2,FALSE)="","",VLOOKUP(A499,Declarations!B$6:C$185,2,FALSE)))</f>
        <v/>
      </c>
      <c r="C499" s="150" t="str">
        <f>IF(ISNA(VLOOKUP(A499,Declarations!B$6:F$185,5,FALSE)),"",IF(VLOOKUP(A499,Declarations!B$6:F$185,5,FALSE)="","",VLOOKUP(A499,Declarations!B$6:F$185,5,FALSE)))</f>
        <v/>
      </c>
      <c r="D499" s="150" t="str">
        <f>IF(ISNA(VLOOKUP(A499,Declarations!B$6:F$185,4,FALSE)),"",IF(VLOOKUP(A499,Declarations!B$6:F$185,4,FALSE)="","",VLOOKUP(A499,Declarations!B$6:F$185,4,FALSE)))</f>
        <v/>
      </c>
      <c r="E499" s="150" t="str">
        <f>IF(ISNA(VLOOKUP(A499,Declarations!B$6:D$185,3,FALSE)),"",IF(VLOOKUP(A499,Declarations!B$6:D$185,3,FALSE)="","",VLOOKUP(A499,Declarations!B$6:D$185,3,FALSE)))</f>
        <v/>
      </c>
      <c r="F499" s="49" t="str">
        <f>IF(B499="","",IF(ISNA(VLOOKUP(A499,'75m'!F$5:G$302,2,FALSE)),"",VLOOKUP(A499,'75m'!F$5:G$302,2,FALSE)))</f>
        <v/>
      </c>
      <c r="G499" s="49">
        <f>IF(B499="",0,IF(ISNA(_xlfn.XLOOKUP(A499,'75m'!F$5:F$302,'75m'!M$5:M$302)),0,_xlfn.XLOOKUP(A499,'75m'!F$5:F$302,'75m'!M$5:M$302)))</f>
        <v>0</v>
      </c>
      <c r="H499" s="49" t="str">
        <f>IF(B499="","",IF(ISNA(VLOOKUP(A499,'75m'!F$5:K$302,6,FALSE)),"",VLOOKUP(A499,'75m'!F$5:K$302,6,FALSE)))</f>
        <v/>
      </c>
      <c r="I499" s="51">
        <f>IF(B499="",0,IF(ISNA(VLOOKUP(A499,'600m'!F$5:J$302,2,FALSE)),0,VLOOKUP(A499,'600m'!F$5:J$302,2,FALSE)))</f>
        <v>0</v>
      </c>
      <c r="J499" s="49">
        <f>IF(B499="",0,IF(ISNA(_xlfn.XLOOKUP(A499,'600m'!F$5:F$302,'600m'!M$5:M$302)),0,_xlfn.XLOOKUP(A499,'600m'!F$5:F$302,'600m'!M$5:M$302)))</f>
        <v>0</v>
      </c>
      <c r="K499" s="49" t="str">
        <f>IF(B499="","",IF(ISNA(VLOOKUP(A499,'600m'!F$5:K$302,6,FALSE)),"",VLOOKUP(A499,'600m'!F$5:K$302,6,FALSE)))</f>
        <v/>
      </c>
      <c r="L499" s="49" t="str">
        <f>IF(B499="","",IF(ISNA(VLOOKUP(A499,LongJump!F$5:G$302,2,FALSE)),"",VLOOKUP(A499,LongJump!F$5:G$302,2,FALSE)))</f>
        <v/>
      </c>
      <c r="M499" s="49">
        <f>IF(B499="",0,IF(ISNA(_xlfn.XLOOKUP(A499,LongJump!F$5:F$302,LongJump!M$5:M$302)),0,_xlfn.XLOOKUP(A499,LongJump!F$5:F$302,LongJump!M$5:M$302)))</f>
        <v>0</v>
      </c>
      <c r="N499" s="49" t="str">
        <f>IF(B499="","",IF(ISNA(VLOOKUP(A499,LongJump!F$5:K$302,6,FALSE)),0,VLOOKUP(A499,LongJump!F$5:K$302,6,FALSE)))</f>
        <v/>
      </c>
      <c r="O499" s="49" t="str">
        <f>IF(B499="","",IF(ISNA(VLOOKUP(A499,Vortex!F$5:J$302,2,FALSE)),"",VLOOKUP(A499,Vortex!F$5:J$302,2,FALSE)))</f>
        <v/>
      </c>
      <c r="P499" s="49">
        <f>IF(B499="",0,IF(ISNA(_xlfn.XLOOKUP(A499,Vortex!F$5:F$302,Vortex!M$5:M$302)),0,_xlfn.XLOOKUP(A499,Vortex!F$5:F$302,Vortex!M$5:M$302)))</f>
        <v>0</v>
      </c>
      <c r="Q499" s="49">
        <f t="shared" si="37"/>
        <v>0</v>
      </c>
      <c r="R499" s="49" t="str">
        <f t="shared" si="38"/>
        <v/>
      </c>
      <c r="S499" s="49" t="str">
        <f t="shared" si="39"/>
        <v/>
      </c>
      <c r="T499" s="49" t="str">
        <f t="shared" si="40"/>
        <v/>
      </c>
      <c r="U499" s="49" t="str">
        <f t="shared" si="41"/>
        <v/>
      </c>
    </row>
    <row r="500" spans="1:21">
      <c r="A500" s="49" t="str">
        <f>IF(Declarations!B257=0,"",Declarations!B257)</f>
        <v/>
      </c>
      <c r="B500" s="150" t="str">
        <f>IF(ISNA(VLOOKUP(A500,Declarations!B$6:C$185,2,FALSE)),"",IF(VLOOKUP(A500,Declarations!B$6:C$185,2,FALSE)="","",VLOOKUP(A500,Declarations!B$6:C$185,2,FALSE)))</f>
        <v/>
      </c>
      <c r="C500" s="150" t="str">
        <f>IF(ISNA(VLOOKUP(A500,Declarations!B$6:F$185,5,FALSE)),"",IF(VLOOKUP(A500,Declarations!B$6:F$185,5,FALSE)="","",VLOOKUP(A500,Declarations!B$6:F$185,5,FALSE)))</f>
        <v/>
      </c>
      <c r="D500" s="150" t="str">
        <f>IF(ISNA(VLOOKUP(A500,Declarations!B$6:F$185,4,FALSE)),"",IF(VLOOKUP(A500,Declarations!B$6:F$185,4,FALSE)="","",VLOOKUP(A500,Declarations!B$6:F$185,4,FALSE)))</f>
        <v/>
      </c>
      <c r="E500" s="150" t="str">
        <f>IF(ISNA(VLOOKUP(A500,Declarations!B$6:D$185,3,FALSE)),"",IF(VLOOKUP(A500,Declarations!B$6:D$185,3,FALSE)="","",VLOOKUP(A500,Declarations!B$6:D$185,3,FALSE)))</f>
        <v/>
      </c>
      <c r="F500" s="49" t="str">
        <f>IF(B500="","",IF(ISNA(VLOOKUP(A500,'75m'!F$5:G$302,2,FALSE)),"",VLOOKUP(A500,'75m'!F$5:G$302,2,FALSE)))</f>
        <v/>
      </c>
      <c r="G500" s="49">
        <f>IF(B500="",0,IF(ISNA(_xlfn.XLOOKUP(A500,'75m'!F$5:F$302,'75m'!M$5:M$302)),0,_xlfn.XLOOKUP(A500,'75m'!F$5:F$302,'75m'!M$5:M$302)))</f>
        <v>0</v>
      </c>
      <c r="H500" s="49" t="str">
        <f>IF(B500="","",IF(ISNA(VLOOKUP(A500,'75m'!F$5:K$302,6,FALSE)),"",VLOOKUP(A500,'75m'!F$5:K$302,6,FALSE)))</f>
        <v/>
      </c>
      <c r="I500" s="51">
        <f>IF(B500="",0,IF(ISNA(VLOOKUP(A500,'600m'!F$5:J$302,2,FALSE)),0,VLOOKUP(A500,'600m'!F$5:J$302,2,FALSE)))</f>
        <v>0</v>
      </c>
      <c r="J500" s="49">
        <f>IF(B500="",0,IF(ISNA(_xlfn.XLOOKUP(A500,'600m'!F$5:F$302,'600m'!M$5:M$302)),0,_xlfn.XLOOKUP(A500,'600m'!F$5:F$302,'600m'!M$5:M$302)))</f>
        <v>0</v>
      </c>
      <c r="K500" s="49" t="str">
        <f>IF(B500="","",IF(ISNA(VLOOKUP(A500,'600m'!F$5:K$302,6,FALSE)),"",VLOOKUP(A500,'600m'!F$5:K$302,6,FALSE)))</f>
        <v/>
      </c>
      <c r="L500" s="49" t="str">
        <f>IF(B500="","",IF(ISNA(VLOOKUP(A500,LongJump!F$5:G$302,2,FALSE)),"",VLOOKUP(A500,LongJump!F$5:G$302,2,FALSE)))</f>
        <v/>
      </c>
      <c r="M500" s="49">
        <f>IF(B500="",0,IF(ISNA(_xlfn.XLOOKUP(A500,LongJump!F$5:F$302,LongJump!M$5:M$302)),0,_xlfn.XLOOKUP(A500,LongJump!F$5:F$302,LongJump!M$5:M$302)))</f>
        <v>0</v>
      </c>
      <c r="N500" s="49" t="str">
        <f>IF(B500="","",IF(ISNA(VLOOKUP(A500,LongJump!F$5:K$302,6,FALSE)),0,VLOOKUP(A500,LongJump!F$5:K$302,6,FALSE)))</f>
        <v/>
      </c>
      <c r="O500" s="49" t="str">
        <f>IF(B500="","",IF(ISNA(VLOOKUP(A500,Vortex!F$5:J$302,2,FALSE)),"",VLOOKUP(A500,Vortex!F$5:J$302,2,FALSE)))</f>
        <v/>
      </c>
      <c r="P500" s="49">
        <f>IF(B500="",0,IF(ISNA(_xlfn.XLOOKUP(A500,Vortex!F$5:F$302,Vortex!M$5:M$302)),0,_xlfn.XLOOKUP(A500,Vortex!F$5:F$302,Vortex!M$5:M$302)))</f>
        <v>0</v>
      </c>
      <c r="Q500" s="49">
        <f t="shared" si="37"/>
        <v>0</v>
      </c>
      <c r="R500" s="49" t="str">
        <f t="shared" si="38"/>
        <v/>
      </c>
      <c r="S500" s="49" t="str">
        <f t="shared" si="39"/>
        <v/>
      </c>
      <c r="T500" s="49" t="str">
        <f t="shared" si="40"/>
        <v/>
      </c>
      <c r="U500" s="49" t="str">
        <f t="shared" si="41"/>
        <v/>
      </c>
    </row>
    <row r="501" spans="1:21">
      <c r="A501" s="49" t="str">
        <f>IF(Declarations!B258=0,"",Declarations!B258)</f>
        <v/>
      </c>
      <c r="B501" s="150" t="str">
        <f>IF(ISNA(VLOOKUP(A501,Declarations!B$6:C$185,2,FALSE)),"",IF(VLOOKUP(A501,Declarations!B$6:C$185,2,FALSE)="","",VLOOKUP(A501,Declarations!B$6:C$185,2,FALSE)))</f>
        <v/>
      </c>
      <c r="C501" s="150" t="str">
        <f>IF(ISNA(VLOOKUP(A501,Declarations!B$6:F$185,5,FALSE)),"",IF(VLOOKUP(A501,Declarations!B$6:F$185,5,FALSE)="","",VLOOKUP(A501,Declarations!B$6:F$185,5,FALSE)))</f>
        <v/>
      </c>
      <c r="D501" s="150" t="str">
        <f>IF(ISNA(VLOOKUP(A501,Declarations!B$6:F$185,4,FALSE)),"",IF(VLOOKUP(A501,Declarations!B$6:F$185,4,FALSE)="","",VLOOKUP(A501,Declarations!B$6:F$185,4,FALSE)))</f>
        <v/>
      </c>
      <c r="E501" s="150" t="str">
        <f>IF(ISNA(VLOOKUP(A501,Declarations!B$6:D$185,3,FALSE)),"",IF(VLOOKUP(A501,Declarations!B$6:D$185,3,FALSE)="","",VLOOKUP(A501,Declarations!B$6:D$185,3,FALSE)))</f>
        <v/>
      </c>
      <c r="F501" s="49" t="str">
        <f>IF(B501="","",IF(ISNA(VLOOKUP(A501,'75m'!F$5:G$302,2,FALSE)),"",VLOOKUP(A501,'75m'!F$5:G$302,2,FALSE)))</f>
        <v/>
      </c>
      <c r="G501" s="49">
        <f>IF(B501="",0,IF(ISNA(_xlfn.XLOOKUP(A501,'75m'!F$5:F$302,'75m'!M$5:M$302)),0,_xlfn.XLOOKUP(A501,'75m'!F$5:F$302,'75m'!M$5:M$302)))</f>
        <v>0</v>
      </c>
      <c r="H501" s="49" t="str">
        <f>IF(B501="","",IF(ISNA(VLOOKUP(A501,'75m'!F$5:K$302,6,FALSE)),"",VLOOKUP(A501,'75m'!F$5:K$302,6,FALSE)))</f>
        <v/>
      </c>
      <c r="I501" s="51">
        <f>IF(B501="",0,IF(ISNA(VLOOKUP(A501,'600m'!F$5:J$302,2,FALSE)),0,VLOOKUP(A501,'600m'!F$5:J$302,2,FALSE)))</f>
        <v>0</v>
      </c>
      <c r="J501" s="49">
        <f>IF(B501="",0,IF(ISNA(_xlfn.XLOOKUP(A501,'600m'!F$5:F$302,'600m'!M$5:M$302)),0,_xlfn.XLOOKUP(A501,'600m'!F$5:F$302,'600m'!M$5:M$302)))</f>
        <v>0</v>
      </c>
      <c r="K501" s="49" t="str">
        <f>IF(B501="","",IF(ISNA(VLOOKUP(A501,'600m'!F$5:K$302,6,FALSE)),"",VLOOKUP(A501,'600m'!F$5:K$302,6,FALSE)))</f>
        <v/>
      </c>
      <c r="L501" s="49" t="str">
        <f>IF(B501="","",IF(ISNA(VLOOKUP(A501,LongJump!F$5:G$302,2,FALSE)),"",VLOOKUP(A501,LongJump!F$5:G$302,2,FALSE)))</f>
        <v/>
      </c>
      <c r="M501" s="49">
        <f>IF(B501="",0,IF(ISNA(_xlfn.XLOOKUP(A501,LongJump!F$5:F$302,LongJump!M$5:M$302)),0,_xlfn.XLOOKUP(A501,LongJump!F$5:F$302,LongJump!M$5:M$302)))</f>
        <v>0</v>
      </c>
      <c r="N501" s="49" t="str">
        <f>IF(B501="","",IF(ISNA(VLOOKUP(A501,LongJump!F$5:K$302,6,FALSE)),0,VLOOKUP(A501,LongJump!F$5:K$302,6,FALSE)))</f>
        <v/>
      </c>
      <c r="O501" s="49" t="str">
        <f>IF(B501="","",IF(ISNA(VLOOKUP(A501,Vortex!F$5:J$302,2,FALSE)),"",VLOOKUP(A501,Vortex!F$5:J$302,2,FALSE)))</f>
        <v/>
      </c>
      <c r="P501" s="49">
        <f>IF(B501="",0,IF(ISNA(_xlfn.XLOOKUP(A501,Vortex!F$5:F$302,Vortex!M$5:M$302)),0,_xlfn.XLOOKUP(A501,Vortex!F$5:F$302,Vortex!M$5:M$302)))</f>
        <v>0</v>
      </c>
      <c r="Q501" s="49">
        <f t="shared" si="37"/>
        <v>0</v>
      </c>
      <c r="R501" s="49" t="str">
        <f t="shared" si="38"/>
        <v/>
      </c>
      <c r="S501" s="49" t="str">
        <f t="shared" si="39"/>
        <v/>
      </c>
      <c r="T501" s="49" t="str">
        <f t="shared" si="40"/>
        <v/>
      </c>
      <c r="U501" s="49" t="str">
        <f t="shared" si="41"/>
        <v/>
      </c>
    </row>
    <row r="502" spans="1:21">
      <c r="A502" s="49" t="str">
        <f>IF(Declarations!B259=0,"",Declarations!B259)</f>
        <v/>
      </c>
      <c r="B502" s="150" t="str">
        <f>IF(ISNA(VLOOKUP(A502,Declarations!B$6:C$185,2,FALSE)),"",IF(VLOOKUP(A502,Declarations!B$6:C$185,2,FALSE)="","",VLOOKUP(A502,Declarations!B$6:C$185,2,FALSE)))</f>
        <v/>
      </c>
      <c r="C502" s="150" t="str">
        <f>IF(ISNA(VLOOKUP(A502,Declarations!B$6:F$185,5,FALSE)),"",IF(VLOOKUP(A502,Declarations!B$6:F$185,5,FALSE)="","",VLOOKUP(A502,Declarations!B$6:F$185,5,FALSE)))</f>
        <v/>
      </c>
      <c r="D502" s="150" t="str">
        <f>IF(ISNA(VLOOKUP(A502,Declarations!B$6:F$185,4,FALSE)),"",IF(VLOOKUP(A502,Declarations!B$6:F$185,4,FALSE)="","",VLOOKUP(A502,Declarations!B$6:F$185,4,FALSE)))</f>
        <v/>
      </c>
      <c r="E502" s="150" t="str">
        <f>IF(ISNA(VLOOKUP(A502,Declarations!B$6:D$185,3,FALSE)),"",IF(VLOOKUP(A502,Declarations!B$6:D$185,3,FALSE)="","",VLOOKUP(A502,Declarations!B$6:D$185,3,FALSE)))</f>
        <v/>
      </c>
      <c r="F502" s="49" t="str">
        <f>IF(B502="","",IF(ISNA(VLOOKUP(A502,'75m'!F$5:G$302,2,FALSE)),"",VLOOKUP(A502,'75m'!F$5:G$302,2,FALSE)))</f>
        <v/>
      </c>
      <c r="G502" s="49">
        <f>IF(B502="",0,IF(ISNA(_xlfn.XLOOKUP(A502,'75m'!F$5:F$302,'75m'!M$5:M$302)),0,_xlfn.XLOOKUP(A502,'75m'!F$5:F$302,'75m'!M$5:M$302)))</f>
        <v>0</v>
      </c>
      <c r="H502" s="49" t="str">
        <f>IF(B502="","",IF(ISNA(VLOOKUP(A502,'75m'!F$5:K$302,6,FALSE)),"",VLOOKUP(A502,'75m'!F$5:K$302,6,FALSE)))</f>
        <v/>
      </c>
      <c r="I502" s="51">
        <f>IF(B502="",0,IF(ISNA(VLOOKUP(A502,'600m'!F$5:J$302,2,FALSE)),0,VLOOKUP(A502,'600m'!F$5:J$302,2,FALSE)))</f>
        <v>0</v>
      </c>
      <c r="J502" s="49">
        <f>IF(B502="",0,IF(ISNA(_xlfn.XLOOKUP(A502,'600m'!F$5:F$302,'600m'!M$5:M$302)),0,_xlfn.XLOOKUP(A502,'600m'!F$5:F$302,'600m'!M$5:M$302)))</f>
        <v>0</v>
      </c>
      <c r="K502" s="49" t="str">
        <f>IF(B502="","",IF(ISNA(VLOOKUP(A502,'600m'!F$5:K$302,6,FALSE)),"",VLOOKUP(A502,'600m'!F$5:K$302,6,FALSE)))</f>
        <v/>
      </c>
      <c r="L502" s="49" t="str">
        <f>IF(B502="","",IF(ISNA(VLOOKUP(A502,LongJump!F$5:G$302,2,FALSE)),"",VLOOKUP(A502,LongJump!F$5:G$302,2,FALSE)))</f>
        <v/>
      </c>
      <c r="M502" s="49">
        <f>IF(B502="",0,IF(ISNA(_xlfn.XLOOKUP(A502,LongJump!F$5:F$302,LongJump!M$5:M$302)),0,_xlfn.XLOOKUP(A502,LongJump!F$5:F$302,LongJump!M$5:M$302)))</f>
        <v>0</v>
      </c>
      <c r="N502" s="49" t="str">
        <f>IF(B502="","",IF(ISNA(VLOOKUP(A502,LongJump!F$5:K$302,6,FALSE)),0,VLOOKUP(A502,LongJump!F$5:K$302,6,FALSE)))</f>
        <v/>
      </c>
      <c r="O502" s="49" t="str">
        <f>IF(B502="","",IF(ISNA(VLOOKUP(A502,Vortex!F$5:J$302,2,FALSE)),"",VLOOKUP(A502,Vortex!F$5:J$302,2,FALSE)))</f>
        <v/>
      </c>
      <c r="P502" s="49">
        <f>IF(B502="",0,IF(ISNA(_xlfn.XLOOKUP(A502,Vortex!F$5:F$302,Vortex!M$5:M$302)),0,_xlfn.XLOOKUP(A502,Vortex!F$5:F$302,Vortex!M$5:M$302)))</f>
        <v>0</v>
      </c>
      <c r="Q502" s="49">
        <f t="shared" si="37"/>
        <v>0</v>
      </c>
      <c r="R502" s="49" t="str">
        <f t="shared" si="38"/>
        <v/>
      </c>
      <c r="S502" s="49" t="str">
        <f t="shared" si="39"/>
        <v/>
      </c>
      <c r="T502" s="49" t="str">
        <f t="shared" si="40"/>
        <v/>
      </c>
      <c r="U502" s="49" t="str">
        <f t="shared" si="41"/>
        <v/>
      </c>
    </row>
    <row r="503" spans="1:21">
      <c r="A503" s="49" t="str">
        <f>IF(Declarations!B260=0,"",Declarations!B260)</f>
        <v/>
      </c>
      <c r="B503" s="150" t="str">
        <f>IF(ISNA(VLOOKUP(A503,Declarations!B$6:C$185,2,FALSE)),"",IF(VLOOKUP(A503,Declarations!B$6:C$185,2,FALSE)="","",VLOOKUP(A503,Declarations!B$6:C$185,2,FALSE)))</f>
        <v/>
      </c>
      <c r="C503" s="150" t="str">
        <f>IF(ISNA(VLOOKUP(A503,Declarations!B$6:F$185,5,FALSE)),"",IF(VLOOKUP(A503,Declarations!B$6:F$185,5,FALSE)="","",VLOOKUP(A503,Declarations!B$6:F$185,5,FALSE)))</f>
        <v/>
      </c>
      <c r="D503" s="150" t="str">
        <f>IF(ISNA(VLOOKUP(A503,Declarations!B$6:F$185,4,FALSE)),"",IF(VLOOKUP(A503,Declarations!B$6:F$185,4,FALSE)="","",VLOOKUP(A503,Declarations!B$6:F$185,4,FALSE)))</f>
        <v/>
      </c>
      <c r="E503" s="150" t="str">
        <f>IF(ISNA(VLOOKUP(A503,Declarations!B$6:D$185,3,FALSE)),"",IF(VLOOKUP(A503,Declarations!B$6:D$185,3,FALSE)="","",VLOOKUP(A503,Declarations!B$6:D$185,3,FALSE)))</f>
        <v/>
      </c>
      <c r="F503" s="49" t="str">
        <f>IF(B503="","",IF(ISNA(VLOOKUP(A503,'75m'!F$5:G$302,2,FALSE)),"",VLOOKUP(A503,'75m'!F$5:G$302,2,FALSE)))</f>
        <v/>
      </c>
      <c r="G503" s="49">
        <f>IF(B503="",0,IF(ISNA(_xlfn.XLOOKUP(A503,'75m'!F$5:F$302,'75m'!M$5:M$302)),0,_xlfn.XLOOKUP(A503,'75m'!F$5:F$302,'75m'!M$5:M$302)))</f>
        <v>0</v>
      </c>
      <c r="H503" s="49" t="str">
        <f>IF(B503="","",IF(ISNA(VLOOKUP(A503,'75m'!F$5:K$302,6,FALSE)),"",VLOOKUP(A503,'75m'!F$5:K$302,6,FALSE)))</f>
        <v/>
      </c>
      <c r="I503" s="51">
        <f>IF(B503="",0,IF(ISNA(VLOOKUP(A503,'600m'!F$5:J$302,2,FALSE)),0,VLOOKUP(A503,'600m'!F$5:J$302,2,FALSE)))</f>
        <v>0</v>
      </c>
      <c r="J503" s="49">
        <f>IF(B503="",0,IF(ISNA(_xlfn.XLOOKUP(A503,'600m'!F$5:F$302,'600m'!M$5:M$302)),0,_xlfn.XLOOKUP(A503,'600m'!F$5:F$302,'600m'!M$5:M$302)))</f>
        <v>0</v>
      </c>
      <c r="K503" s="49" t="str">
        <f>IF(B503="","",IF(ISNA(VLOOKUP(A503,'600m'!F$5:K$302,6,FALSE)),"",VLOOKUP(A503,'600m'!F$5:K$302,6,FALSE)))</f>
        <v/>
      </c>
      <c r="L503" s="49" t="str">
        <f>IF(B503="","",IF(ISNA(VLOOKUP(A503,LongJump!F$5:G$302,2,FALSE)),"",VLOOKUP(A503,LongJump!F$5:G$302,2,FALSE)))</f>
        <v/>
      </c>
      <c r="M503" s="49">
        <f>IF(B503="",0,IF(ISNA(_xlfn.XLOOKUP(A503,LongJump!F$5:F$302,LongJump!M$5:M$302)),0,_xlfn.XLOOKUP(A503,LongJump!F$5:F$302,LongJump!M$5:M$302)))</f>
        <v>0</v>
      </c>
      <c r="N503" s="49" t="str">
        <f>IF(B503="","",IF(ISNA(VLOOKUP(A503,LongJump!F$5:K$302,6,FALSE)),0,VLOOKUP(A503,LongJump!F$5:K$302,6,FALSE)))</f>
        <v/>
      </c>
      <c r="O503" s="49" t="str">
        <f>IF(B503="","",IF(ISNA(VLOOKUP(A503,Vortex!F$5:J$302,2,FALSE)),"",VLOOKUP(A503,Vortex!F$5:J$302,2,FALSE)))</f>
        <v/>
      </c>
      <c r="P503" s="49">
        <f>IF(B503="",0,IF(ISNA(_xlfn.XLOOKUP(A503,Vortex!F$5:F$302,Vortex!M$5:M$302)),0,_xlfn.XLOOKUP(A503,Vortex!F$5:F$302,Vortex!M$5:M$302)))</f>
        <v>0</v>
      </c>
      <c r="Q503" s="49">
        <f t="shared" si="37"/>
        <v>0</v>
      </c>
      <c r="R503" s="49" t="str">
        <f t="shared" si="38"/>
        <v/>
      </c>
      <c r="S503" s="49" t="str">
        <f t="shared" si="39"/>
        <v/>
      </c>
      <c r="T503" s="49" t="str">
        <f t="shared" si="40"/>
        <v/>
      </c>
      <c r="U503" s="49" t="str">
        <f t="shared" si="41"/>
        <v/>
      </c>
    </row>
    <row r="504" spans="1:21">
      <c r="A504" s="49" t="str">
        <f>IF(Declarations!B261=0,"",Declarations!B261)</f>
        <v/>
      </c>
      <c r="B504" s="150" t="str">
        <f>IF(ISNA(VLOOKUP(A504,Declarations!B$6:C$185,2,FALSE)),"",IF(VLOOKUP(A504,Declarations!B$6:C$185,2,FALSE)="","",VLOOKUP(A504,Declarations!B$6:C$185,2,FALSE)))</f>
        <v/>
      </c>
      <c r="C504" s="150" t="str">
        <f>IF(ISNA(VLOOKUP(A504,Declarations!B$6:F$185,5,FALSE)),"",IF(VLOOKUP(A504,Declarations!B$6:F$185,5,FALSE)="","",VLOOKUP(A504,Declarations!B$6:F$185,5,FALSE)))</f>
        <v/>
      </c>
      <c r="D504" s="150" t="str">
        <f>IF(ISNA(VLOOKUP(A504,Declarations!B$6:F$185,4,FALSE)),"",IF(VLOOKUP(A504,Declarations!B$6:F$185,4,FALSE)="","",VLOOKUP(A504,Declarations!B$6:F$185,4,FALSE)))</f>
        <v/>
      </c>
      <c r="E504" s="150" t="str">
        <f>IF(ISNA(VLOOKUP(A504,Declarations!B$6:D$185,3,FALSE)),"",IF(VLOOKUP(A504,Declarations!B$6:D$185,3,FALSE)="","",VLOOKUP(A504,Declarations!B$6:D$185,3,FALSE)))</f>
        <v/>
      </c>
      <c r="F504" s="49" t="str">
        <f>IF(B504="","",IF(ISNA(VLOOKUP(A504,'75m'!F$5:G$302,2,FALSE)),"",VLOOKUP(A504,'75m'!F$5:G$302,2,FALSE)))</f>
        <v/>
      </c>
      <c r="G504" s="49">
        <f>IF(B504="",0,IF(ISNA(_xlfn.XLOOKUP(A504,'75m'!F$5:F$302,'75m'!M$5:M$302)),0,_xlfn.XLOOKUP(A504,'75m'!F$5:F$302,'75m'!M$5:M$302)))</f>
        <v>0</v>
      </c>
      <c r="H504" s="49" t="str">
        <f>IF(B504="","",IF(ISNA(VLOOKUP(A504,'75m'!F$5:K$302,6,FALSE)),"",VLOOKUP(A504,'75m'!F$5:K$302,6,FALSE)))</f>
        <v/>
      </c>
      <c r="I504" s="51">
        <f>IF(B504="",0,IF(ISNA(VLOOKUP(A504,'600m'!F$5:J$302,2,FALSE)),0,VLOOKUP(A504,'600m'!F$5:J$302,2,FALSE)))</f>
        <v>0</v>
      </c>
      <c r="J504" s="49">
        <f>IF(B504="",0,IF(ISNA(_xlfn.XLOOKUP(A504,'600m'!F$5:F$302,'600m'!M$5:M$302)),0,_xlfn.XLOOKUP(A504,'600m'!F$5:F$302,'600m'!M$5:M$302)))</f>
        <v>0</v>
      </c>
      <c r="K504" s="49" t="str">
        <f>IF(B504="","",IF(ISNA(VLOOKUP(A504,'600m'!F$5:K$302,6,FALSE)),"",VLOOKUP(A504,'600m'!F$5:K$302,6,FALSE)))</f>
        <v/>
      </c>
      <c r="L504" s="49" t="str">
        <f>IF(B504="","",IF(ISNA(VLOOKUP(A504,LongJump!F$5:G$302,2,FALSE)),"",VLOOKUP(A504,LongJump!F$5:G$302,2,FALSE)))</f>
        <v/>
      </c>
      <c r="M504" s="49">
        <f>IF(B504="",0,IF(ISNA(_xlfn.XLOOKUP(A504,LongJump!F$5:F$302,LongJump!M$5:M$302)),0,_xlfn.XLOOKUP(A504,LongJump!F$5:F$302,LongJump!M$5:M$302)))</f>
        <v>0</v>
      </c>
      <c r="N504" s="49" t="str">
        <f>IF(B504="","",IF(ISNA(VLOOKUP(A504,LongJump!F$5:K$302,6,FALSE)),0,VLOOKUP(A504,LongJump!F$5:K$302,6,FALSE)))</f>
        <v/>
      </c>
      <c r="O504" s="49" t="str">
        <f>IF(B504="","",IF(ISNA(VLOOKUP(A504,Vortex!F$5:J$302,2,FALSE)),"",VLOOKUP(A504,Vortex!F$5:J$302,2,FALSE)))</f>
        <v/>
      </c>
      <c r="P504" s="49">
        <f>IF(B504="",0,IF(ISNA(_xlfn.XLOOKUP(A504,Vortex!F$5:F$302,Vortex!M$5:M$302)),0,_xlfn.XLOOKUP(A504,Vortex!F$5:F$302,Vortex!M$5:M$302)))</f>
        <v>0</v>
      </c>
      <c r="Q504" s="49">
        <f t="shared" si="37"/>
        <v>0</v>
      </c>
      <c r="R504" s="49" t="str">
        <f t="shared" si="38"/>
        <v/>
      </c>
      <c r="S504" s="49" t="str">
        <f t="shared" si="39"/>
        <v/>
      </c>
      <c r="T504" s="49" t="str">
        <f t="shared" si="40"/>
        <v/>
      </c>
      <c r="U504" s="49" t="str">
        <f t="shared" si="41"/>
        <v/>
      </c>
    </row>
    <row r="505" spans="1:21">
      <c r="A505" s="49" t="str">
        <f>IF(Declarations!B262=0,"",Declarations!B262)</f>
        <v/>
      </c>
      <c r="B505" s="150" t="str">
        <f>IF(ISNA(VLOOKUP(A505,Declarations!B$6:C$185,2,FALSE)),"",IF(VLOOKUP(A505,Declarations!B$6:C$185,2,FALSE)="","",VLOOKUP(A505,Declarations!B$6:C$185,2,FALSE)))</f>
        <v/>
      </c>
      <c r="C505" s="150" t="str">
        <f>IF(ISNA(VLOOKUP(A505,Declarations!B$6:F$185,5,FALSE)),"",IF(VLOOKUP(A505,Declarations!B$6:F$185,5,FALSE)="","",VLOOKUP(A505,Declarations!B$6:F$185,5,FALSE)))</f>
        <v/>
      </c>
      <c r="D505" s="150" t="str">
        <f>IF(ISNA(VLOOKUP(A505,Declarations!B$6:F$185,4,FALSE)),"",IF(VLOOKUP(A505,Declarations!B$6:F$185,4,FALSE)="","",VLOOKUP(A505,Declarations!B$6:F$185,4,FALSE)))</f>
        <v/>
      </c>
      <c r="E505" s="150" t="str">
        <f>IF(ISNA(VLOOKUP(A505,Declarations!B$6:D$185,3,FALSE)),"",IF(VLOOKUP(A505,Declarations!B$6:D$185,3,FALSE)="","",VLOOKUP(A505,Declarations!B$6:D$185,3,FALSE)))</f>
        <v/>
      </c>
      <c r="F505" s="49" t="str">
        <f>IF(B505="","",IF(ISNA(VLOOKUP(A505,'75m'!F$5:G$302,2,FALSE)),"",VLOOKUP(A505,'75m'!F$5:G$302,2,FALSE)))</f>
        <v/>
      </c>
      <c r="G505" s="49">
        <f>IF(B505="",0,IF(ISNA(_xlfn.XLOOKUP(A505,'75m'!F$5:F$302,'75m'!M$5:M$302)),0,_xlfn.XLOOKUP(A505,'75m'!F$5:F$302,'75m'!M$5:M$302)))</f>
        <v>0</v>
      </c>
      <c r="H505" s="49" t="str">
        <f>IF(B505="","",IF(ISNA(VLOOKUP(A505,'75m'!F$5:K$302,6,FALSE)),"",VLOOKUP(A505,'75m'!F$5:K$302,6,FALSE)))</f>
        <v/>
      </c>
      <c r="I505" s="51">
        <f>IF(B505="",0,IF(ISNA(VLOOKUP(A505,'600m'!F$5:J$302,2,FALSE)),0,VLOOKUP(A505,'600m'!F$5:J$302,2,FALSE)))</f>
        <v>0</v>
      </c>
      <c r="J505" s="49">
        <f>IF(B505="",0,IF(ISNA(_xlfn.XLOOKUP(A505,'600m'!F$5:F$302,'600m'!M$5:M$302)),0,_xlfn.XLOOKUP(A505,'600m'!F$5:F$302,'600m'!M$5:M$302)))</f>
        <v>0</v>
      </c>
      <c r="K505" s="49" t="str">
        <f>IF(B505="","",IF(ISNA(VLOOKUP(A505,'600m'!F$5:K$302,6,FALSE)),"",VLOOKUP(A505,'600m'!F$5:K$302,6,FALSE)))</f>
        <v/>
      </c>
      <c r="L505" s="49" t="str">
        <f>IF(B505="","",IF(ISNA(VLOOKUP(A505,LongJump!F$5:G$302,2,FALSE)),"",VLOOKUP(A505,LongJump!F$5:G$302,2,FALSE)))</f>
        <v/>
      </c>
      <c r="M505" s="49">
        <f>IF(B505="",0,IF(ISNA(_xlfn.XLOOKUP(A505,LongJump!F$5:F$302,LongJump!M$5:M$302)),0,_xlfn.XLOOKUP(A505,LongJump!F$5:F$302,LongJump!M$5:M$302)))</f>
        <v>0</v>
      </c>
      <c r="N505" s="49" t="str">
        <f>IF(B505="","",IF(ISNA(VLOOKUP(A505,LongJump!F$5:K$302,6,FALSE)),0,VLOOKUP(A505,LongJump!F$5:K$302,6,FALSE)))</f>
        <v/>
      </c>
      <c r="O505" s="49" t="str">
        <f>IF(B505="","",IF(ISNA(VLOOKUP(A505,Vortex!F$5:J$302,2,FALSE)),"",VLOOKUP(A505,Vortex!F$5:J$302,2,FALSE)))</f>
        <v/>
      </c>
      <c r="P505" s="49">
        <f>IF(B505="",0,IF(ISNA(_xlfn.XLOOKUP(A505,Vortex!F$5:F$302,Vortex!M$5:M$302)),0,_xlfn.XLOOKUP(A505,Vortex!F$5:F$302,Vortex!M$5:M$302)))</f>
        <v>0</v>
      </c>
      <c r="Q505" s="49">
        <f t="shared" si="37"/>
        <v>0</v>
      </c>
      <c r="R505" s="49" t="str">
        <f t="shared" si="38"/>
        <v/>
      </c>
      <c r="S505" s="49" t="str">
        <f t="shared" si="39"/>
        <v/>
      </c>
      <c r="T505" s="49" t="str">
        <f t="shared" si="40"/>
        <v/>
      </c>
      <c r="U505" s="49" t="str">
        <f t="shared" si="41"/>
        <v/>
      </c>
    </row>
    <row r="506" spans="1:21">
      <c r="A506" s="49" t="str">
        <f>IF(Declarations!B263=0,"",Declarations!B263)</f>
        <v/>
      </c>
      <c r="B506" s="150" t="str">
        <f>IF(ISNA(VLOOKUP(A506,Declarations!B$6:C$185,2,FALSE)),"",IF(VLOOKUP(A506,Declarations!B$6:C$185,2,FALSE)="","",VLOOKUP(A506,Declarations!B$6:C$185,2,FALSE)))</f>
        <v/>
      </c>
      <c r="C506" s="150" t="str">
        <f>IF(ISNA(VLOOKUP(A506,Declarations!B$6:F$185,5,FALSE)),"",IF(VLOOKUP(A506,Declarations!B$6:F$185,5,FALSE)="","",VLOOKUP(A506,Declarations!B$6:F$185,5,FALSE)))</f>
        <v/>
      </c>
      <c r="D506" s="150" t="str">
        <f>IF(ISNA(VLOOKUP(A506,Declarations!B$6:F$185,4,FALSE)),"",IF(VLOOKUP(A506,Declarations!B$6:F$185,4,FALSE)="","",VLOOKUP(A506,Declarations!B$6:F$185,4,FALSE)))</f>
        <v/>
      </c>
      <c r="E506" s="150" t="str">
        <f>IF(ISNA(VLOOKUP(A506,Declarations!B$6:D$185,3,FALSE)),"",IF(VLOOKUP(A506,Declarations!B$6:D$185,3,FALSE)="","",VLOOKUP(A506,Declarations!B$6:D$185,3,FALSE)))</f>
        <v/>
      </c>
      <c r="F506" s="49" t="str">
        <f>IF(B506="","",IF(ISNA(VLOOKUP(A506,'75m'!F$5:G$302,2,FALSE)),"",VLOOKUP(A506,'75m'!F$5:G$302,2,FALSE)))</f>
        <v/>
      </c>
      <c r="G506" s="49">
        <f>IF(B506="",0,IF(ISNA(_xlfn.XLOOKUP(A506,'75m'!F$5:F$302,'75m'!M$5:M$302)),0,_xlfn.XLOOKUP(A506,'75m'!F$5:F$302,'75m'!M$5:M$302)))</f>
        <v>0</v>
      </c>
      <c r="H506" s="49" t="str">
        <f>IF(B506="","",IF(ISNA(VLOOKUP(A506,'75m'!F$5:K$302,6,FALSE)),"",VLOOKUP(A506,'75m'!F$5:K$302,6,FALSE)))</f>
        <v/>
      </c>
      <c r="I506" s="51">
        <f>IF(B506="",0,IF(ISNA(VLOOKUP(A506,'600m'!F$5:J$302,2,FALSE)),0,VLOOKUP(A506,'600m'!F$5:J$302,2,FALSE)))</f>
        <v>0</v>
      </c>
      <c r="J506" s="49">
        <f>IF(B506="",0,IF(ISNA(_xlfn.XLOOKUP(A506,'600m'!F$5:F$302,'600m'!M$5:M$302)),0,_xlfn.XLOOKUP(A506,'600m'!F$5:F$302,'600m'!M$5:M$302)))</f>
        <v>0</v>
      </c>
      <c r="K506" s="49" t="str">
        <f>IF(B506="","",IF(ISNA(VLOOKUP(A506,'600m'!F$5:K$302,6,FALSE)),"",VLOOKUP(A506,'600m'!F$5:K$302,6,FALSE)))</f>
        <v/>
      </c>
      <c r="L506" s="49" t="str">
        <f>IF(B506="","",IF(ISNA(VLOOKUP(A506,LongJump!F$5:G$302,2,FALSE)),"",VLOOKUP(A506,LongJump!F$5:G$302,2,FALSE)))</f>
        <v/>
      </c>
      <c r="M506" s="49">
        <f>IF(B506="",0,IF(ISNA(_xlfn.XLOOKUP(A506,LongJump!F$5:F$302,LongJump!M$5:M$302)),0,_xlfn.XLOOKUP(A506,LongJump!F$5:F$302,LongJump!M$5:M$302)))</f>
        <v>0</v>
      </c>
      <c r="N506" s="49" t="str">
        <f>IF(B506="","",IF(ISNA(VLOOKUP(A506,LongJump!F$5:K$302,6,FALSE)),0,VLOOKUP(A506,LongJump!F$5:K$302,6,FALSE)))</f>
        <v/>
      </c>
      <c r="O506" s="49" t="str">
        <f>IF(B506="","",IF(ISNA(VLOOKUP(A506,Vortex!F$5:J$302,2,FALSE)),"",VLOOKUP(A506,Vortex!F$5:J$302,2,FALSE)))</f>
        <v/>
      </c>
      <c r="P506" s="49">
        <f>IF(B506="",0,IF(ISNA(_xlfn.XLOOKUP(A506,Vortex!F$5:F$302,Vortex!M$5:M$302)),0,_xlfn.XLOOKUP(A506,Vortex!F$5:F$302,Vortex!M$5:M$302)))</f>
        <v>0</v>
      </c>
      <c r="Q506" s="49">
        <f t="shared" ref="Q506:Q536" si="42">G506+J506+M506+P506</f>
        <v>0</v>
      </c>
      <c r="R506" s="49" t="str">
        <f t="shared" ref="R506:R535" si="43">IF(OR($Q506=0,$E506&lt;&gt;"U10"),"",COUNTIFS($C$249:$C$536, $C506, $D$249:$D$536, $D506, $E$249:$E$536, $E506, $Q$249:$Q$536,"&gt;"&amp;$Q506)+1)</f>
        <v/>
      </c>
      <c r="S506" s="49" t="str">
        <f t="shared" ref="S506:S536" si="44">IF(OR($Q506=0,$E506&lt;&gt;"U12"),"",COUNTIFS($C$249:$C$536, $C506, $D$249:$D$536, $D506, $E$249:$E$536, $E506, $Q$249:$Q$536,"&gt;"&amp;$Q506)+1)</f>
        <v/>
      </c>
      <c r="T506" s="49" t="str">
        <f t="shared" ref="T506:T536" si="45">IF(OR($Q506=0,$E506&lt;&gt;"U10"),"",COUNTIFS($D$249:$D$536, $D506,$E$249:$E$536,$E506,$Q$249:$Q$536,"&gt;"&amp;$Q506)+1)</f>
        <v/>
      </c>
      <c r="U506" s="49" t="str">
        <f t="shared" ref="U506:U536" si="46">IF(OR($Q506=0,$E506&lt;&gt;"U12"),"",COUNTIFS($D$249:$D$536, $D506,$E$249:$E$536,$E506,$Q$249:$Q$536,"&gt;"&amp;$Q506)+1)</f>
        <v/>
      </c>
    </row>
    <row r="507" spans="1:21">
      <c r="A507" s="49" t="str">
        <f>IF(Declarations!B264=0,"",Declarations!B264)</f>
        <v/>
      </c>
      <c r="B507" s="150" t="str">
        <f>IF(ISNA(VLOOKUP(A507,Declarations!B$6:C$185,2,FALSE)),"",IF(VLOOKUP(A507,Declarations!B$6:C$185,2,FALSE)="","",VLOOKUP(A507,Declarations!B$6:C$185,2,FALSE)))</f>
        <v/>
      </c>
      <c r="C507" s="150" t="str">
        <f>IF(ISNA(VLOOKUP(A507,Declarations!B$6:F$185,5,FALSE)),"",IF(VLOOKUP(A507,Declarations!B$6:F$185,5,FALSE)="","",VLOOKUP(A507,Declarations!B$6:F$185,5,FALSE)))</f>
        <v/>
      </c>
      <c r="D507" s="150" t="str">
        <f>IF(ISNA(VLOOKUP(A507,Declarations!B$6:F$185,4,FALSE)),"",IF(VLOOKUP(A507,Declarations!B$6:F$185,4,FALSE)="","",VLOOKUP(A507,Declarations!B$6:F$185,4,FALSE)))</f>
        <v/>
      </c>
      <c r="E507" s="150" t="str">
        <f>IF(ISNA(VLOOKUP(A507,Declarations!B$6:D$185,3,FALSE)),"",IF(VLOOKUP(A507,Declarations!B$6:D$185,3,FALSE)="","",VLOOKUP(A507,Declarations!B$6:D$185,3,FALSE)))</f>
        <v/>
      </c>
      <c r="F507" s="49" t="str">
        <f>IF(B507="","",IF(ISNA(VLOOKUP(A507,'75m'!F$5:G$302,2,FALSE)),"",VLOOKUP(A507,'75m'!F$5:G$302,2,FALSE)))</f>
        <v/>
      </c>
      <c r="G507" s="49">
        <f>IF(B507="",0,IF(ISNA(_xlfn.XLOOKUP(A507,'75m'!F$5:F$302,'75m'!M$5:M$302)),0,_xlfn.XLOOKUP(A507,'75m'!F$5:F$302,'75m'!M$5:M$302)))</f>
        <v>0</v>
      </c>
      <c r="H507" s="49" t="str">
        <f>IF(B507="","",IF(ISNA(VLOOKUP(A507,'75m'!F$5:K$302,6,FALSE)),"",VLOOKUP(A507,'75m'!F$5:K$302,6,FALSE)))</f>
        <v/>
      </c>
      <c r="I507" s="51">
        <f>IF(B507="",0,IF(ISNA(VLOOKUP(A507,'600m'!F$5:J$302,2,FALSE)),0,VLOOKUP(A507,'600m'!F$5:J$302,2,FALSE)))</f>
        <v>0</v>
      </c>
      <c r="J507" s="49">
        <f>IF(B507="",0,IF(ISNA(_xlfn.XLOOKUP(A507,'600m'!F$5:F$302,'600m'!M$5:M$302)),0,_xlfn.XLOOKUP(A507,'600m'!F$5:F$302,'600m'!M$5:M$302)))</f>
        <v>0</v>
      </c>
      <c r="K507" s="49" t="str">
        <f>IF(B507="","",IF(ISNA(VLOOKUP(A507,'600m'!F$5:K$302,6,FALSE)),"",VLOOKUP(A507,'600m'!F$5:K$302,6,FALSE)))</f>
        <v/>
      </c>
      <c r="L507" s="49" t="str">
        <f>IF(B507="","",IF(ISNA(VLOOKUP(A507,LongJump!F$5:G$302,2,FALSE)),"",VLOOKUP(A507,LongJump!F$5:G$302,2,FALSE)))</f>
        <v/>
      </c>
      <c r="M507" s="49">
        <f>IF(B507="",0,IF(ISNA(_xlfn.XLOOKUP(A507,LongJump!F$5:F$302,LongJump!M$5:M$302)),0,_xlfn.XLOOKUP(A507,LongJump!F$5:F$302,LongJump!M$5:M$302)))</f>
        <v>0</v>
      </c>
      <c r="N507" s="49" t="str">
        <f>IF(B507="","",IF(ISNA(VLOOKUP(A507,LongJump!F$5:K$302,6,FALSE)),0,VLOOKUP(A507,LongJump!F$5:K$302,6,FALSE)))</f>
        <v/>
      </c>
      <c r="O507" s="49" t="str">
        <f>IF(B507="","",IF(ISNA(VLOOKUP(A507,Vortex!F$5:J$302,2,FALSE)),"",VLOOKUP(A507,Vortex!F$5:J$302,2,FALSE)))</f>
        <v/>
      </c>
      <c r="P507" s="49">
        <f>IF(B507="",0,IF(ISNA(_xlfn.XLOOKUP(A507,Vortex!F$5:F$302,Vortex!M$5:M$302)),0,_xlfn.XLOOKUP(A507,Vortex!F$5:F$302,Vortex!M$5:M$302)))</f>
        <v>0</v>
      </c>
      <c r="Q507" s="49">
        <f t="shared" si="42"/>
        <v>0</v>
      </c>
      <c r="R507" s="49" t="str">
        <f t="shared" si="43"/>
        <v/>
      </c>
      <c r="S507" s="49" t="str">
        <f t="shared" si="44"/>
        <v/>
      </c>
      <c r="T507" s="49" t="str">
        <f t="shared" si="45"/>
        <v/>
      </c>
      <c r="U507" s="49" t="str">
        <f t="shared" si="46"/>
        <v/>
      </c>
    </row>
    <row r="508" spans="1:21">
      <c r="A508" s="49" t="str">
        <f>IF(Declarations!B265=0,"",Declarations!B265)</f>
        <v/>
      </c>
      <c r="B508" s="150" t="str">
        <f>IF(ISNA(VLOOKUP(A508,Declarations!B$6:C$185,2,FALSE)),"",IF(VLOOKUP(A508,Declarations!B$6:C$185,2,FALSE)="","",VLOOKUP(A508,Declarations!B$6:C$185,2,FALSE)))</f>
        <v/>
      </c>
      <c r="C508" s="150" t="str">
        <f>IF(ISNA(VLOOKUP(A508,Declarations!B$6:F$185,5,FALSE)),"",IF(VLOOKUP(A508,Declarations!B$6:F$185,5,FALSE)="","",VLOOKUP(A508,Declarations!B$6:F$185,5,FALSE)))</f>
        <v/>
      </c>
      <c r="D508" s="150" t="str">
        <f>IF(ISNA(VLOOKUP(A508,Declarations!B$6:F$185,4,FALSE)),"",IF(VLOOKUP(A508,Declarations!B$6:F$185,4,FALSE)="","",VLOOKUP(A508,Declarations!B$6:F$185,4,FALSE)))</f>
        <v/>
      </c>
      <c r="E508" s="150" t="str">
        <f>IF(ISNA(VLOOKUP(A508,Declarations!B$6:D$185,3,FALSE)),"",IF(VLOOKUP(A508,Declarations!B$6:D$185,3,FALSE)="","",VLOOKUP(A508,Declarations!B$6:D$185,3,FALSE)))</f>
        <v/>
      </c>
      <c r="F508" s="49" t="str">
        <f>IF(B508="","",IF(ISNA(VLOOKUP(A508,'75m'!F$5:G$302,2,FALSE)),"",VLOOKUP(A508,'75m'!F$5:G$302,2,FALSE)))</f>
        <v/>
      </c>
      <c r="G508" s="49">
        <f>IF(B508="",0,IF(ISNA(_xlfn.XLOOKUP(A508,'75m'!F$5:F$302,'75m'!M$5:M$302)),0,_xlfn.XLOOKUP(A508,'75m'!F$5:F$302,'75m'!M$5:M$302)))</f>
        <v>0</v>
      </c>
      <c r="H508" s="49" t="str">
        <f>IF(B508="","",IF(ISNA(VLOOKUP(A508,'75m'!F$5:K$302,6,FALSE)),"",VLOOKUP(A508,'75m'!F$5:K$302,6,FALSE)))</f>
        <v/>
      </c>
      <c r="I508" s="51">
        <f>IF(B508="",0,IF(ISNA(VLOOKUP(A508,'600m'!F$5:J$302,2,FALSE)),0,VLOOKUP(A508,'600m'!F$5:J$302,2,FALSE)))</f>
        <v>0</v>
      </c>
      <c r="J508" s="49">
        <f>IF(B508="",0,IF(ISNA(_xlfn.XLOOKUP(A508,'600m'!F$5:F$302,'600m'!M$5:M$302)),0,_xlfn.XLOOKUP(A508,'600m'!F$5:F$302,'600m'!M$5:M$302)))</f>
        <v>0</v>
      </c>
      <c r="K508" s="49" t="str">
        <f>IF(B508="","",IF(ISNA(VLOOKUP(A508,'600m'!F$5:K$302,6,FALSE)),"",VLOOKUP(A508,'600m'!F$5:K$302,6,FALSE)))</f>
        <v/>
      </c>
      <c r="L508" s="49" t="str">
        <f>IF(B508="","",IF(ISNA(VLOOKUP(A508,LongJump!F$5:G$302,2,FALSE)),"",VLOOKUP(A508,LongJump!F$5:G$302,2,FALSE)))</f>
        <v/>
      </c>
      <c r="M508" s="49">
        <f>IF(B508="",0,IF(ISNA(_xlfn.XLOOKUP(A508,LongJump!F$5:F$302,LongJump!M$5:M$302)),0,_xlfn.XLOOKUP(A508,LongJump!F$5:F$302,LongJump!M$5:M$302)))</f>
        <v>0</v>
      </c>
      <c r="N508" s="49" t="str">
        <f>IF(B508="","",IF(ISNA(VLOOKUP(A508,LongJump!F$5:K$302,6,FALSE)),0,VLOOKUP(A508,LongJump!F$5:K$302,6,FALSE)))</f>
        <v/>
      </c>
      <c r="O508" s="49" t="str">
        <f>IF(B508="","",IF(ISNA(VLOOKUP(A508,Vortex!F$5:J$302,2,FALSE)),"",VLOOKUP(A508,Vortex!F$5:J$302,2,FALSE)))</f>
        <v/>
      </c>
      <c r="P508" s="49">
        <f>IF(B508="",0,IF(ISNA(_xlfn.XLOOKUP(A508,Vortex!F$5:F$302,Vortex!M$5:M$302)),0,_xlfn.XLOOKUP(A508,Vortex!F$5:F$302,Vortex!M$5:M$302)))</f>
        <v>0</v>
      </c>
      <c r="Q508" s="49">
        <f t="shared" si="42"/>
        <v>0</v>
      </c>
      <c r="R508" s="49" t="str">
        <f t="shared" si="43"/>
        <v/>
      </c>
      <c r="S508" s="49" t="str">
        <f t="shared" si="44"/>
        <v/>
      </c>
      <c r="T508" s="49" t="str">
        <f t="shared" si="45"/>
        <v/>
      </c>
      <c r="U508" s="49" t="str">
        <f t="shared" si="46"/>
        <v/>
      </c>
    </row>
    <row r="509" spans="1:21">
      <c r="A509" s="49" t="str">
        <f>IF(Declarations!B266=0,"",Declarations!B266)</f>
        <v/>
      </c>
      <c r="B509" s="150" t="str">
        <f>IF(ISNA(VLOOKUP(A509,Declarations!B$6:C$185,2,FALSE)),"",IF(VLOOKUP(A509,Declarations!B$6:C$185,2,FALSE)="","",VLOOKUP(A509,Declarations!B$6:C$185,2,FALSE)))</f>
        <v/>
      </c>
      <c r="C509" s="150" t="str">
        <f>IF(ISNA(VLOOKUP(A509,Declarations!B$6:F$185,5,FALSE)),"",IF(VLOOKUP(A509,Declarations!B$6:F$185,5,FALSE)="","",VLOOKUP(A509,Declarations!B$6:F$185,5,FALSE)))</f>
        <v/>
      </c>
      <c r="D509" s="150" t="str">
        <f>IF(ISNA(VLOOKUP(A509,Declarations!B$6:F$185,4,FALSE)),"",IF(VLOOKUP(A509,Declarations!B$6:F$185,4,FALSE)="","",VLOOKUP(A509,Declarations!B$6:F$185,4,FALSE)))</f>
        <v/>
      </c>
      <c r="E509" s="150" t="str">
        <f>IF(ISNA(VLOOKUP(A509,Declarations!B$6:D$185,3,FALSE)),"",IF(VLOOKUP(A509,Declarations!B$6:D$185,3,FALSE)="","",VLOOKUP(A509,Declarations!B$6:D$185,3,FALSE)))</f>
        <v/>
      </c>
      <c r="F509" s="49" t="str">
        <f>IF(B509="","",IF(ISNA(VLOOKUP(A509,'75m'!F$5:G$302,2,FALSE)),"",VLOOKUP(A509,'75m'!F$5:G$302,2,FALSE)))</f>
        <v/>
      </c>
      <c r="G509" s="49">
        <f>IF(B509="",0,IF(ISNA(_xlfn.XLOOKUP(A509,'75m'!F$5:F$302,'75m'!M$5:M$302)),0,_xlfn.XLOOKUP(A509,'75m'!F$5:F$302,'75m'!M$5:M$302)))</f>
        <v>0</v>
      </c>
      <c r="H509" s="49" t="str">
        <f>IF(B509="","",IF(ISNA(VLOOKUP(A509,'75m'!F$5:K$302,6,FALSE)),"",VLOOKUP(A509,'75m'!F$5:K$302,6,FALSE)))</f>
        <v/>
      </c>
      <c r="I509" s="51">
        <f>IF(B509="",0,IF(ISNA(VLOOKUP(A509,'600m'!F$5:J$302,2,FALSE)),0,VLOOKUP(A509,'600m'!F$5:J$302,2,FALSE)))</f>
        <v>0</v>
      </c>
      <c r="J509" s="49">
        <f>IF(B509="",0,IF(ISNA(_xlfn.XLOOKUP(A509,'600m'!F$5:F$302,'600m'!M$5:M$302)),0,_xlfn.XLOOKUP(A509,'600m'!F$5:F$302,'600m'!M$5:M$302)))</f>
        <v>0</v>
      </c>
      <c r="K509" s="49" t="str">
        <f>IF(B509="","",IF(ISNA(VLOOKUP(A509,'600m'!F$5:K$302,6,FALSE)),"",VLOOKUP(A509,'600m'!F$5:K$302,6,FALSE)))</f>
        <v/>
      </c>
      <c r="L509" s="49" t="str">
        <f>IF(B509="","",IF(ISNA(VLOOKUP(A509,LongJump!F$5:G$302,2,FALSE)),"",VLOOKUP(A509,LongJump!F$5:G$302,2,FALSE)))</f>
        <v/>
      </c>
      <c r="M509" s="49">
        <f>IF(B509="",0,IF(ISNA(_xlfn.XLOOKUP(A509,LongJump!F$5:F$302,LongJump!M$5:M$302)),0,_xlfn.XLOOKUP(A509,LongJump!F$5:F$302,LongJump!M$5:M$302)))</f>
        <v>0</v>
      </c>
      <c r="N509" s="49" t="str">
        <f>IF(B509="","",IF(ISNA(VLOOKUP(A509,LongJump!F$5:K$302,6,FALSE)),0,VLOOKUP(A509,LongJump!F$5:K$302,6,FALSE)))</f>
        <v/>
      </c>
      <c r="O509" s="49" t="str">
        <f>IF(B509="","",IF(ISNA(VLOOKUP(A509,Vortex!F$5:J$302,2,FALSE)),"",VLOOKUP(A509,Vortex!F$5:J$302,2,FALSE)))</f>
        <v/>
      </c>
      <c r="P509" s="49">
        <f>IF(B509="",0,IF(ISNA(_xlfn.XLOOKUP(A509,Vortex!F$5:F$302,Vortex!M$5:M$302)),0,_xlfn.XLOOKUP(A509,Vortex!F$5:F$302,Vortex!M$5:M$302)))</f>
        <v>0</v>
      </c>
      <c r="Q509" s="49">
        <f t="shared" si="42"/>
        <v>0</v>
      </c>
      <c r="R509" s="49" t="str">
        <f t="shared" si="43"/>
        <v/>
      </c>
      <c r="S509" s="49" t="str">
        <f t="shared" si="44"/>
        <v/>
      </c>
      <c r="T509" s="49" t="str">
        <f t="shared" si="45"/>
        <v/>
      </c>
      <c r="U509" s="49" t="str">
        <f t="shared" si="46"/>
        <v/>
      </c>
    </row>
    <row r="510" spans="1:21">
      <c r="A510" s="49" t="str">
        <f>IF(Declarations!B267=0,"",Declarations!B267)</f>
        <v/>
      </c>
      <c r="B510" s="150" t="str">
        <f>IF(ISNA(VLOOKUP(A510,Declarations!B$6:C$185,2,FALSE)),"",IF(VLOOKUP(A510,Declarations!B$6:C$185,2,FALSE)="","",VLOOKUP(A510,Declarations!B$6:C$185,2,FALSE)))</f>
        <v/>
      </c>
      <c r="C510" s="150" t="str">
        <f>IF(ISNA(VLOOKUP(A510,Declarations!B$6:F$185,5,FALSE)),"",IF(VLOOKUP(A510,Declarations!B$6:F$185,5,FALSE)="","",VLOOKUP(A510,Declarations!B$6:F$185,5,FALSE)))</f>
        <v/>
      </c>
      <c r="D510" s="150" t="str">
        <f>IF(ISNA(VLOOKUP(A510,Declarations!B$6:F$185,4,FALSE)),"",IF(VLOOKUP(A510,Declarations!B$6:F$185,4,FALSE)="","",VLOOKUP(A510,Declarations!B$6:F$185,4,FALSE)))</f>
        <v/>
      </c>
      <c r="E510" s="150" t="str">
        <f>IF(ISNA(VLOOKUP(A510,Declarations!B$6:D$185,3,FALSE)),"",IF(VLOOKUP(A510,Declarations!B$6:D$185,3,FALSE)="","",VLOOKUP(A510,Declarations!B$6:D$185,3,FALSE)))</f>
        <v/>
      </c>
      <c r="F510" s="49" t="str">
        <f>IF(B510="","",IF(ISNA(VLOOKUP(A510,'75m'!F$5:G$302,2,FALSE)),"",VLOOKUP(A510,'75m'!F$5:G$302,2,FALSE)))</f>
        <v/>
      </c>
      <c r="G510" s="49">
        <f>IF(B510="",0,IF(ISNA(_xlfn.XLOOKUP(A510,'75m'!F$5:F$302,'75m'!M$5:M$302)),0,_xlfn.XLOOKUP(A510,'75m'!F$5:F$302,'75m'!M$5:M$302)))</f>
        <v>0</v>
      </c>
      <c r="H510" s="49" t="str">
        <f>IF(B510="","",IF(ISNA(VLOOKUP(A510,'75m'!F$5:K$302,6,FALSE)),"",VLOOKUP(A510,'75m'!F$5:K$302,6,FALSE)))</f>
        <v/>
      </c>
      <c r="I510" s="51">
        <f>IF(B510="",0,IF(ISNA(VLOOKUP(A510,'600m'!F$5:J$302,2,FALSE)),0,VLOOKUP(A510,'600m'!F$5:J$302,2,FALSE)))</f>
        <v>0</v>
      </c>
      <c r="J510" s="49">
        <f>IF(B510="",0,IF(ISNA(_xlfn.XLOOKUP(A510,'600m'!F$5:F$302,'600m'!M$5:M$302)),0,_xlfn.XLOOKUP(A510,'600m'!F$5:F$302,'600m'!M$5:M$302)))</f>
        <v>0</v>
      </c>
      <c r="K510" s="49" t="str">
        <f>IF(B510="","",IF(ISNA(VLOOKUP(A510,'600m'!F$5:K$302,6,FALSE)),"",VLOOKUP(A510,'600m'!F$5:K$302,6,FALSE)))</f>
        <v/>
      </c>
      <c r="L510" s="49" t="str">
        <f>IF(B510="","",IF(ISNA(VLOOKUP(A510,LongJump!F$5:G$302,2,FALSE)),"",VLOOKUP(A510,LongJump!F$5:G$302,2,FALSE)))</f>
        <v/>
      </c>
      <c r="M510" s="49">
        <f>IF(B510="",0,IF(ISNA(_xlfn.XLOOKUP(A510,LongJump!F$5:F$302,LongJump!M$5:M$302)),0,_xlfn.XLOOKUP(A510,LongJump!F$5:F$302,LongJump!M$5:M$302)))</f>
        <v>0</v>
      </c>
      <c r="N510" s="49" t="str">
        <f>IF(B510="","",IF(ISNA(VLOOKUP(A510,LongJump!F$5:K$302,6,FALSE)),0,VLOOKUP(A510,LongJump!F$5:K$302,6,FALSE)))</f>
        <v/>
      </c>
      <c r="O510" s="49" t="str">
        <f>IF(B510="","",IF(ISNA(VLOOKUP(A510,Vortex!F$5:J$302,2,FALSE)),"",VLOOKUP(A510,Vortex!F$5:J$302,2,FALSE)))</f>
        <v/>
      </c>
      <c r="P510" s="49">
        <f>IF(B510="",0,IF(ISNA(_xlfn.XLOOKUP(A510,Vortex!F$5:F$302,Vortex!M$5:M$302)),0,_xlfn.XLOOKUP(A510,Vortex!F$5:F$302,Vortex!M$5:M$302)))</f>
        <v>0</v>
      </c>
      <c r="Q510" s="49">
        <f t="shared" si="42"/>
        <v>0</v>
      </c>
      <c r="R510" s="49" t="str">
        <f t="shared" si="43"/>
        <v/>
      </c>
      <c r="S510" s="49" t="str">
        <f t="shared" si="44"/>
        <v/>
      </c>
      <c r="T510" s="49" t="str">
        <f t="shared" si="45"/>
        <v/>
      </c>
      <c r="U510" s="49" t="str">
        <f t="shared" si="46"/>
        <v/>
      </c>
    </row>
    <row r="511" spans="1:21">
      <c r="A511" s="49" t="str">
        <f>IF(Declarations!B268=0,"",Declarations!B268)</f>
        <v/>
      </c>
      <c r="B511" s="150" t="str">
        <f>IF(ISNA(VLOOKUP(A511,Declarations!B$6:C$185,2,FALSE)),"",IF(VLOOKUP(A511,Declarations!B$6:C$185,2,FALSE)="","",VLOOKUP(A511,Declarations!B$6:C$185,2,FALSE)))</f>
        <v/>
      </c>
      <c r="C511" s="150" t="str">
        <f>IF(ISNA(VLOOKUP(A511,Declarations!B$6:F$185,5,FALSE)),"",IF(VLOOKUP(A511,Declarations!B$6:F$185,5,FALSE)="","",VLOOKUP(A511,Declarations!B$6:F$185,5,FALSE)))</f>
        <v/>
      </c>
      <c r="D511" s="150" t="str">
        <f>IF(ISNA(VLOOKUP(A511,Declarations!B$6:F$185,4,FALSE)),"",IF(VLOOKUP(A511,Declarations!B$6:F$185,4,FALSE)="","",VLOOKUP(A511,Declarations!B$6:F$185,4,FALSE)))</f>
        <v/>
      </c>
      <c r="E511" s="150" t="str">
        <f>IF(ISNA(VLOOKUP(A511,Declarations!B$6:D$185,3,FALSE)),"",IF(VLOOKUP(A511,Declarations!B$6:D$185,3,FALSE)="","",VLOOKUP(A511,Declarations!B$6:D$185,3,FALSE)))</f>
        <v/>
      </c>
      <c r="F511" s="49" t="str">
        <f>IF(B511="","",IF(ISNA(VLOOKUP(A511,'75m'!F$5:G$302,2,FALSE)),"",VLOOKUP(A511,'75m'!F$5:G$302,2,FALSE)))</f>
        <v/>
      </c>
      <c r="G511" s="49">
        <f>IF(B511="",0,IF(ISNA(_xlfn.XLOOKUP(A511,'75m'!F$5:F$302,'75m'!M$5:M$302)),0,_xlfn.XLOOKUP(A511,'75m'!F$5:F$302,'75m'!M$5:M$302)))</f>
        <v>0</v>
      </c>
      <c r="H511" s="49" t="str">
        <f>IF(B511="","",IF(ISNA(VLOOKUP(A511,'75m'!F$5:K$302,6,FALSE)),"",VLOOKUP(A511,'75m'!F$5:K$302,6,FALSE)))</f>
        <v/>
      </c>
      <c r="I511" s="51">
        <f>IF(B511="",0,IF(ISNA(VLOOKUP(A511,'600m'!F$5:J$302,2,FALSE)),0,VLOOKUP(A511,'600m'!F$5:J$302,2,FALSE)))</f>
        <v>0</v>
      </c>
      <c r="J511" s="49">
        <f>IF(B511="",0,IF(ISNA(_xlfn.XLOOKUP(A511,'600m'!F$5:F$302,'600m'!M$5:M$302)),0,_xlfn.XLOOKUP(A511,'600m'!F$5:F$302,'600m'!M$5:M$302)))</f>
        <v>0</v>
      </c>
      <c r="K511" s="49" t="str">
        <f>IF(B511="","",IF(ISNA(VLOOKUP(A511,'600m'!F$5:K$302,6,FALSE)),"",VLOOKUP(A511,'600m'!F$5:K$302,6,FALSE)))</f>
        <v/>
      </c>
      <c r="L511" s="49" t="str">
        <f>IF(B511="","",IF(ISNA(VLOOKUP(A511,LongJump!F$5:G$302,2,FALSE)),"",VLOOKUP(A511,LongJump!F$5:G$302,2,FALSE)))</f>
        <v/>
      </c>
      <c r="M511" s="49">
        <f>IF(B511="",0,IF(ISNA(_xlfn.XLOOKUP(A511,LongJump!F$5:F$302,LongJump!M$5:M$302)),0,_xlfn.XLOOKUP(A511,LongJump!F$5:F$302,LongJump!M$5:M$302)))</f>
        <v>0</v>
      </c>
      <c r="N511" s="49" t="str">
        <f>IF(B511="","",IF(ISNA(VLOOKUP(A511,LongJump!F$5:K$302,6,FALSE)),0,VLOOKUP(A511,LongJump!F$5:K$302,6,FALSE)))</f>
        <v/>
      </c>
      <c r="O511" s="49" t="str">
        <f>IF(B511="","",IF(ISNA(VLOOKUP(A511,Vortex!F$5:J$302,2,FALSE)),"",VLOOKUP(A511,Vortex!F$5:J$302,2,FALSE)))</f>
        <v/>
      </c>
      <c r="P511" s="49">
        <f>IF(B511="",0,IF(ISNA(_xlfn.XLOOKUP(A511,Vortex!F$5:F$302,Vortex!M$5:M$302)),0,_xlfn.XLOOKUP(A511,Vortex!F$5:F$302,Vortex!M$5:M$302)))</f>
        <v>0</v>
      </c>
      <c r="Q511" s="49">
        <f t="shared" si="42"/>
        <v>0</v>
      </c>
      <c r="R511" s="49" t="str">
        <f t="shared" si="43"/>
        <v/>
      </c>
      <c r="S511" s="49" t="str">
        <f t="shared" si="44"/>
        <v/>
      </c>
      <c r="T511" s="49" t="str">
        <f t="shared" si="45"/>
        <v/>
      </c>
      <c r="U511" s="49" t="str">
        <f t="shared" si="46"/>
        <v/>
      </c>
    </row>
    <row r="512" spans="1:21">
      <c r="A512" s="49" t="str">
        <f>IF(Declarations!B269=0,"",Declarations!B269)</f>
        <v/>
      </c>
      <c r="B512" s="150" t="str">
        <f>IF(ISNA(VLOOKUP(A512,Declarations!B$6:C$185,2,FALSE)),"",IF(VLOOKUP(A512,Declarations!B$6:C$185,2,FALSE)="","",VLOOKUP(A512,Declarations!B$6:C$185,2,FALSE)))</f>
        <v/>
      </c>
      <c r="C512" s="150" t="str">
        <f>IF(ISNA(VLOOKUP(A512,Declarations!B$6:F$185,5,FALSE)),"",IF(VLOOKUP(A512,Declarations!B$6:F$185,5,FALSE)="","",VLOOKUP(A512,Declarations!B$6:F$185,5,FALSE)))</f>
        <v/>
      </c>
      <c r="D512" s="150" t="str">
        <f>IF(ISNA(VLOOKUP(A512,Declarations!B$6:F$185,4,FALSE)),"",IF(VLOOKUP(A512,Declarations!B$6:F$185,4,FALSE)="","",VLOOKUP(A512,Declarations!B$6:F$185,4,FALSE)))</f>
        <v/>
      </c>
      <c r="E512" s="150" t="str">
        <f>IF(ISNA(VLOOKUP(A512,Declarations!B$6:D$185,3,FALSE)),"",IF(VLOOKUP(A512,Declarations!B$6:D$185,3,FALSE)="","",VLOOKUP(A512,Declarations!B$6:D$185,3,FALSE)))</f>
        <v/>
      </c>
      <c r="F512" s="49" t="str">
        <f>IF(B512="","",IF(ISNA(VLOOKUP(A512,'75m'!F$5:G$302,2,FALSE)),"",VLOOKUP(A512,'75m'!F$5:G$302,2,FALSE)))</f>
        <v/>
      </c>
      <c r="G512" s="49">
        <f>IF(B512="",0,IF(ISNA(_xlfn.XLOOKUP(A512,'75m'!F$5:F$302,'75m'!M$5:M$302)),0,_xlfn.XLOOKUP(A512,'75m'!F$5:F$302,'75m'!M$5:M$302)))</f>
        <v>0</v>
      </c>
      <c r="H512" s="49" t="str">
        <f>IF(B512="","",IF(ISNA(VLOOKUP(A512,'75m'!F$5:K$302,6,FALSE)),"",VLOOKUP(A512,'75m'!F$5:K$302,6,FALSE)))</f>
        <v/>
      </c>
      <c r="I512" s="51">
        <f>IF(B512="",0,IF(ISNA(VLOOKUP(A512,'600m'!F$5:J$302,2,FALSE)),0,VLOOKUP(A512,'600m'!F$5:J$302,2,FALSE)))</f>
        <v>0</v>
      </c>
      <c r="J512" s="49">
        <f>IF(B512="",0,IF(ISNA(_xlfn.XLOOKUP(A512,'600m'!F$5:F$302,'600m'!M$5:M$302)),0,_xlfn.XLOOKUP(A512,'600m'!F$5:F$302,'600m'!M$5:M$302)))</f>
        <v>0</v>
      </c>
      <c r="K512" s="49" t="str">
        <f>IF(B512="","",IF(ISNA(VLOOKUP(A512,'600m'!F$5:K$302,6,FALSE)),"",VLOOKUP(A512,'600m'!F$5:K$302,6,FALSE)))</f>
        <v/>
      </c>
      <c r="L512" s="49" t="str">
        <f>IF(B512="","",IF(ISNA(VLOOKUP(A512,LongJump!F$5:G$302,2,FALSE)),"",VLOOKUP(A512,LongJump!F$5:G$302,2,FALSE)))</f>
        <v/>
      </c>
      <c r="M512" s="49">
        <f>IF(B512="",0,IF(ISNA(_xlfn.XLOOKUP(A512,LongJump!F$5:F$302,LongJump!M$5:M$302)),0,_xlfn.XLOOKUP(A512,LongJump!F$5:F$302,LongJump!M$5:M$302)))</f>
        <v>0</v>
      </c>
      <c r="N512" s="49" t="str">
        <f>IF(B512="","",IF(ISNA(VLOOKUP(A512,LongJump!F$5:K$302,6,FALSE)),0,VLOOKUP(A512,LongJump!F$5:K$302,6,FALSE)))</f>
        <v/>
      </c>
      <c r="O512" s="49" t="str">
        <f>IF(B512="","",IF(ISNA(VLOOKUP(A512,Vortex!F$5:J$302,2,FALSE)),"",VLOOKUP(A512,Vortex!F$5:J$302,2,FALSE)))</f>
        <v/>
      </c>
      <c r="P512" s="49">
        <f>IF(B512="",0,IF(ISNA(_xlfn.XLOOKUP(A512,Vortex!F$5:F$302,Vortex!M$5:M$302)),0,_xlfn.XLOOKUP(A512,Vortex!F$5:F$302,Vortex!M$5:M$302)))</f>
        <v>0</v>
      </c>
      <c r="Q512" s="49">
        <f t="shared" si="42"/>
        <v>0</v>
      </c>
      <c r="R512" s="49" t="str">
        <f t="shared" si="43"/>
        <v/>
      </c>
      <c r="S512" s="49" t="str">
        <f t="shared" si="44"/>
        <v/>
      </c>
      <c r="T512" s="49" t="str">
        <f t="shared" si="45"/>
        <v/>
      </c>
      <c r="U512" s="49" t="str">
        <f t="shared" si="46"/>
        <v/>
      </c>
    </row>
    <row r="513" spans="1:21">
      <c r="A513" s="49" t="str">
        <f>IF(Declarations!B270=0,"",Declarations!B270)</f>
        <v/>
      </c>
      <c r="B513" s="150" t="str">
        <f>IF(ISNA(VLOOKUP(A513,Declarations!B$6:C$185,2,FALSE)),"",IF(VLOOKUP(A513,Declarations!B$6:C$185,2,FALSE)="","",VLOOKUP(A513,Declarations!B$6:C$185,2,FALSE)))</f>
        <v/>
      </c>
      <c r="C513" s="150" t="str">
        <f>IF(ISNA(VLOOKUP(A513,Declarations!B$6:F$185,5,FALSE)),"",IF(VLOOKUP(A513,Declarations!B$6:F$185,5,FALSE)="","",VLOOKUP(A513,Declarations!B$6:F$185,5,FALSE)))</f>
        <v/>
      </c>
      <c r="D513" s="150" t="str">
        <f>IF(ISNA(VLOOKUP(A513,Declarations!B$6:F$185,4,FALSE)),"",IF(VLOOKUP(A513,Declarations!B$6:F$185,4,FALSE)="","",VLOOKUP(A513,Declarations!B$6:F$185,4,FALSE)))</f>
        <v/>
      </c>
      <c r="E513" s="150" t="str">
        <f>IF(ISNA(VLOOKUP(A513,Declarations!B$6:D$185,3,FALSE)),"",IF(VLOOKUP(A513,Declarations!B$6:D$185,3,FALSE)="","",VLOOKUP(A513,Declarations!B$6:D$185,3,FALSE)))</f>
        <v/>
      </c>
      <c r="F513" s="49" t="str">
        <f>IF(B513="","",IF(ISNA(VLOOKUP(A513,'75m'!F$5:G$302,2,FALSE)),"",VLOOKUP(A513,'75m'!F$5:G$302,2,FALSE)))</f>
        <v/>
      </c>
      <c r="G513" s="49">
        <f>IF(B513="",0,IF(ISNA(_xlfn.XLOOKUP(A513,'75m'!F$5:F$302,'75m'!M$5:M$302)),0,_xlfn.XLOOKUP(A513,'75m'!F$5:F$302,'75m'!M$5:M$302)))</f>
        <v>0</v>
      </c>
      <c r="H513" s="49" t="str">
        <f>IF(B513="","",IF(ISNA(VLOOKUP(A513,'75m'!F$5:K$302,6,FALSE)),"",VLOOKUP(A513,'75m'!F$5:K$302,6,FALSE)))</f>
        <v/>
      </c>
      <c r="I513" s="51">
        <f>IF(B513="",0,IF(ISNA(VLOOKUP(A513,'600m'!F$5:J$302,2,FALSE)),0,VLOOKUP(A513,'600m'!F$5:J$302,2,FALSE)))</f>
        <v>0</v>
      </c>
      <c r="J513" s="49">
        <f>IF(B513="",0,IF(ISNA(_xlfn.XLOOKUP(A513,'600m'!F$5:F$302,'600m'!M$5:M$302)),0,_xlfn.XLOOKUP(A513,'600m'!F$5:F$302,'600m'!M$5:M$302)))</f>
        <v>0</v>
      </c>
      <c r="K513" s="49" t="str">
        <f>IF(B513="","",IF(ISNA(VLOOKUP(A513,'600m'!F$5:K$302,6,FALSE)),"",VLOOKUP(A513,'600m'!F$5:K$302,6,FALSE)))</f>
        <v/>
      </c>
      <c r="L513" s="49" t="str">
        <f>IF(B513="","",IF(ISNA(VLOOKUP(A513,LongJump!F$5:G$302,2,FALSE)),"",VLOOKUP(A513,LongJump!F$5:G$302,2,FALSE)))</f>
        <v/>
      </c>
      <c r="M513" s="49">
        <f>IF(B513="",0,IF(ISNA(_xlfn.XLOOKUP(A513,LongJump!F$5:F$302,LongJump!M$5:M$302)),0,_xlfn.XLOOKUP(A513,LongJump!F$5:F$302,LongJump!M$5:M$302)))</f>
        <v>0</v>
      </c>
      <c r="N513" s="49" t="str">
        <f>IF(B513="","",IF(ISNA(VLOOKUP(A513,LongJump!F$5:K$302,6,FALSE)),0,VLOOKUP(A513,LongJump!F$5:K$302,6,FALSE)))</f>
        <v/>
      </c>
      <c r="O513" s="49" t="str">
        <f>IF(B513="","",IF(ISNA(VLOOKUP(A513,Vortex!F$5:J$302,2,FALSE)),"",VLOOKUP(A513,Vortex!F$5:J$302,2,FALSE)))</f>
        <v/>
      </c>
      <c r="P513" s="49">
        <f>IF(B513="",0,IF(ISNA(_xlfn.XLOOKUP(A513,Vortex!F$5:F$302,Vortex!M$5:M$302)),0,_xlfn.XLOOKUP(A513,Vortex!F$5:F$302,Vortex!M$5:M$302)))</f>
        <v>0</v>
      </c>
      <c r="Q513" s="49">
        <f t="shared" si="42"/>
        <v>0</v>
      </c>
      <c r="R513" s="49" t="str">
        <f t="shared" si="43"/>
        <v/>
      </c>
      <c r="S513" s="49" t="str">
        <f t="shared" si="44"/>
        <v/>
      </c>
      <c r="T513" s="49" t="str">
        <f t="shared" si="45"/>
        <v/>
      </c>
      <c r="U513" s="49" t="str">
        <f t="shared" si="46"/>
        <v/>
      </c>
    </row>
    <row r="514" spans="1:21">
      <c r="A514" s="49" t="str">
        <f>IF(Declarations!B271=0,"",Declarations!B271)</f>
        <v/>
      </c>
      <c r="B514" s="150" t="str">
        <f>IF(ISNA(VLOOKUP(A514,Declarations!B$6:C$185,2,FALSE)),"",IF(VLOOKUP(A514,Declarations!B$6:C$185,2,FALSE)="","",VLOOKUP(A514,Declarations!B$6:C$185,2,FALSE)))</f>
        <v/>
      </c>
      <c r="C514" s="150" t="str">
        <f>IF(ISNA(VLOOKUP(A514,Declarations!B$6:F$185,5,FALSE)),"",IF(VLOOKUP(A514,Declarations!B$6:F$185,5,FALSE)="","",VLOOKUP(A514,Declarations!B$6:F$185,5,FALSE)))</f>
        <v/>
      </c>
      <c r="D514" s="150" t="str">
        <f>IF(ISNA(VLOOKUP(A514,Declarations!B$6:F$185,4,FALSE)),"",IF(VLOOKUP(A514,Declarations!B$6:F$185,4,FALSE)="","",VLOOKUP(A514,Declarations!B$6:F$185,4,FALSE)))</f>
        <v/>
      </c>
      <c r="E514" s="150" t="str">
        <f>IF(ISNA(VLOOKUP(A514,Declarations!B$6:D$185,3,FALSE)),"",IF(VLOOKUP(A514,Declarations!B$6:D$185,3,FALSE)="","",VLOOKUP(A514,Declarations!B$6:D$185,3,FALSE)))</f>
        <v/>
      </c>
      <c r="F514" s="49" t="str">
        <f>IF(B514="","",IF(ISNA(VLOOKUP(A514,'75m'!F$5:G$302,2,FALSE)),"",VLOOKUP(A514,'75m'!F$5:G$302,2,FALSE)))</f>
        <v/>
      </c>
      <c r="G514" s="49">
        <f>IF(B514="",0,IF(ISNA(_xlfn.XLOOKUP(A514,'75m'!F$5:F$302,'75m'!M$5:M$302)),0,_xlfn.XLOOKUP(A514,'75m'!F$5:F$302,'75m'!M$5:M$302)))</f>
        <v>0</v>
      </c>
      <c r="H514" s="49" t="str">
        <f>IF(B514="","",IF(ISNA(VLOOKUP(A514,'75m'!F$5:K$302,6,FALSE)),"",VLOOKUP(A514,'75m'!F$5:K$302,6,FALSE)))</f>
        <v/>
      </c>
      <c r="I514" s="51">
        <f>IF(B514="",0,IF(ISNA(VLOOKUP(A514,'600m'!F$5:J$302,2,FALSE)),0,VLOOKUP(A514,'600m'!F$5:J$302,2,FALSE)))</f>
        <v>0</v>
      </c>
      <c r="J514" s="49">
        <f>IF(B514="",0,IF(ISNA(_xlfn.XLOOKUP(A514,'600m'!F$5:F$302,'600m'!M$5:M$302)),0,_xlfn.XLOOKUP(A514,'600m'!F$5:F$302,'600m'!M$5:M$302)))</f>
        <v>0</v>
      </c>
      <c r="K514" s="49" t="str">
        <f>IF(B514="","",IF(ISNA(VLOOKUP(A514,'600m'!F$5:K$302,6,FALSE)),"",VLOOKUP(A514,'600m'!F$5:K$302,6,FALSE)))</f>
        <v/>
      </c>
      <c r="L514" s="49" t="str">
        <f>IF(B514="","",IF(ISNA(VLOOKUP(A514,LongJump!F$5:G$302,2,FALSE)),"",VLOOKUP(A514,LongJump!F$5:G$302,2,FALSE)))</f>
        <v/>
      </c>
      <c r="M514" s="49">
        <f>IF(B514="",0,IF(ISNA(_xlfn.XLOOKUP(A514,LongJump!F$5:F$302,LongJump!M$5:M$302)),0,_xlfn.XLOOKUP(A514,LongJump!F$5:F$302,LongJump!M$5:M$302)))</f>
        <v>0</v>
      </c>
      <c r="N514" s="49" t="str">
        <f>IF(B514="","",IF(ISNA(VLOOKUP(A514,LongJump!F$5:K$302,6,FALSE)),0,VLOOKUP(A514,LongJump!F$5:K$302,6,FALSE)))</f>
        <v/>
      </c>
      <c r="O514" s="49" t="str">
        <f>IF(B514="","",IF(ISNA(VLOOKUP(A514,Vortex!F$5:J$302,2,FALSE)),"",VLOOKUP(A514,Vortex!F$5:J$302,2,FALSE)))</f>
        <v/>
      </c>
      <c r="P514" s="49">
        <f>IF(B514="",0,IF(ISNA(_xlfn.XLOOKUP(A514,Vortex!F$5:F$302,Vortex!M$5:M$302)),0,_xlfn.XLOOKUP(A514,Vortex!F$5:F$302,Vortex!M$5:M$302)))</f>
        <v>0</v>
      </c>
      <c r="Q514" s="49">
        <f t="shared" si="42"/>
        <v>0</v>
      </c>
      <c r="R514" s="49" t="str">
        <f t="shared" si="43"/>
        <v/>
      </c>
      <c r="S514" s="49" t="str">
        <f t="shared" si="44"/>
        <v/>
      </c>
      <c r="T514" s="49" t="str">
        <f t="shared" si="45"/>
        <v/>
      </c>
      <c r="U514" s="49" t="str">
        <f t="shared" si="46"/>
        <v/>
      </c>
    </row>
    <row r="515" spans="1:21">
      <c r="A515" s="49" t="str">
        <f>IF(Declarations!B272=0,"",Declarations!B272)</f>
        <v/>
      </c>
      <c r="B515" s="150" t="str">
        <f>IF(ISNA(VLOOKUP(A515,Declarations!B$6:C$185,2,FALSE)),"",IF(VLOOKUP(A515,Declarations!B$6:C$185,2,FALSE)="","",VLOOKUP(A515,Declarations!B$6:C$185,2,FALSE)))</f>
        <v/>
      </c>
      <c r="C515" s="150" t="str">
        <f>IF(ISNA(VLOOKUP(A515,Declarations!B$6:F$185,5,FALSE)),"",IF(VLOOKUP(A515,Declarations!B$6:F$185,5,FALSE)="","",VLOOKUP(A515,Declarations!B$6:F$185,5,FALSE)))</f>
        <v/>
      </c>
      <c r="D515" s="150" t="str">
        <f>IF(ISNA(VLOOKUP(A515,Declarations!B$6:F$185,4,FALSE)),"",IF(VLOOKUP(A515,Declarations!B$6:F$185,4,FALSE)="","",VLOOKUP(A515,Declarations!B$6:F$185,4,FALSE)))</f>
        <v/>
      </c>
      <c r="E515" s="150" t="str">
        <f>IF(ISNA(VLOOKUP(A515,Declarations!B$6:D$185,3,FALSE)),"",IF(VLOOKUP(A515,Declarations!B$6:D$185,3,FALSE)="","",VLOOKUP(A515,Declarations!B$6:D$185,3,FALSE)))</f>
        <v/>
      </c>
      <c r="F515" s="49" t="str">
        <f>IF(B515="","",IF(ISNA(VLOOKUP(A515,'75m'!F$5:G$302,2,FALSE)),"",VLOOKUP(A515,'75m'!F$5:G$302,2,FALSE)))</f>
        <v/>
      </c>
      <c r="G515" s="49">
        <f>IF(B515="",0,IF(ISNA(_xlfn.XLOOKUP(A515,'75m'!F$5:F$302,'75m'!M$5:M$302)),0,_xlfn.XLOOKUP(A515,'75m'!F$5:F$302,'75m'!M$5:M$302)))</f>
        <v>0</v>
      </c>
      <c r="H515" s="49" t="str">
        <f>IF(B515="","",IF(ISNA(VLOOKUP(A515,'75m'!F$5:K$302,6,FALSE)),"",VLOOKUP(A515,'75m'!F$5:K$302,6,FALSE)))</f>
        <v/>
      </c>
      <c r="I515" s="51">
        <f>IF(B515="",0,IF(ISNA(VLOOKUP(A515,'600m'!F$5:J$302,2,FALSE)),0,VLOOKUP(A515,'600m'!F$5:J$302,2,FALSE)))</f>
        <v>0</v>
      </c>
      <c r="J515" s="49">
        <f>IF(B515="",0,IF(ISNA(_xlfn.XLOOKUP(A515,'600m'!F$5:F$302,'600m'!M$5:M$302)),0,_xlfn.XLOOKUP(A515,'600m'!F$5:F$302,'600m'!M$5:M$302)))</f>
        <v>0</v>
      </c>
      <c r="K515" s="49" t="str">
        <f>IF(B515="","",IF(ISNA(VLOOKUP(A515,'600m'!F$5:K$302,6,FALSE)),"",VLOOKUP(A515,'600m'!F$5:K$302,6,FALSE)))</f>
        <v/>
      </c>
      <c r="L515" s="49" t="str">
        <f>IF(B515="","",IF(ISNA(VLOOKUP(A515,LongJump!F$5:G$302,2,FALSE)),"",VLOOKUP(A515,LongJump!F$5:G$302,2,FALSE)))</f>
        <v/>
      </c>
      <c r="M515" s="49">
        <f>IF(B515="",0,IF(ISNA(_xlfn.XLOOKUP(A515,LongJump!F$5:F$302,LongJump!M$5:M$302)),0,_xlfn.XLOOKUP(A515,LongJump!F$5:F$302,LongJump!M$5:M$302)))</f>
        <v>0</v>
      </c>
      <c r="N515" s="49" t="str">
        <f>IF(B515="","",IF(ISNA(VLOOKUP(A515,LongJump!F$5:K$302,6,FALSE)),0,VLOOKUP(A515,LongJump!F$5:K$302,6,FALSE)))</f>
        <v/>
      </c>
      <c r="O515" s="49" t="str">
        <f>IF(B515="","",IF(ISNA(VLOOKUP(A515,Vortex!F$5:J$302,2,FALSE)),"",VLOOKUP(A515,Vortex!F$5:J$302,2,FALSE)))</f>
        <v/>
      </c>
      <c r="P515" s="49">
        <f>IF(B515="",0,IF(ISNA(_xlfn.XLOOKUP(A515,Vortex!F$5:F$302,Vortex!M$5:M$302)),0,_xlfn.XLOOKUP(A515,Vortex!F$5:F$302,Vortex!M$5:M$302)))</f>
        <v>0</v>
      </c>
      <c r="Q515" s="49">
        <f t="shared" si="42"/>
        <v>0</v>
      </c>
      <c r="R515" s="49" t="str">
        <f t="shared" si="43"/>
        <v/>
      </c>
      <c r="S515" s="49" t="str">
        <f t="shared" si="44"/>
        <v/>
      </c>
      <c r="T515" s="49" t="str">
        <f t="shared" si="45"/>
        <v/>
      </c>
      <c r="U515" s="49" t="str">
        <f t="shared" si="46"/>
        <v/>
      </c>
    </row>
    <row r="516" spans="1:21">
      <c r="A516" s="49" t="str">
        <f>IF(Declarations!B273=0,"",Declarations!B273)</f>
        <v/>
      </c>
      <c r="B516" s="150" t="str">
        <f>IF(ISNA(VLOOKUP(A516,Declarations!B$6:C$185,2,FALSE)),"",IF(VLOOKUP(A516,Declarations!B$6:C$185,2,FALSE)="","",VLOOKUP(A516,Declarations!B$6:C$185,2,FALSE)))</f>
        <v/>
      </c>
      <c r="C516" s="150" t="str">
        <f>IF(ISNA(VLOOKUP(A516,Declarations!B$6:F$185,5,FALSE)),"",IF(VLOOKUP(A516,Declarations!B$6:F$185,5,FALSE)="","",VLOOKUP(A516,Declarations!B$6:F$185,5,FALSE)))</f>
        <v/>
      </c>
      <c r="D516" s="150" t="str">
        <f>IF(ISNA(VLOOKUP(A516,Declarations!B$6:F$185,4,FALSE)),"",IF(VLOOKUP(A516,Declarations!B$6:F$185,4,FALSE)="","",VLOOKUP(A516,Declarations!B$6:F$185,4,FALSE)))</f>
        <v/>
      </c>
      <c r="E516" s="150" t="str">
        <f>IF(ISNA(VLOOKUP(A516,Declarations!B$6:D$185,3,FALSE)),"",IF(VLOOKUP(A516,Declarations!B$6:D$185,3,FALSE)="","",VLOOKUP(A516,Declarations!B$6:D$185,3,FALSE)))</f>
        <v/>
      </c>
      <c r="F516" s="49" t="str">
        <f>IF(B516="","",IF(ISNA(VLOOKUP(A516,'75m'!F$5:G$302,2,FALSE)),"",VLOOKUP(A516,'75m'!F$5:G$302,2,FALSE)))</f>
        <v/>
      </c>
      <c r="G516" s="49">
        <f>IF(B516="",0,IF(ISNA(_xlfn.XLOOKUP(A516,'75m'!F$5:F$302,'75m'!M$5:M$302)),0,_xlfn.XLOOKUP(A516,'75m'!F$5:F$302,'75m'!M$5:M$302)))</f>
        <v>0</v>
      </c>
      <c r="H516" s="49" t="str">
        <f>IF(B516="","",IF(ISNA(VLOOKUP(A516,'75m'!F$5:K$302,6,FALSE)),"",VLOOKUP(A516,'75m'!F$5:K$302,6,FALSE)))</f>
        <v/>
      </c>
      <c r="I516" s="51">
        <f>IF(B516="",0,IF(ISNA(VLOOKUP(A516,'600m'!F$5:J$302,2,FALSE)),0,VLOOKUP(A516,'600m'!F$5:J$302,2,FALSE)))</f>
        <v>0</v>
      </c>
      <c r="J516" s="49">
        <f>IF(B516="",0,IF(ISNA(_xlfn.XLOOKUP(A516,'600m'!F$5:F$302,'600m'!M$5:M$302)),0,_xlfn.XLOOKUP(A516,'600m'!F$5:F$302,'600m'!M$5:M$302)))</f>
        <v>0</v>
      </c>
      <c r="K516" s="49" t="str">
        <f>IF(B516="","",IF(ISNA(VLOOKUP(A516,'600m'!F$5:K$302,6,FALSE)),"",VLOOKUP(A516,'600m'!F$5:K$302,6,FALSE)))</f>
        <v/>
      </c>
      <c r="L516" s="49" t="str">
        <f>IF(B516="","",IF(ISNA(VLOOKUP(A516,LongJump!F$5:G$302,2,FALSE)),"",VLOOKUP(A516,LongJump!F$5:G$302,2,FALSE)))</f>
        <v/>
      </c>
      <c r="M516" s="49">
        <f>IF(B516="",0,IF(ISNA(_xlfn.XLOOKUP(A516,LongJump!F$5:F$302,LongJump!M$5:M$302)),0,_xlfn.XLOOKUP(A516,LongJump!F$5:F$302,LongJump!M$5:M$302)))</f>
        <v>0</v>
      </c>
      <c r="N516" s="49" t="str">
        <f>IF(B516="","",IF(ISNA(VLOOKUP(A516,LongJump!F$5:K$302,6,FALSE)),0,VLOOKUP(A516,LongJump!F$5:K$302,6,FALSE)))</f>
        <v/>
      </c>
      <c r="O516" s="49" t="str">
        <f>IF(B516="","",IF(ISNA(VLOOKUP(A516,Vortex!F$5:J$302,2,FALSE)),"",VLOOKUP(A516,Vortex!F$5:J$302,2,FALSE)))</f>
        <v/>
      </c>
      <c r="P516" s="49">
        <f>IF(B516="",0,IF(ISNA(_xlfn.XLOOKUP(A516,Vortex!F$5:F$302,Vortex!M$5:M$302)),0,_xlfn.XLOOKUP(A516,Vortex!F$5:F$302,Vortex!M$5:M$302)))</f>
        <v>0</v>
      </c>
      <c r="Q516" s="49">
        <f t="shared" si="42"/>
        <v>0</v>
      </c>
      <c r="R516" s="49" t="str">
        <f t="shared" si="43"/>
        <v/>
      </c>
      <c r="S516" s="49" t="str">
        <f t="shared" si="44"/>
        <v/>
      </c>
      <c r="T516" s="49" t="str">
        <f t="shared" si="45"/>
        <v/>
      </c>
      <c r="U516" s="49" t="str">
        <f t="shared" si="46"/>
        <v/>
      </c>
    </row>
    <row r="517" spans="1:21">
      <c r="A517" s="49" t="str">
        <f>IF(Declarations!B274=0,"",Declarations!B274)</f>
        <v/>
      </c>
      <c r="B517" s="150" t="str">
        <f>IF(ISNA(VLOOKUP(A517,Declarations!B$6:C$185,2,FALSE)),"",IF(VLOOKUP(A517,Declarations!B$6:C$185,2,FALSE)="","",VLOOKUP(A517,Declarations!B$6:C$185,2,FALSE)))</f>
        <v/>
      </c>
      <c r="C517" s="150" t="str">
        <f>IF(ISNA(VLOOKUP(A517,Declarations!B$6:F$185,5,FALSE)),"",IF(VLOOKUP(A517,Declarations!B$6:F$185,5,FALSE)="","",VLOOKUP(A517,Declarations!B$6:F$185,5,FALSE)))</f>
        <v/>
      </c>
      <c r="D517" s="150" t="str">
        <f>IF(ISNA(VLOOKUP(A517,Declarations!B$6:F$185,4,FALSE)),"",IF(VLOOKUP(A517,Declarations!B$6:F$185,4,FALSE)="","",VLOOKUP(A517,Declarations!B$6:F$185,4,FALSE)))</f>
        <v/>
      </c>
      <c r="E517" s="150" t="str">
        <f>IF(ISNA(VLOOKUP(A517,Declarations!B$6:D$185,3,FALSE)),"",IF(VLOOKUP(A517,Declarations!B$6:D$185,3,FALSE)="","",VLOOKUP(A517,Declarations!B$6:D$185,3,FALSE)))</f>
        <v/>
      </c>
      <c r="F517" s="49" t="str">
        <f>IF(B517="","",IF(ISNA(VLOOKUP(A517,'75m'!F$5:G$302,2,FALSE)),"",VLOOKUP(A517,'75m'!F$5:G$302,2,FALSE)))</f>
        <v/>
      </c>
      <c r="G517" s="49">
        <f>IF(B517="",0,IF(ISNA(_xlfn.XLOOKUP(A517,'75m'!F$5:F$302,'75m'!M$5:M$302)),0,_xlfn.XLOOKUP(A517,'75m'!F$5:F$302,'75m'!M$5:M$302)))</f>
        <v>0</v>
      </c>
      <c r="H517" s="49" t="str">
        <f>IF(B517="","",IF(ISNA(VLOOKUP(A517,'75m'!F$5:K$302,6,FALSE)),"",VLOOKUP(A517,'75m'!F$5:K$302,6,FALSE)))</f>
        <v/>
      </c>
      <c r="I517" s="51">
        <f>IF(B517="",0,IF(ISNA(VLOOKUP(A517,'600m'!F$5:J$302,2,FALSE)),0,VLOOKUP(A517,'600m'!F$5:J$302,2,FALSE)))</f>
        <v>0</v>
      </c>
      <c r="J517" s="49">
        <f>IF(B517="",0,IF(ISNA(_xlfn.XLOOKUP(A517,'600m'!F$5:F$302,'600m'!M$5:M$302)),0,_xlfn.XLOOKUP(A517,'600m'!F$5:F$302,'600m'!M$5:M$302)))</f>
        <v>0</v>
      </c>
      <c r="K517" s="49" t="str">
        <f>IF(B517="","",IF(ISNA(VLOOKUP(A517,'600m'!F$5:K$302,6,FALSE)),"",VLOOKUP(A517,'600m'!F$5:K$302,6,FALSE)))</f>
        <v/>
      </c>
      <c r="L517" s="49" t="str">
        <f>IF(B517="","",IF(ISNA(VLOOKUP(A517,LongJump!F$5:G$302,2,FALSE)),"",VLOOKUP(A517,LongJump!F$5:G$302,2,FALSE)))</f>
        <v/>
      </c>
      <c r="M517" s="49">
        <f>IF(B517="",0,IF(ISNA(_xlfn.XLOOKUP(A517,LongJump!F$5:F$302,LongJump!M$5:M$302)),0,_xlfn.XLOOKUP(A517,LongJump!F$5:F$302,LongJump!M$5:M$302)))</f>
        <v>0</v>
      </c>
      <c r="N517" s="49" t="str">
        <f>IF(B517="","",IF(ISNA(VLOOKUP(A517,LongJump!F$5:K$302,6,FALSE)),0,VLOOKUP(A517,LongJump!F$5:K$302,6,FALSE)))</f>
        <v/>
      </c>
      <c r="O517" s="49" t="str">
        <f>IF(B517="","",IF(ISNA(VLOOKUP(A517,Vortex!F$5:J$302,2,FALSE)),"",VLOOKUP(A517,Vortex!F$5:J$302,2,FALSE)))</f>
        <v/>
      </c>
      <c r="P517" s="49">
        <f>IF(B517="",0,IF(ISNA(_xlfn.XLOOKUP(A517,Vortex!F$5:F$302,Vortex!M$5:M$302)),0,_xlfn.XLOOKUP(A517,Vortex!F$5:F$302,Vortex!M$5:M$302)))</f>
        <v>0</v>
      </c>
      <c r="Q517" s="49">
        <f t="shared" si="42"/>
        <v>0</v>
      </c>
      <c r="R517" s="49" t="str">
        <f t="shared" si="43"/>
        <v/>
      </c>
      <c r="S517" s="49" t="str">
        <f t="shared" si="44"/>
        <v/>
      </c>
      <c r="T517" s="49" t="str">
        <f t="shared" si="45"/>
        <v/>
      </c>
      <c r="U517" s="49" t="str">
        <f t="shared" si="46"/>
        <v/>
      </c>
    </row>
    <row r="518" spans="1:21">
      <c r="A518" s="49" t="str">
        <f>IF(Declarations!B275=0,"",Declarations!B275)</f>
        <v/>
      </c>
      <c r="B518" s="150" t="str">
        <f>IF(ISNA(VLOOKUP(A518,Declarations!B$6:C$185,2,FALSE)),"",IF(VLOOKUP(A518,Declarations!B$6:C$185,2,FALSE)="","",VLOOKUP(A518,Declarations!B$6:C$185,2,FALSE)))</f>
        <v/>
      </c>
      <c r="C518" s="150" t="str">
        <f>IF(ISNA(VLOOKUP(A518,Declarations!B$6:F$185,5,FALSE)),"",IF(VLOOKUP(A518,Declarations!B$6:F$185,5,FALSE)="","",VLOOKUP(A518,Declarations!B$6:F$185,5,FALSE)))</f>
        <v/>
      </c>
      <c r="D518" s="150" t="str">
        <f>IF(ISNA(VLOOKUP(A518,Declarations!B$6:F$185,4,FALSE)),"",IF(VLOOKUP(A518,Declarations!B$6:F$185,4,FALSE)="","",VLOOKUP(A518,Declarations!B$6:F$185,4,FALSE)))</f>
        <v/>
      </c>
      <c r="E518" s="150" t="str">
        <f>IF(ISNA(VLOOKUP(A518,Declarations!B$6:D$185,3,FALSE)),"",IF(VLOOKUP(A518,Declarations!B$6:D$185,3,FALSE)="","",VLOOKUP(A518,Declarations!B$6:D$185,3,FALSE)))</f>
        <v/>
      </c>
      <c r="F518" s="49" t="str">
        <f>IF(B518="","",IF(ISNA(VLOOKUP(A518,'75m'!F$5:G$302,2,FALSE)),"",VLOOKUP(A518,'75m'!F$5:G$302,2,FALSE)))</f>
        <v/>
      </c>
      <c r="G518" s="49">
        <f>IF(B518="",0,IF(ISNA(_xlfn.XLOOKUP(A518,'75m'!F$5:F$302,'75m'!M$5:M$302)),0,_xlfn.XLOOKUP(A518,'75m'!F$5:F$302,'75m'!M$5:M$302)))</f>
        <v>0</v>
      </c>
      <c r="H518" s="49" t="str">
        <f>IF(B518="","",IF(ISNA(VLOOKUP(A518,'75m'!F$5:K$302,6,FALSE)),"",VLOOKUP(A518,'75m'!F$5:K$302,6,FALSE)))</f>
        <v/>
      </c>
      <c r="I518" s="51">
        <f>IF(B518="",0,IF(ISNA(VLOOKUP(A518,'600m'!F$5:J$302,2,FALSE)),0,VLOOKUP(A518,'600m'!F$5:J$302,2,FALSE)))</f>
        <v>0</v>
      </c>
      <c r="J518" s="49">
        <f>IF(B518="",0,IF(ISNA(_xlfn.XLOOKUP(A518,'600m'!F$5:F$302,'600m'!M$5:M$302)),0,_xlfn.XLOOKUP(A518,'600m'!F$5:F$302,'600m'!M$5:M$302)))</f>
        <v>0</v>
      </c>
      <c r="K518" s="49" t="str">
        <f>IF(B518="","",IF(ISNA(VLOOKUP(A518,'600m'!F$5:K$302,6,FALSE)),"",VLOOKUP(A518,'600m'!F$5:K$302,6,FALSE)))</f>
        <v/>
      </c>
      <c r="L518" s="49" t="str">
        <f>IF(B518="","",IF(ISNA(VLOOKUP(A518,LongJump!F$5:G$302,2,FALSE)),"",VLOOKUP(A518,LongJump!F$5:G$302,2,FALSE)))</f>
        <v/>
      </c>
      <c r="M518" s="49">
        <f>IF(B518="",0,IF(ISNA(_xlfn.XLOOKUP(A518,LongJump!F$5:F$302,LongJump!M$5:M$302)),0,_xlfn.XLOOKUP(A518,LongJump!F$5:F$302,LongJump!M$5:M$302)))</f>
        <v>0</v>
      </c>
      <c r="N518" s="49" t="str">
        <f>IF(B518="","",IF(ISNA(VLOOKUP(A518,LongJump!F$5:K$302,6,FALSE)),0,VLOOKUP(A518,LongJump!F$5:K$302,6,FALSE)))</f>
        <v/>
      </c>
      <c r="O518" s="49" t="str">
        <f>IF(B518="","",IF(ISNA(VLOOKUP(A518,Vortex!F$5:J$302,2,FALSE)),"",VLOOKUP(A518,Vortex!F$5:J$302,2,FALSE)))</f>
        <v/>
      </c>
      <c r="P518" s="49">
        <f>IF(B518="",0,IF(ISNA(_xlfn.XLOOKUP(A518,Vortex!F$5:F$302,Vortex!M$5:M$302)),0,_xlfn.XLOOKUP(A518,Vortex!F$5:F$302,Vortex!M$5:M$302)))</f>
        <v>0</v>
      </c>
      <c r="Q518" s="49">
        <f t="shared" si="42"/>
        <v>0</v>
      </c>
      <c r="R518" s="49" t="str">
        <f t="shared" si="43"/>
        <v/>
      </c>
      <c r="S518" s="49" t="str">
        <f t="shared" si="44"/>
        <v/>
      </c>
      <c r="T518" s="49" t="str">
        <f t="shared" si="45"/>
        <v/>
      </c>
      <c r="U518" s="49" t="str">
        <f t="shared" si="46"/>
        <v/>
      </c>
    </row>
    <row r="519" spans="1:21">
      <c r="A519" s="49" t="str">
        <f>IF(Declarations!B276=0,"",Declarations!B276)</f>
        <v/>
      </c>
      <c r="B519" s="150" t="str">
        <f>IF(ISNA(VLOOKUP(A519,Declarations!B$6:C$185,2,FALSE)),"",IF(VLOOKUP(A519,Declarations!B$6:C$185,2,FALSE)="","",VLOOKUP(A519,Declarations!B$6:C$185,2,FALSE)))</f>
        <v/>
      </c>
      <c r="C519" s="150" t="str">
        <f>IF(ISNA(VLOOKUP(A519,Declarations!B$6:F$185,5,FALSE)),"",IF(VLOOKUP(A519,Declarations!B$6:F$185,5,FALSE)="","",VLOOKUP(A519,Declarations!B$6:F$185,5,FALSE)))</f>
        <v/>
      </c>
      <c r="D519" s="150" t="str">
        <f>IF(ISNA(VLOOKUP(A519,Declarations!B$6:F$185,4,FALSE)),"",IF(VLOOKUP(A519,Declarations!B$6:F$185,4,FALSE)="","",VLOOKUP(A519,Declarations!B$6:F$185,4,FALSE)))</f>
        <v/>
      </c>
      <c r="E519" s="150" t="str">
        <f>IF(ISNA(VLOOKUP(A519,Declarations!B$6:D$185,3,FALSE)),"",IF(VLOOKUP(A519,Declarations!B$6:D$185,3,FALSE)="","",VLOOKUP(A519,Declarations!B$6:D$185,3,FALSE)))</f>
        <v/>
      </c>
      <c r="F519" s="49" t="str">
        <f>IF(B519="","",IF(ISNA(VLOOKUP(A519,'75m'!F$5:G$302,2,FALSE)),"",VLOOKUP(A519,'75m'!F$5:G$302,2,FALSE)))</f>
        <v/>
      </c>
      <c r="G519" s="49">
        <f>IF(B519="",0,IF(ISNA(_xlfn.XLOOKUP(A519,'75m'!F$5:F$302,'75m'!M$5:M$302)),0,_xlfn.XLOOKUP(A519,'75m'!F$5:F$302,'75m'!M$5:M$302)))</f>
        <v>0</v>
      </c>
      <c r="H519" s="49" t="str">
        <f>IF(B519="","",IF(ISNA(VLOOKUP(A519,'75m'!F$5:K$302,6,FALSE)),"",VLOOKUP(A519,'75m'!F$5:K$302,6,FALSE)))</f>
        <v/>
      </c>
      <c r="I519" s="51">
        <f>IF(B519="",0,IF(ISNA(VLOOKUP(A519,'600m'!F$5:J$302,2,FALSE)),0,VLOOKUP(A519,'600m'!F$5:J$302,2,FALSE)))</f>
        <v>0</v>
      </c>
      <c r="J519" s="49">
        <f>IF(B519="",0,IF(ISNA(_xlfn.XLOOKUP(A519,'600m'!F$5:F$302,'600m'!M$5:M$302)),0,_xlfn.XLOOKUP(A519,'600m'!F$5:F$302,'600m'!M$5:M$302)))</f>
        <v>0</v>
      </c>
      <c r="K519" s="49" t="str">
        <f>IF(B519="","",IF(ISNA(VLOOKUP(A519,'600m'!F$5:K$302,6,FALSE)),"",VLOOKUP(A519,'600m'!F$5:K$302,6,FALSE)))</f>
        <v/>
      </c>
      <c r="L519" s="49" t="str">
        <f>IF(B519="","",IF(ISNA(VLOOKUP(A519,LongJump!F$5:G$302,2,FALSE)),"",VLOOKUP(A519,LongJump!F$5:G$302,2,FALSE)))</f>
        <v/>
      </c>
      <c r="M519" s="49">
        <f>IF(B519="",0,IF(ISNA(_xlfn.XLOOKUP(A519,LongJump!F$5:F$302,LongJump!M$5:M$302)),0,_xlfn.XLOOKUP(A519,LongJump!F$5:F$302,LongJump!M$5:M$302)))</f>
        <v>0</v>
      </c>
      <c r="N519" s="49" t="str">
        <f>IF(B519="","",IF(ISNA(VLOOKUP(A519,LongJump!F$5:K$302,6,FALSE)),0,VLOOKUP(A519,LongJump!F$5:K$302,6,FALSE)))</f>
        <v/>
      </c>
      <c r="O519" s="49" t="str">
        <f>IF(B519="","",IF(ISNA(VLOOKUP(A519,Vortex!F$5:J$302,2,FALSE)),"",VLOOKUP(A519,Vortex!F$5:J$302,2,FALSE)))</f>
        <v/>
      </c>
      <c r="P519" s="49">
        <f>IF(B519="",0,IF(ISNA(_xlfn.XLOOKUP(A519,Vortex!F$5:F$302,Vortex!M$5:M$302)),0,_xlfn.XLOOKUP(A519,Vortex!F$5:F$302,Vortex!M$5:M$302)))</f>
        <v>0</v>
      </c>
      <c r="Q519" s="49">
        <f t="shared" si="42"/>
        <v>0</v>
      </c>
      <c r="R519" s="49" t="str">
        <f t="shared" si="43"/>
        <v/>
      </c>
      <c r="S519" s="49" t="str">
        <f t="shared" si="44"/>
        <v/>
      </c>
      <c r="T519" s="49" t="str">
        <f t="shared" si="45"/>
        <v/>
      </c>
      <c r="U519" s="49" t="str">
        <f t="shared" si="46"/>
        <v/>
      </c>
    </row>
    <row r="520" spans="1:21">
      <c r="A520" s="49" t="str">
        <f>IF(Declarations!B277=0,"",Declarations!B277)</f>
        <v/>
      </c>
      <c r="B520" s="150" t="str">
        <f>IF(ISNA(VLOOKUP(A520,Declarations!B$6:C$185,2,FALSE)),"",IF(VLOOKUP(A520,Declarations!B$6:C$185,2,FALSE)="","",VLOOKUP(A520,Declarations!B$6:C$185,2,FALSE)))</f>
        <v/>
      </c>
      <c r="C520" s="150" t="str">
        <f>IF(ISNA(VLOOKUP(A520,Declarations!B$6:F$185,5,FALSE)),"",IF(VLOOKUP(A520,Declarations!B$6:F$185,5,FALSE)="","",VLOOKUP(A520,Declarations!B$6:F$185,5,FALSE)))</f>
        <v/>
      </c>
      <c r="D520" s="150" t="str">
        <f>IF(ISNA(VLOOKUP(A520,Declarations!B$6:F$185,4,FALSE)),"",IF(VLOOKUP(A520,Declarations!B$6:F$185,4,FALSE)="","",VLOOKUP(A520,Declarations!B$6:F$185,4,FALSE)))</f>
        <v/>
      </c>
      <c r="E520" s="150" t="str">
        <f>IF(ISNA(VLOOKUP(A520,Declarations!B$6:D$185,3,FALSE)),"",IF(VLOOKUP(A520,Declarations!B$6:D$185,3,FALSE)="","",VLOOKUP(A520,Declarations!B$6:D$185,3,FALSE)))</f>
        <v/>
      </c>
      <c r="F520" s="49" t="str">
        <f>IF(B520="","",IF(ISNA(VLOOKUP(A520,'75m'!F$5:G$302,2,FALSE)),"",VLOOKUP(A520,'75m'!F$5:G$302,2,FALSE)))</f>
        <v/>
      </c>
      <c r="G520" s="49">
        <f>IF(B520="",0,IF(ISNA(_xlfn.XLOOKUP(A520,'75m'!F$5:F$302,'75m'!M$5:M$302)),0,_xlfn.XLOOKUP(A520,'75m'!F$5:F$302,'75m'!M$5:M$302)))</f>
        <v>0</v>
      </c>
      <c r="H520" s="49" t="str">
        <f>IF(B520="","",IF(ISNA(VLOOKUP(A520,'75m'!F$5:K$302,6,FALSE)),"",VLOOKUP(A520,'75m'!F$5:K$302,6,FALSE)))</f>
        <v/>
      </c>
      <c r="I520" s="51">
        <f>IF(B520="",0,IF(ISNA(VLOOKUP(A520,'600m'!F$5:J$302,2,FALSE)),0,VLOOKUP(A520,'600m'!F$5:J$302,2,FALSE)))</f>
        <v>0</v>
      </c>
      <c r="J520" s="49">
        <f>IF(B520="",0,IF(ISNA(_xlfn.XLOOKUP(A520,'600m'!F$5:F$302,'600m'!M$5:M$302)),0,_xlfn.XLOOKUP(A520,'600m'!F$5:F$302,'600m'!M$5:M$302)))</f>
        <v>0</v>
      </c>
      <c r="K520" s="49" t="str">
        <f>IF(B520="","",IF(ISNA(VLOOKUP(A520,'600m'!F$5:K$302,6,FALSE)),"",VLOOKUP(A520,'600m'!F$5:K$302,6,FALSE)))</f>
        <v/>
      </c>
      <c r="L520" s="49" t="str">
        <f>IF(B520="","",IF(ISNA(VLOOKUP(A520,LongJump!F$5:G$302,2,FALSE)),"",VLOOKUP(A520,LongJump!F$5:G$302,2,FALSE)))</f>
        <v/>
      </c>
      <c r="M520" s="49">
        <f>IF(B520="",0,IF(ISNA(_xlfn.XLOOKUP(A520,LongJump!F$5:F$302,LongJump!M$5:M$302)),0,_xlfn.XLOOKUP(A520,LongJump!F$5:F$302,LongJump!M$5:M$302)))</f>
        <v>0</v>
      </c>
      <c r="N520" s="49" t="str">
        <f>IF(B520="","",IF(ISNA(VLOOKUP(A520,LongJump!F$5:K$302,6,FALSE)),0,VLOOKUP(A520,LongJump!F$5:K$302,6,FALSE)))</f>
        <v/>
      </c>
      <c r="O520" s="49" t="str">
        <f>IF(B520="","",IF(ISNA(VLOOKUP(A520,Vortex!F$5:J$302,2,FALSE)),"",VLOOKUP(A520,Vortex!F$5:J$302,2,FALSE)))</f>
        <v/>
      </c>
      <c r="P520" s="49">
        <f>IF(B520="",0,IF(ISNA(_xlfn.XLOOKUP(A520,Vortex!F$5:F$302,Vortex!M$5:M$302)),0,_xlfn.XLOOKUP(A520,Vortex!F$5:F$302,Vortex!M$5:M$302)))</f>
        <v>0</v>
      </c>
      <c r="Q520" s="49">
        <f t="shared" si="42"/>
        <v>0</v>
      </c>
      <c r="R520" s="49" t="str">
        <f t="shared" si="43"/>
        <v/>
      </c>
      <c r="S520" s="49" t="str">
        <f t="shared" si="44"/>
        <v/>
      </c>
      <c r="T520" s="49" t="str">
        <f t="shared" si="45"/>
        <v/>
      </c>
      <c r="U520" s="49" t="str">
        <f t="shared" si="46"/>
        <v/>
      </c>
    </row>
    <row r="521" spans="1:21">
      <c r="A521" s="49" t="str">
        <f>IF(Declarations!B278=0,"",Declarations!B278)</f>
        <v/>
      </c>
      <c r="B521" s="150" t="str">
        <f>IF(ISNA(VLOOKUP(A521,Declarations!B$6:C$185,2,FALSE)),"",IF(VLOOKUP(A521,Declarations!B$6:C$185,2,FALSE)="","",VLOOKUP(A521,Declarations!B$6:C$185,2,FALSE)))</f>
        <v/>
      </c>
      <c r="C521" s="150" t="str">
        <f>IF(ISNA(VLOOKUP(A521,Declarations!B$6:F$185,5,FALSE)),"",IF(VLOOKUP(A521,Declarations!B$6:F$185,5,FALSE)="","",VLOOKUP(A521,Declarations!B$6:F$185,5,FALSE)))</f>
        <v/>
      </c>
      <c r="D521" s="150" t="str">
        <f>IF(ISNA(VLOOKUP(A521,Declarations!B$6:F$185,4,FALSE)),"",IF(VLOOKUP(A521,Declarations!B$6:F$185,4,FALSE)="","",VLOOKUP(A521,Declarations!B$6:F$185,4,FALSE)))</f>
        <v/>
      </c>
      <c r="E521" s="150" t="str">
        <f>IF(ISNA(VLOOKUP(A521,Declarations!B$6:D$185,3,FALSE)),"",IF(VLOOKUP(A521,Declarations!B$6:D$185,3,FALSE)="","",VLOOKUP(A521,Declarations!B$6:D$185,3,FALSE)))</f>
        <v/>
      </c>
      <c r="F521" s="49" t="str">
        <f>IF(B521="","",IF(ISNA(VLOOKUP(A521,'75m'!F$5:G$302,2,FALSE)),"",VLOOKUP(A521,'75m'!F$5:G$302,2,FALSE)))</f>
        <v/>
      </c>
      <c r="G521" s="49">
        <f>IF(B521="",0,IF(ISNA(_xlfn.XLOOKUP(A521,'75m'!F$5:F$302,'75m'!M$5:M$302)),0,_xlfn.XLOOKUP(A521,'75m'!F$5:F$302,'75m'!M$5:M$302)))</f>
        <v>0</v>
      </c>
      <c r="H521" s="49" t="str">
        <f>IF(B521="","",IF(ISNA(VLOOKUP(A521,'75m'!F$5:K$302,6,FALSE)),"",VLOOKUP(A521,'75m'!F$5:K$302,6,FALSE)))</f>
        <v/>
      </c>
      <c r="I521" s="51">
        <f>IF(B521="",0,IF(ISNA(VLOOKUP(A521,'600m'!F$5:J$302,2,FALSE)),0,VLOOKUP(A521,'600m'!F$5:J$302,2,FALSE)))</f>
        <v>0</v>
      </c>
      <c r="J521" s="49">
        <f>IF(B521="",0,IF(ISNA(_xlfn.XLOOKUP(A521,'600m'!F$5:F$302,'600m'!M$5:M$302)),0,_xlfn.XLOOKUP(A521,'600m'!F$5:F$302,'600m'!M$5:M$302)))</f>
        <v>0</v>
      </c>
      <c r="K521" s="49" t="str">
        <f>IF(B521="","",IF(ISNA(VLOOKUP(A521,'600m'!F$5:K$302,6,FALSE)),"",VLOOKUP(A521,'600m'!F$5:K$302,6,FALSE)))</f>
        <v/>
      </c>
      <c r="L521" s="49" t="str">
        <f>IF(B521="","",IF(ISNA(VLOOKUP(A521,LongJump!F$5:G$302,2,FALSE)),"",VLOOKUP(A521,LongJump!F$5:G$302,2,FALSE)))</f>
        <v/>
      </c>
      <c r="M521" s="49">
        <f>IF(B521="",0,IF(ISNA(_xlfn.XLOOKUP(A521,LongJump!F$5:F$302,LongJump!M$5:M$302)),0,_xlfn.XLOOKUP(A521,LongJump!F$5:F$302,LongJump!M$5:M$302)))</f>
        <v>0</v>
      </c>
      <c r="N521" s="49" t="str">
        <f>IF(B521="","",IF(ISNA(VLOOKUP(A521,LongJump!F$5:K$302,6,FALSE)),0,VLOOKUP(A521,LongJump!F$5:K$302,6,FALSE)))</f>
        <v/>
      </c>
      <c r="O521" s="49" t="str">
        <f>IF(B521="","",IF(ISNA(VLOOKUP(A521,Vortex!F$5:J$302,2,FALSE)),"",VLOOKUP(A521,Vortex!F$5:J$302,2,FALSE)))</f>
        <v/>
      </c>
      <c r="P521" s="49">
        <f>IF(B521="",0,IF(ISNA(_xlfn.XLOOKUP(A521,Vortex!F$5:F$302,Vortex!M$5:M$302)),0,_xlfn.XLOOKUP(A521,Vortex!F$5:F$302,Vortex!M$5:M$302)))</f>
        <v>0</v>
      </c>
      <c r="Q521" s="49">
        <f t="shared" si="42"/>
        <v>0</v>
      </c>
      <c r="R521" s="49" t="str">
        <f t="shared" si="43"/>
        <v/>
      </c>
      <c r="S521" s="49" t="str">
        <f t="shared" si="44"/>
        <v/>
      </c>
      <c r="T521" s="49" t="str">
        <f t="shared" si="45"/>
        <v/>
      </c>
      <c r="U521" s="49" t="str">
        <f t="shared" si="46"/>
        <v/>
      </c>
    </row>
    <row r="522" spans="1:21">
      <c r="A522" s="49" t="str">
        <f>IF(Declarations!B279=0,"",Declarations!B279)</f>
        <v/>
      </c>
      <c r="B522" s="150" t="str">
        <f>IF(ISNA(VLOOKUP(A522,Declarations!B$6:C$185,2,FALSE)),"",IF(VLOOKUP(A522,Declarations!B$6:C$185,2,FALSE)="","",VLOOKUP(A522,Declarations!B$6:C$185,2,FALSE)))</f>
        <v/>
      </c>
      <c r="C522" s="150" t="str">
        <f>IF(ISNA(VLOOKUP(A522,Declarations!B$6:F$185,5,FALSE)),"",IF(VLOOKUP(A522,Declarations!B$6:F$185,5,FALSE)="","",VLOOKUP(A522,Declarations!B$6:F$185,5,FALSE)))</f>
        <v/>
      </c>
      <c r="D522" s="150" t="str">
        <f>IF(ISNA(VLOOKUP(A522,Declarations!B$6:F$185,4,FALSE)),"",IF(VLOOKUP(A522,Declarations!B$6:F$185,4,FALSE)="","",VLOOKUP(A522,Declarations!B$6:F$185,4,FALSE)))</f>
        <v/>
      </c>
      <c r="E522" s="150" t="str">
        <f>IF(ISNA(VLOOKUP(A522,Declarations!B$6:D$185,3,FALSE)),"",IF(VLOOKUP(A522,Declarations!B$6:D$185,3,FALSE)="","",VLOOKUP(A522,Declarations!B$6:D$185,3,FALSE)))</f>
        <v/>
      </c>
      <c r="F522" s="49" t="str">
        <f>IF(B522="","",IF(ISNA(VLOOKUP(A522,'75m'!F$5:G$302,2,FALSE)),"",VLOOKUP(A522,'75m'!F$5:G$302,2,FALSE)))</f>
        <v/>
      </c>
      <c r="G522" s="49">
        <f>IF(B522="",0,IF(ISNA(_xlfn.XLOOKUP(A522,'75m'!F$5:F$302,'75m'!M$5:M$302)),0,_xlfn.XLOOKUP(A522,'75m'!F$5:F$302,'75m'!M$5:M$302)))</f>
        <v>0</v>
      </c>
      <c r="H522" s="49" t="str">
        <f>IF(B522="","",IF(ISNA(VLOOKUP(A522,'75m'!F$5:K$302,6,FALSE)),"",VLOOKUP(A522,'75m'!F$5:K$302,6,FALSE)))</f>
        <v/>
      </c>
      <c r="I522" s="51">
        <f>IF(B522="",0,IF(ISNA(VLOOKUP(A522,'600m'!F$5:J$302,2,FALSE)),0,VLOOKUP(A522,'600m'!F$5:J$302,2,FALSE)))</f>
        <v>0</v>
      </c>
      <c r="J522" s="49">
        <f>IF(B522="",0,IF(ISNA(_xlfn.XLOOKUP(A522,'600m'!F$5:F$302,'600m'!M$5:M$302)),0,_xlfn.XLOOKUP(A522,'600m'!F$5:F$302,'600m'!M$5:M$302)))</f>
        <v>0</v>
      </c>
      <c r="K522" s="49" t="str">
        <f>IF(B522="","",IF(ISNA(VLOOKUP(A522,'600m'!F$5:K$302,6,FALSE)),"",VLOOKUP(A522,'600m'!F$5:K$302,6,FALSE)))</f>
        <v/>
      </c>
      <c r="L522" s="49" t="str">
        <f>IF(B522="","",IF(ISNA(VLOOKUP(A522,LongJump!F$5:G$302,2,FALSE)),"",VLOOKUP(A522,LongJump!F$5:G$302,2,FALSE)))</f>
        <v/>
      </c>
      <c r="M522" s="49">
        <f>IF(B522="",0,IF(ISNA(_xlfn.XLOOKUP(A522,LongJump!F$5:F$302,LongJump!M$5:M$302)),0,_xlfn.XLOOKUP(A522,LongJump!F$5:F$302,LongJump!M$5:M$302)))</f>
        <v>0</v>
      </c>
      <c r="N522" s="49" t="str">
        <f>IF(B522="","",IF(ISNA(VLOOKUP(A522,LongJump!F$5:K$302,6,FALSE)),0,VLOOKUP(A522,LongJump!F$5:K$302,6,FALSE)))</f>
        <v/>
      </c>
      <c r="O522" s="49" t="str">
        <f>IF(B522="","",IF(ISNA(VLOOKUP(A522,Vortex!F$5:J$302,2,FALSE)),"",VLOOKUP(A522,Vortex!F$5:J$302,2,FALSE)))</f>
        <v/>
      </c>
      <c r="P522" s="49">
        <f>IF(B522="",0,IF(ISNA(_xlfn.XLOOKUP(A522,Vortex!F$5:F$302,Vortex!M$5:M$302)),0,_xlfn.XLOOKUP(A522,Vortex!F$5:F$302,Vortex!M$5:M$302)))</f>
        <v>0</v>
      </c>
      <c r="Q522" s="49">
        <f t="shared" si="42"/>
        <v>0</v>
      </c>
      <c r="R522" s="49" t="str">
        <f t="shared" si="43"/>
        <v/>
      </c>
      <c r="S522" s="49" t="str">
        <f t="shared" si="44"/>
        <v/>
      </c>
      <c r="T522" s="49" t="str">
        <f t="shared" si="45"/>
        <v/>
      </c>
      <c r="U522" s="49" t="str">
        <f t="shared" si="46"/>
        <v/>
      </c>
    </row>
    <row r="523" spans="1:21">
      <c r="A523" s="49" t="str">
        <f>IF(Declarations!B280=0,"",Declarations!B280)</f>
        <v/>
      </c>
      <c r="B523" s="150" t="str">
        <f>IF(ISNA(VLOOKUP(A523,Declarations!B$6:C$185,2,FALSE)),"",IF(VLOOKUP(A523,Declarations!B$6:C$185,2,FALSE)="","",VLOOKUP(A523,Declarations!B$6:C$185,2,FALSE)))</f>
        <v/>
      </c>
      <c r="C523" s="150" t="str">
        <f>IF(ISNA(VLOOKUP(A523,Declarations!B$6:F$185,5,FALSE)),"",IF(VLOOKUP(A523,Declarations!B$6:F$185,5,FALSE)="","",VLOOKUP(A523,Declarations!B$6:F$185,5,FALSE)))</f>
        <v/>
      </c>
      <c r="D523" s="150" t="str">
        <f>IF(ISNA(VLOOKUP(A523,Declarations!B$6:F$185,4,FALSE)),"",IF(VLOOKUP(A523,Declarations!B$6:F$185,4,FALSE)="","",VLOOKUP(A523,Declarations!B$6:F$185,4,FALSE)))</f>
        <v/>
      </c>
      <c r="E523" s="150" t="str">
        <f>IF(ISNA(VLOOKUP(A523,Declarations!B$6:D$185,3,FALSE)),"",IF(VLOOKUP(A523,Declarations!B$6:D$185,3,FALSE)="","",VLOOKUP(A523,Declarations!B$6:D$185,3,FALSE)))</f>
        <v/>
      </c>
      <c r="F523" s="49" t="str">
        <f>IF(B523="","",IF(ISNA(VLOOKUP(A523,'75m'!F$5:G$302,2,FALSE)),"",VLOOKUP(A523,'75m'!F$5:G$302,2,FALSE)))</f>
        <v/>
      </c>
      <c r="G523" s="49">
        <f>IF(B523="",0,IF(ISNA(_xlfn.XLOOKUP(A523,'75m'!F$5:F$302,'75m'!M$5:M$302)),0,_xlfn.XLOOKUP(A523,'75m'!F$5:F$302,'75m'!M$5:M$302)))</f>
        <v>0</v>
      </c>
      <c r="H523" s="49" t="str">
        <f>IF(B523="","",IF(ISNA(VLOOKUP(A523,'75m'!F$5:K$302,6,FALSE)),"",VLOOKUP(A523,'75m'!F$5:K$302,6,FALSE)))</f>
        <v/>
      </c>
      <c r="I523" s="51">
        <f>IF(B523="",0,IF(ISNA(VLOOKUP(A523,'600m'!F$5:J$302,2,FALSE)),0,VLOOKUP(A523,'600m'!F$5:J$302,2,FALSE)))</f>
        <v>0</v>
      </c>
      <c r="J523" s="49">
        <f>IF(B523="",0,IF(ISNA(_xlfn.XLOOKUP(A523,'600m'!F$5:F$302,'600m'!M$5:M$302)),0,_xlfn.XLOOKUP(A523,'600m'!F$5:F$302,'600m'!M$5:M$302)))</f>
        <v>0</v>
      </c>
      <c r="K523" s="49" t="str">
        <f>IF(B523="","",IF(ISNA(VLOOKUP(A523,'600m'!F$5:K$302,6,FALSE)),"",VLOOKUP(A523,'600m'!F$5:K$302,6,FALSE)))</f>
        <v/>
      </c>
      <c r="L523" s="49" t="str">
        <f>IF(B523="","",IF(ISNA(VLOOKUP(A523,LongJump!F$5:G$302,2,FALSE)),"",VLOOKUP(A523,LongJump!F$5:G$302,2,FALSE)))</f>
        <v/>
      </c>
      <c r="M523" s="49">
        <f>IF(B523="",0,IF(ISNA(_xlfn.XLOOKUP(A523,LongJump!F$5:F$302,LongJump!M$5:M$302)),0,_xlfn.XLOOKUP(A523,LongJump!F$5:F$302,LongJump!M$5:M$302)))</f>
        <v>0</v>
      </c>
      <c r="N523" s="49" t="str">
        <f>IF(B523="","",IF(ISNA(VLOOKUP(A523,LongJump!F$5:K$302,6,FALSE)),0,VLOOKUP(A523,LongJump!F$5:K$302,6,FALSE)))</f>
        <v/>
      </c>
      <c r="O523" s="49" t="str">
        <f>IF(B523="","",IF(ISNA(VLOOKUP(A523,Vortex!F$5:J$302,2,FALSE)),"",VLOOKUP(A523,Vortex!F$5:J$302,2,FALSE)))</f>
        <v/>
      </c>
      <c r="P523" s="49">
        <f>IF(B523="",0,IF(ISNA(_xlfn.XLOOKUP(A523,Vortex!F$5:F$302,Vortex!M$5:M$302)),0,_xlfn.XLOOKUP(A523,Vortex!F$5:F$302,Vortex!M$5:M$302)))</f>
        <v>0</v>
      </c>
      <c r="Q523" s="49">
        <f t="shared" si="42"/>
        <v>0</v>
      </c>
      <c r="R523" s="49" t="str">
        <f t="shared" si="43"/>
        <v/>
      </c>
      <c r="S523" s="49" t="str">
        <f t="shared" si="44"/>
        <v/>
      </c>
      <c r="T523" s="49" t="str">
        <f t="shared" si="45"/>
        <v/>
      </c>
      <c r="U523" s="49" t="str">
        <f t="shared" si="46"/>
        <v/>
      </c>
    </row>
    <row r="524" spans="1:21">
      <c r="A524" s="49" t="str">
        <f>IF(Declarations!B281=0,"",Declarations!B281)</f>
        <v/>
      </c>
      <c r="B524" s="150" t="str">
        <f>IF(ISNA(VLOOKUP(A524,Declarations!B$6:C$185,2,FALSE)),"",IF(VLOOKUP(A524,Declarations!B$6:C$185,2,FALSE)="","",VLOOKUP(A524,Declarations!B$6:C$185,2,FALSE)))</f>
        <v/>
      </c>
      <c r="C524" s="150" t="str">
        <f>IF(ISNA(VLOOKUP(A524,Declarations!B$6:F$185,5,FALSE)),"",IF(VLOOKUP(A524,Declarations!B$6:F$185,5,FALSE)="","",VLOOKUP(A524,Declarations!B$6:F$185,5,FALSE)))</f>
        <v/>
      </c>
      <c r="D524" s="150" t="str">
        <f>IF(ISNA(VLOOKUP(A524,Declarations!B$6:F$185,4,FALSE)),"",IF(VLOOKUP(A524,Declarations!B$6:F$185,4,FALSE)="","",VLOOKUP(A524,Declarations!B$6:F$185,4,FALSE)))</f>
        <v/>
      </c>
      <c r="E524" s="150" t="str">
        <f>IF(ISNA(VLOOKUP(A524,Declarations!B$6:D$185,3,FALSE)),"",IF(VLOOKUP(A524,Declarations!B$6:D$185,3,FALSE)="","",VLOOKUP(A524,Declarations!B$6:D$185,3,FALSE)))</f>
        <v/>
      </c>
      <c r="F524" s="49" t="str">
        <f>IF(B524="","",IF(ISNA(VLOOKUP(A524,'75m'!F$5:G$302,2,FALSE)),"",VLOOKUP(A524,'75m'!F$5:G$302,2,FALSE)))</f>
        <v/>
      </c>
      <c r="G524" s="49">
        <f>IF(B524="",0,IF(ISNA(_xlfn.XLOOKUP(A524,'75m'!F$5:F$302,'75m'!M$5:M$302)),0,_xlfn.XLOOKUP(A524,'75m'!F$5:F$302,'75m'!M$5:M$302)))</f>
        <v>0</v>
      </c>
      <c r="H524" s="49" t="str">
        <f>IF(B524="","",IF(ISNA(VLOOKUP(A524,'75m'!F$5:K$302,6,FALSE)),"",VLOOKUP(A524,'75m'!F$5:K$302,6,FALSE)))</f>
        <v/>
      </c>
      <c r="I524" s="51">
        <f>IF(B524="",0,IF(ISNA(VLOOKUP(A524,'600m'!F$5:J$302,2,FALSE)),0,VLOOKUP(A524,'600m'!F$5:J$302,2,FALSE)))</f>
        <v>0</v>
      </c>
      <c r="J524" s="49">
        <f>IF(B524="",0,IF(ISNA(_xlfn.XLOOKUP(A524,'600m'!F$5:F$302,'600m'!M$5:M$302)),0,_xlfn.XLOOKUP(A524,'600m'!F$5:F$302,'600m'!M$5:M$302)))</f>
        <v>0</v>
      </c>
      <c r="K524" s="49" t="str">
        <f>IF(B524="","",IF(ISNA(VLOOKUP(A524,'600m'!F$5:K$302,6,FALSE)),"",VLOOKUP(A524,'600m'!F$5:K$302,6,FALSE)))</f>
        <v/>
      </c>
      <c r="L524" s="49" t="str">
        <f>IF(B524="","",IF(ISNA(VLOOKUP(A524,LongJump!F$5:G$302,2,FALSE)),"",VLOOKUP(A524,LongJump!F$5:G$302,2,FALSE)))</f>
        <v/>
      </c>
      <c r="M524" s="49">
        <f>IF(B524="",0,IF(ISNA(_xlfn.XLOOKUP(A524,LongJump!F$5:F$302,LongJump!M$5:M$302)),0,_xlfn.XLOOKUP(A524,LongJump!F$5:F$302,LongJump!M$5:M$302)))</f>
        <v>0</v>
      </c>
      <c r="N524" s="49" t="str">
        <f>IF(B524="","",IF(ISNA(VLOOKUP(A524,LongJump!F$5:K$302,6,FALSE)),0,VLOOKUP(A524,LongJump!F$5:K$302,6,FALSE)))</f>
        <v/>
      </c>
      <c r="O524" s="49" t="str">
        <f>IF(B524="","",IF(ISNA(VLOOKUP(A524,Vortex!F$5:J$302,2,FALSE)),"",VLOOKUP(A524,Vortex!F$5:J$302,2,FALSE)))</f>
        <v/>
      </c>
      <c r="P524" s="49">
        <f>IF(B524="",0,IF(ISNA(_xlfn.XLOOKUP(A524,Vortex!F$5:F$302,Vortex!M$5:M$302)),0,_xlfn.XLOOKUP(A524,Vortex!F$5:F$302,Vortex!M$5:M$302)))</f>
        <v>0</v>
      </c>
      <c r="Q524" s="49">
        <f t="shared" si="42"/>
        <v>0</v>
      </c>
      <c r="R524" s="49" t="str">
        <f t="shared" si="43"/>
        <v/>
      </c>
      <c r="S524" s="49" t="str">
        <f t="shared" si="44"/>
        <v/>
      </c>
      <c r="T524" s="49" t="str">
        <f t="shared" si="45"/>
        <v/>
      </c>
      <c r="U524" s="49" t="str">
        <f t="shared" si="46"/>
        <v/>
      </c>
    </row>
    <row r="525" spans="1:21">
      <c r="A525" s="49" t="str">
        <f>IF(Declarations!B282=0,"",Declarations!B282)</f>
        <v/>
      </c>
      <c r="B525" s="150" t="str">
        <f>IF(ISNA(VLOOKUP(A525,Declarations!B$6:C$185,2,FALSE)),"",IF(VLOOKUP(A525,Declarations!B$6:C$185,2,FALSE)="","",VLOOKUP(A525,Declarations!B$6:C$185,2,FALSE)))</f>
        <v/>
      </c>
      <c r="C525" s="150" t="str">
        <f>IF(ISNA(VLOOKUP(A525,Declarations!B$6:F$185,5,FALSE)),"",IF(VLOOKUP(A525,Declarations!B$6:F$185,5,FALSE)="","",VLOOKUP(A525,Declarations!B$6:F$185,5,FALSE)))</f>
        <v/>
      </c>
      <c r="D525" s="150" t="str">
        <f>IF(ISNA(VLOOKUP(A525,Declarations!B$6:F$185,4,FALSE)),"",IF(VLOOKUP(A525,Declarations!B$6:F$185,4,FALSE)="","",VLOOKUP(A525,Declarations!B$6:F$185,4,FALSE)))</f>
        <v/>
      </c>
      <c r="E525" s="150" t="str">
        <f>IF(ISNA(VLOOKUP(A525,Declarations!B$6:D$185,3,FALSE)),"",IF(VLOOKUP(A525,Declarations!B$6:D$185,3,FALSE)="","",VLOOKUP(A525,Declarations!B$6:D$185,3,FALSE)))</f>
        <v/>
      </c>
      <c r="F525" s="49" t="str">
        <f>IF(B525="","",IF(ISNA(VLOOKUP(A525,'75m'!F$5:G$302,2,FALSE)),"",VLOOKUP(A525,'75m'!F$5:G$302,2,FALSE)))</f>
        <v/>
      </c>
      <c r="G525" s="49">
        <f>IF(B525="",0,IF(ISNA(_xlfn.XLOOKUP(A525,'75m'!F$5:F$302,'75m'!M$5:M$302)),0,_xlfn.XLOOKUP(A525,'75m'!F$5:F$302,'75m'!M$5:M$302)))</f>
        <v>0</v>
      </c>
      <c r="H525" s="49" t="str">
        <f>IF(B525="","",IF(ISNA(VLOOKUP(A525,'75m'!F$5:K$302,6,FALSE)),"",VLOOKUP(A525,'75m'!F$5:K$302,6,FALSE)))</f>
        <v/>
      </c>
      <c r="I525" s="51">
        <f>IF(B525="",0,IF(ISNA(VLOOKUP(A525,'600m'!F$5:J$302,2,FALSE)),0,VLOOKUP(A525,'600m'!F$5:J$302,2,FALSE)))</f>
        <v>0</v>
      </c>
      <c r="J525" s="49">
        <f>IF(B525="",0,IF(ISNA(_xlfn.XLOOKUP(A525,'600m'!F$5:F$302,'600m'!M$5:M$302)),0,_xlfn.XLOOKUP(A525,'600m'!F$5:F$302,'600m'!M$5:M$302)))</f>
        <v>0</v>
      </c>
      <c r="K525" s="49" t="str">
        <f>IF(B525="","",IF(ISNA(VLOOKUP(A525,'600m'!F$5:K$302,6,FALSE)),"",VLOOKUP(A525,'600m'!F$5:K$302,6,FALSE)))</f>
        <v/>
      </c>
      <c r="L525" s="49" t="str">
        <f>IF(B525="","",IF(ISNA(VLOOKUP(A525,LongJump!F$5:G$302,2,FALSE)),"",VLOOKUP(A525,LongJump!F$5:G$302,2,FALSE)))</f>
        <v/>
      </c>
      <c r="M525" s="49">
        <f>IF(B525="",0,IF(ISNA(_xlfn.XLOOKUP(A525,LongJump!F$5:F$302,LongJump!M$5:M$302)),0,_xlfn.XLOOKUP(A525,LongJump!F$5:F$302,LongJump!M$5:M$302)))</f>
        <v>0</v>
      </c>
      <c r="N525" s="49" t="str">
        <f>IF(B525="","",IF(ISNA(VLOOKUP(A525,LongJump!F$5:K$302,6,FALSE)),0,VLOOKUP(A525,LongJump!F$5:K$302,6,FALSE)))</f>
        <v/>
      </c>
      <c r="O525" s="49" t="str">
        <f>IF(B525="","",IF(ISNA(VLOOKUP(A525,Vortex!F$5:J$302,2,FALSE)),"",VLOOKUP(A525,Vortex!F$5:J$302,2,FALSE)))</f>
        <v/>
      </c>
      <c r="P525" s="49">
        <f>IF(B525="",0,IF(ISNA(_xlfn.XLOOKUP(A525,Vortex!F$5:F$302,Vortex!M$5:M$302)),0,_xlfn.XLOOKUP(A525,Vortex!F$5:F$302,Vortex!M$5:M$302)))</f>
        <v>0</v>
      </c>
      <c r="Q525" s="49">
        <f t="shared" si="42"/>
        <v>0</v>
      </c>
      <c r="R525" s="49" t="str">
        <f t="shared" si="43"/>
        <v/>
      </c>
      <c r="S525" s="49" t="str">
        <f t="shared" si="44"/>
        <v/>
      </c>
      <c r="T525" s="49" t="str">
        <f t="shared" si="45"/>
        <v/>
      </c>
      <c r="U525" s="49" t="str">
        <f t="shared" si="46"/>
        <v/>
      </c>
    </row>
    <row r="526" spans="1:21">
      <c r="A526" s="49" t="str">
        <f>IF(Declarations!B283=0,"",Declarations!B283)</f>
        <v/>
      </c>
      <c r="B526" s="150" t="str">
        <f>IF(ISNA(VLOOKUP(A526,Declarations!B$6:C$185,2,FALSE)),"",IF(VLOOKUP(A526,Declarations!B$6:C$185,2,FALSE)="","",VLOOKUP(A526,Declarations!B$6:C$185,2,FALSE)))</f>
        <v/>
      </c>
      <c r="C526" s="150" t="str">
        <f>IF(ISNA(VLOOKUP(A526,Declarations!B$6:F$185,5,FALSE)),"",IF(VLOOKUP(A526,Declarations!B$6:F$185,5,FALSE)="","",VLOOKUP(A526,Declarations!B$6:F$185,5,FALSE)))</f>
        <v/>
      </c>
      <c r="D526" s="150" t="str">
        <f>IF(ISNA(VLOOKUP(A526,Declarations!B$6:F$185,4,FALSE)),"",IF(VLOOKUP(A526,Declarations!B$6:F$185,4,FALSE)="","",VLOOKUP(A526,Declarations!B$6:F$185,4,FALSE)))</f>
        <v/>
      </c>
      <c r="E526" s="150" t="str">
        <f>IF(ISNA(VLOOKUP(A526,Declarations!B$6:D$185,3,FALSE)),"",IF(VLOOKUP(A526,Declarations!B$6:D$185,3,FALSE)="","",VLOOKUP(A526,Declarations!B$6:D$185,3,FALSE)))</f>
        <v/>
      </c>
      <c r="F526" s="49" t="str">
        <f>IF(B526="","",IF(ISNA(VLOOKUP(A526,'75m'!F$5:G$302,2,FALSE)),"",VLOOKUP(A526,'75m'!F$5:G$302,2,FALSE)))</f>
        <v/>
      </c>
      <c r="G526" s="49">
        <f>IF(B526="",0,IF(ISNA(_xlfn.XLOOKUP(A526,'75m'!F$5:F$302,'75m'!M$5:M$302)),0,_xlfn.XLOOKUP(A526,'75m'!F$5:F$302,'75m'!M$5:M$302)))</f>
        <v>0</v>
      </c>
      <c r="H526" s="49" t="str">
        <f>IF(B526="","",IF(ISNA(VLOOKUP(A526,'75m'!F$5:K$302,6,FALSE)),"",VLOOKUP(A526,'75m'!F$5:K$302,6,FALSE)))</f>
        <v/>
      </c>
      <c r="I526" s="51">
        <f>IF(B526="",0,IF(ISNA(VLOOKUP(A526,'600m'!F$5:J$302,2,FALSE)),0,VLOOKUP(A526,'600m'!F$5:J$302,2,FALSE)))</f>
        <v>0</v>
      </c>
      <c r="J526" s="49">
        <f>IF(B526="",0,IF(ISNA(_xlfn.XLOOKUP(A526,'600m'!F$5:F$302,'600m'!M$5:M$302)),0,_xlfn.XLOOKUP(A526,'600m'!F$5:F$302,'600m'!M$5:M$302)))</f>
        <v>0</v>
      </c>
      <c r="K526" s="49" t="str">
        <f>IF(B526="","",IF(ISNA(VLOOKUP(A526,'600m'!F$5:K$302,6,FALSE)),"",VLOOKUP(A526,'600m'!F$5:K$302,6,FALSE)))</f>
        <v/>
      </c>
      <c r="L526" s="49" t="str">
        <f>IF(B526="","",IF(ISNA(VLOOKUP(A526,LongJump!F$5:G$302,2,FALSE)),"",VLOOKUP(A526,LongJump!F$5:G$302,2,FALSE)))</f>
        <v/>
      </c>
      <c r="M526" s="49">
        <f>IF(B526="",0,IF(ISNA(_xlfn.XLOOKUP(A526,LongJump!F$5:F$302,LongJump!M$5:M$302)),0,_xlfn.XLOOKUP(A526,LongJump!F$5:F$302,LongJump!M$5:M$302)))</f>
        <v>0</v>
      </c>
      <c r="N526" s="49" t="str">
        <f>IF(B526="","",IF(ISNA(VLOOKUP(A526,LongJump!F$5:K$302,6,FALSE)),0,VLOOKUP(A526,LongJump!F$5:K$302,6,FALSE)))</f>
        <v/>
      </c>
      <c r="O526" s="49" t="str">
        <f>IF(B526="","",IF(ISNA(VLOOKUP(A526,Vortex!F$5:J$302,2,FALSE)),"",VLOOKUP(A526,Vortex!F$5:J$302,2,FALSE)))</f>
        <v/>
      </c>
      <c r="P526" s="49">
        <f>IF(B526="",0,IF(ISNA(_xlfn.XLOOKUP(A526,Vortex!F$5:F$302,Vortex!M$5:M$302)),0,_xlfn.XLOOKUP(A526,Vortex!F$5:F$302,Vortex!M$5:M$302)))</f>
        <v>0</v>
      </c>
      <c r="Q526" s="49">
        <f t="shared" si="42"/>
        <v>0</v>
      </c>
      <c r="R526" s="49" t="str">
        <f t="shared" si="43"/>
        <v/>
      </c>
      <c r="S526" s="49" t="str">
        <f t="shared" si="44"/>
        <v/>
      </c>
      <c r="T526" s="49" t="str">
        <f t="shared" si="45"/>
        <v/>
      </c>
      <c r="U526" s="49" t="str">
        <f t="shared" si="46"/>
        <v/>
      </c>
    </row>
    <row r="527" spans="1:21">
      <c r="A527" s="49" t="str">
        <f>IF(Declarations!B284=0,"",Declarations!B284)</f>
        <v/>
      </c>
      <c r="B527" s="150" t="str">
        <f>IF(ISNA(VLOOKUP(A527,Declarations!B$6:C$185,2,FALSE)),"",IF(VLOOKUP(A527,Declarations!B$6:C$185,2,FALSE)="","",VLOOKUP(A527,Declarations!B$6:C$185,2,FALSE)))</f>
        <v/>
      </c>
      <c r="C527" s="150" t="str">
        <f>IF(ISNA(VLOOKUP(A527,Declarations!B$6:F$185,5,FALSE)),"",IF(VLOOKUP(A527,Declarations!B$6:F$185,5,FALSE)="","",VLOOKUP(A527,Declarations!B$6:F$185,5,FALSE)))</f>
        <v/>
      </c>
      <c r="D527" s="150" t="str">
        <f>IF(ISNA(VLOOKUP(A527,Declarations!B$6:F$185,4,FALSE)),"",IF(VLOOKUP(A527,Declarations!B$6:F$185,4,FALSE)="","",VLOOKUP(A527,Declarations!B$6:F$185,4,FALSE)))</f>
        <v/>
      </c>
      <c r="E527" s="150" t="str">
        <f>IF(ISNA(VLOOKUP(A527,Declarations!B$6:D$185,3,FALSE)),"",IF(VLOOKUP(A527,Declarations!B$6:D$185,3,FALSE)="","",VLOOKUP(A527,Declarations!B$6:D$185,3,FALSE)))</f>
        <v/>
      </c>
      <c r="F527" s="49" t="str">
        <f>IF(B527="","",IF(ISNA(VLOOKUP(A527,'75m'!F$5:G$302,2,FALSE)),"",VLOOKUP(A527,'75m'!F$5:G$302,2,FALSE)))</f>
        <v/>
      </c>
      <c r="G527" s="49">
        <f>IF(B527="",0,IF(ISNA(_xlfn.XLOOKUP(A527,'75m'!F$5:F$302,'75m'!M$5:M$302)),0,_xlfn.XLOOKUP(A527,'75m'!F$5:F$302,'75m'!M$5:M$302)))</f>
        <v>0</v>
      </c>
      <c r="H527" s="49" t="str">
        <f>IF(B527="","",IF(ISNA(VLOOKUP(A527,'75m'!F$5:K$302,6,FALSE)),"",VLOOKUP(A527,'75m'!F$5:K$302,6,FALSE)))</f>
        <v/>
      </c>
      <c r="I527" s="51">
        <f>IF(B527="",0,IF(ISNA(VLOOKUP(A527,'600m'!F$5:J$302,2,FALSE)),0,VLOOKUP(A527,'600m'!F$5:J$302,2,FALSE)))</f>
        <v>0</v>
      </c>
      <c r="J527" s="49">
        <f>IF(B527="",0,IF(ISNA(_xlfn.XLOOKUP(A527,'600m'!F$5:F$302,'600m'!M$5:M$302)),0,_xlfn.XLOOKUP(A527,'600m'!F$5:F$302,'600m'!M$5:M$302)))</f>
        <v>0</v>
      </c>
      <c r="K527" s="49" t="str">
        <f>IF(B527="","",IF(ISNA(VLOOKUP(A527,'600m'!F$5:K$302,6,FALSE)),"",VLOOKUP(A527,'600m'!F$5:K$302,6,FALSE)))</f>
        <v/>
      </c>
      <c r="L527" s="49" t="str">
        <f>IF(B527="","",IF(ISNA(VLOOKUP(A527,LongJump!F$5:G$302,2,FALSE)),"",VLOOKUP(A527,LongJump!F$5:G$302,2,FALSE)))</f>
        <v/>
      </c>
      <c r="M527" s="49">
        <f>IF(B527="",0,IF(ISNA(_xlfn.XLOOKUP(A527,LongJump!F$5:F$302,LongJump!M$5:M$302)),0,_xlfn.XLOOKUP(A527,LongJump!F$5:F$302,LongJump!M$5:M$302)))</f>
        <v>0</v>
      </c>
      <c r="N527" s="49" t="str">
        <f>IF(B527="","",IF(ISNA(VLOOKUP(A527,LongJump!F$5:K$302,6,FALSE)),0,VLOOKUP(A527,LongJump!F$5:K$302,6,FALSE)))</f>
        <v/>
      </c>
      <c r="O527" s="49" t="str">
        <f>IF(B527="","",IF(ISNA(VLOOKUP(A527,Vortex!F$5:J$302,2,FALSE)),"",VLOOKUP(A527,Vortex!F$5:J$302,2,FALSE)))</f>
        <v/>
      </c>
      <c r="P527" s="49">
        <f>IF(B527="",0,IF(ISNA(_xlfn.XLOOKUP(A527,Vortex!F$5:F$302,Vortex!M$5:M$302)),0,_xlfn.XLOOKUP(A527,Vortex!F$5:F$302,Vortex!M$5:M$302)))</f>
        <v>0</v>
      </c>
      <c r="Q527" s="49">
        <f t="shared" si="42"/>
        <v>0</v>
      </c>
      <c r="R527" s="49" t="str">
        <f t="shared" si="43"/>
        <v/>
      </c>
      <c r="S527" s="49" t="str">
        <f t="shared" si="44"/>
        <v/>
      </c>
      <c r="T527" s="49" t="str">
        <f t="shared" si="45"/>
        <v/>
      </c>
      <c r="U527" s="49" t="str">
        <f t="shared" si="46"/>
        <v/>
      </c>
    </row>
    <row r="528" spans="1:21">
      <c r="A528" s="49" t="str">
        <f>IF(Declarations!B285=0,"",Declarations!B285)</f>
        <v/>
      </c>
      <c r="B528" s="150" t="str">
        <f>IF(ISNA(VLOOKUP(A528,Declarations!B$6:C$185,2,FALSE)),"",IF(VLOOKUP(A528,Declarations!B$6:C$185,2,FALSE)="","",VLOOKUP(A528,Declarations!B$6:C$185,2,FALSE)))</f>
        <v/>
      </c>
      <c r="C528" s="150" t="str">
        <f>IF(ISNA(VLOOKUP(A528,Declarations!B$6:F$185,5,FALSE)),"",IF(VLOOKUP(A528,Declarations!B$6:F$185,5,FALSE)="","",VLOOKUP(A528,Declarations!B$6:F$185,5,FALSE)))</f>
        <v/>
      </c>
      <c r="D528" s="150" t="str">
        <f>IF(ISNA(VLOOKUP(A528,Declarations!B$6:F$185,4,FALSE)),"",IF(VLOOKUP(A528,Declarations!B$6:F$185,4,FALSE)="","",VLOOKUP(A528,Declarations!B$6:F$185,4,FALSE)))</f>
        <v/>
      </c>
      <c r="E528" s="150" t="str">
        <f>IF(ISNA(VLOOKUP(A528,Declarations!B$6:D$185,3,FALSE)),"",IF(VLOOKUP(A528,Declarations!B$6:D$185,3,FALSE)="","",VLOOKUP(A528,Declarations!B$6:D$185,3,FALSE)))</f>
        <v/>
      </c>
      <c r="F528" s="49" t="str">
        <f>IF(B528="","",IF(ISNA(VLOOKUP(A528,'75m'!F$5:G$302,2,FALSE)),"",VLOOKUP(A528,'75m'!F$5:G$302,2,FALSE)))</f>
        <v/>
      </c>
      <c r="G528" s="49">
        <f>IF(B528="",0,IF(ISNA(_xlfn.XLOOKUP(A528,'75m'!F$5:F$302,'75m'!M$5:M$302)),0,_xlfn.XLOOKUP(A528,'75m'!F$5:F$302,'75m'!M$5:M$302)))</f>
        <v>0</v>
      </c>
      <c r="H528" s="49" t="str">
        <f>IF(B528="","",IF(ISNA(VLOOKUP(A528,'75m'!F$5:K$302,6,FALSE)),"",VLOOKUP(A528,'75m'!F$5:K$302,6,FALSE)))</f>
        <v/>
      </c>
      <c r="I528" s="51">
        <f>IF(B528="",0,IF(ISNA(VLOOKUP(A528,'600m'!F$5:J$302,2,FALSE)),0,VLOOKUP(A528,'600m'!F$5:J$302,2,FALSE)))</f>
        <v>0</v>
      </c>
      <c r="J528" s="49">
        <f>IF(B528="",0,IF(ISNA(_xlfn.XLOOKUP(A528,'600m'!F$5:F$302,'600m'!M$5:M$302)),0,_xlfn.XLOOKUP(A528,'600m'!F$5:F$302,'600m'!M$5:M$302)))</f>
        <v>0</v>
      </c>
      <c r="K528" s="49" t="str">
        <f>IF(B528="","",IF(ISNA(VLOOKUP(A528,'600m'!F$5:K$302,6,FALSE)),"",VLOOKUP(A528,'600m'!F$5:K$302,6,FALSE)))</f>
        <v/>
      </c>
      <c r="L528" s="49" t="str">
        <f>IF(B528="","",IF(ISNA(VLOOKUP(A528,LongJump!F$5:G$302,2,FALSE)),"",VLOOKUP(A528,LongJump!F$5:G$302,2,FALSE)))</f>
        <v/>
      </c>
      <c r="M528" s="49">
        <f>IF(B528="",0,IF(ISNA(_xlfn.XLOOKUP(A528,LongJump!F$5:F$302,LongJump!M$5:M$302)),0,_xlfn.XLOOKUP(A528,LongJump!F$5:F$302,LongJump!M$5:M$302)))</f>
        <v>0</v>
      </c>
      <c r="N528" s="49" t="str">
        <f>IF(B528="","",IF(ISNA(VLOOKUP(A528,LongJump!F$5:K$302,6,FALSE)),0,VLOOKUP(A528,LongJump!F$5:K$302,6,FALSE)))</f>
        <v/>
      </c>
      <c r="O528" s="49" t="str">
        <f>IF(B528="","",IF(ISNA(VLOOKUP(A528,Vortex!F$5:J$302,2,FALSE)),"",VLOOKUP(A528,Vortex!F$5:J$302,2,FALSE)))</f>
        <v/>
      </c>
      <c r="P528" s="49">
        <f>IF(B528="",0,IF(ISNA(_xlfn.XLOOKUP(A528,Vortex!F$5:F$302,Vortex!M$5:M$302)),0,_xlfn.XLOOKUP(A528,Vortex!F$5:F$302,Vortex!M$5:M$302)))</f>
        <v>0</v>
      </c>
      <c r="Q528" s="49">
        <f t="shared" si="42"/>
        <v>0</v>
      </c>
      <c r="R528" s="49" t="str">
        <f t="shared" si="43"/>
        <v/>
      </c>
      <c r="S528" s="49" t="str">
        <f t="shared" si="44"/>
        <v/>
      </c>
      <c r="T528" s="49" t="str">
        <f t="shared" si="45"/>
        <v/>
      </c>
      <c r="U528" s="49" t="str">
        <f t="shared" si="46"/>
        <v/>
      </c>
    </row>
    <row r="529" spans="1:24">
      <c r="A529" s="49" t="str">
        <f>IF(Declarations!B286=0,"",Declarations!B286)</f>
        <v/>
      </c>
      <c r="B529" s="150" t="str">
        <f>IF(ISNA(VLOOKUP(A529,Declarations!B$6:C$185,2,FALSE)),"",IF(VLOOKUP(A529,Declarations!B$6:C$185,2,FALSE)="","",VLOOKUP(A529,Declarations!B$6:C$185,2,FALSE)))</f>
        <v/>
      </c>
      <c r="C529" s="150" t="str">
        <f>IF(ISNA(VLOOKUP(A529,Declarations!B$6:F$185,5,FALSE)),"",IF(VLOOKUP(A529,Declarations!B$6:F$185,5,FALSE)="","",VLOOKUP(A529,Declarations!B$6:F$185,5,FALSE)))</f>
        <v/>
      </c>
      <c r="D529" s="150" t="str">
        <f>IF(ISNA(VLOOKUP(A529,Declarations!B$6:F$185,4,FALSE)),"",IF(VLOOKUP(A529,Declarations!B$6:F$185,4,FALSE)="","",VLOOKUP(A529,Declarations!B$6:F$185,4,FALSE)))</f>
        <v/>
      </c>
      <c r="E529" s="150" t="str">
        <f>IF(ISNA(VLOOKUP(A529,Declarations!B$6:D$185,3,FALSE)),"",IF(VLOOKUP(A529,Declarations!B$6:D$185,3,FALSE)="","",VLOOKUP(A529,Declarations!B$6:D$185,3,FALSE)))</f>
        <v/>
      </c>
      <c r="F529" s="49" t="str">
        <f>IF(B529="","",IF(ISNA(VLOOKUP(A529,'75m'!F$5:G$302,2,FALSE)),"",VLOOKUP(A529,'75m'!F$5:G$302,2,FALSE)))</f>
        <v/>
      </c>
      <c r="G529" s="49">
        <f>IF(B529="",0,IF(ISNA(_xlfn.XLOOKUP(A529,'75m'!F$5:F$302,'75m'!M$5:M$302)),0,_xlfn.XLOOKUP(A529,'75m'!F$5:F$302,'75m'!M$5:M$302)))</f>
        <v>0</v>
      </c>
      <c r="H529" s="49" t="str">
        <f>IF(B529="","",IF(ISNA(VLOOKUP(A529,'75m'!F$5:K$302,6,FALSE)),"",VLOOKUP(A529,'75m'!F$5:K$302,6,FALSE)))</f>
        <v/>
      </c>
      <c r="I529" s="51">
        <f>IF(B529="",0,IF(ISNA(VLOOKUP(A529,'600m'!F$5:J$302,2,FALSE)),0,VLOOKUP(A529,'600m'!F$5:J$302,2,FALSE)))</f>
        <v>0</v>
      </c>
      <c r="J529" s="49">
        <f>IF(B529="",0,IF(ISNA(_xlfn.XLOOKUP(A529,'600m'!F$5:F$302,'600m'!M$5:M$302)),0,_xlfn.XLOOKUP(A529,'600m'!F$5:F$302,'600m'!M$5:M$302)))</f>
        <v>0</v>
      </c>
      <c r="K529" s="49" t="str">
        <f>IF(B529="","",IF(ISNA(VLOOKUP(A529,'600m'!F$5:K$302,6,FALSE)),"",VLOOKUP(A529,'600m'!F$5:K$302,6,FALSE)))</f>
        <v/>
      </c>
      <c r="L529" s="49" t="str">
        <f>IF(B529="","",IF(ISNA(VLOOKUP(A529,LongJump!F$5:G$302,2,FALSE)),"",VLOOKUP(A529,LongJump!F$5:G$302,2,FALSE)))</f>
        <v/>
      </c>
      <c r="M529" s="49">
        <f>IF(B529="",0,IF(ISNA(_xlfn.XLOOKUP(A529,LongJump!F$5:F$302,LongJump!M$5:M$302)),0,_xlfn.XLOOKUP(A529,LongJump!F$5:F$302,LongJump!M$5:M$302)))</f>
        <v>0</v>
      </c>
      <c r="N529" s="49" t="str">
        <f>IF(B529="","",IF(ISNA(VLOOKUP(A529,LongJump!F$5:K$302,6,FALSE)),0,VLOOKUP(A529,LongJump!F$5:K$302,6,FALSE)))</f>
        <v/>
      </c>
      <c r="O529" s="49" t="str">
        <f>IF(B529="","",IF(ISNA(VLOOKUP(A529,Vortex!F$5:J$302,2,FALSE)),"",VLOOKUP(A529,Vortex!F$5:J$302,2,FALSE)))</f>
        <v/>
      </c>
      <c r="P529" s="49">
        <f>IF(B529="",0,IF(ISNA(_xlfn.XLOOKUP(A529,Vortex!F$5:F$302,Vortex!M$5:M$302)),0,_xlfn.XLOOKUP(A529,Vortex!F$5:F$302,Vortex!M$5:M$302)))</f>
        <v>0</v>
      </c>
      <c r="Q529" s="49">
        <f t="shared" si="42"/>
        <v>0</v>
      </c>
      <c r="R529" s="49" t="str">
        <f t="shared" si="43"/>
        <v/>
      </c>
      <c r="S529" s="49" t="str">
        <f t="shared" si="44"/>
        <v/>
      </c>
      <c r="T529" s="49" t="str">
        <f t="shared" si="45"/>
        <v/>
      </c>
      <c r="U529" s="49" t="str">
        <f t="shared" si="46"/>
        <v/>
      </c>
    </row>
    <row r="530" spans="1:24">
      <c r="A530" s="49" t="str">
        <f>IF(Declarations!B287=0,"",Declarations!B287)</f>
        <v/>
      </c>
      <c r="B530" s="150" t="str">
        <f>IF(ISNA(VLOOKUP(A530,Declarations!B$6:C$185,2,FALSE)),"",IF(VLOOKUP(A530,Declarations!B$6:C$185,2,FALSE)="","",VLOOKUP(A530,Declarations!B$6:C$185,2,FALSE)))</f>
        <v/>
      </c>
      <c r="C530" s="150" t="str">
        <f>IF(ISNA(VLOOKUP(A530,Declarations!B$6:F$185,5,FALSE)),"",IF(VLOOKUP(A530,Declarations!B$6:F$185,5,FALSE)="","",VLOOKUP(A530,Declarations!B$6:F$185,5,FALSE)))</f>
        <v/>
      </c>
      <c r="D530" s="150" t="str">
        <f>IF(ISNA(VLOOKUP(A530,Declarations!B$6:F$185,4,FALSE)),"",IF(VLOOKUP(A530,Declarations!B$6:F$185,4,FALSE)="","",VLOOKUP(A530,Declarations!B$6:F$185,4,FALSE)))</f>
        <v/>
      </c>
      <c r="E530" s="150" t="str">
        <f>IF(ISNA(VLOOKUP(A530,Declarations!B$6:D$185,3,FALSE)),"",IF(VLOOKUP(A530,Declarations!B$6:D$185,3,FALSE)="","",VLOOKUP(A530,Declarations!B$6:D$185,3,FALSE)))</f>
        <v/>
      </c>
      <c r="F530" s="49" t="str">
        <f>IF(B530="","",IF(ISNA(VLOOKUP(A530,'75m'!F$5:G$302,2,FALSE)),"",VLOOKUP(A530,'75m'!F$5:G$302,2,FALSE)))</f>
        <v/>
      </c>
      <c r="G530" s="49">
        <f>IF(B530="",0,IF(ISNA(_xlfn.XLOOKUP(A530,'75m'!F$5:F$302,'75m'!M$5:M$302)),0,_xlfn.XLOOKUP(A530,'75m'!F$5:F$302,'75m'!M$5:M$302)))</f>
        <v>0</v>
      </c>
      <c r="H530" s="49" t="str">
        <f>IF(B530="","",IF(ISNA(VLOOKUP(A530,'75m'!F$5:K$302,6,FALSE)),"",VLOOKUP(A530,'75m'!F$5:K$302,6,FALSE)))</f>
        <v/>
      </c>
      <c r="I530" s="51">
        <f>IF(B530="",0,IF(ISNA(VLOOKUP(A530,'600m'!F$5:J$302,2,FALSE)),0,VLOOKUP(A530,'600m'!F$5:J$302,2,FALSE)))</f>
        <v>0</v>
      </c>
      <c r="J530" s="49">
        <f>IF(B530="",0,IF(ISNA(_xlfn.XLOOKUP(A530,'600m'!F$5:F$302,'600m'!M$5:M$302)),0,_xlfn.XLOOKUP(A530,'600m'!F$5:F$302,'600m'!M$5:M$302)))</f>
        <v>0</v>
      </c>
      <c r="K530" s="49" t="str">
        <f>IF(B530="","",IF(ISNA(VLOOKUP(A530,'600m'!F$5:K$302,6,FALSE)),"",VLOOKUP(A530,'600m'!F$5:K$302,6,FALSE)))</f>
        <v/>
      </c>
      <c r="L530" s="49" t="str">
        <f>IF(B530="","",IF(ISNA(VLOOKUP(A530,LongJump!F$5:G$302,2,FALSE)),"",VLOOKUP(A530,LongJump!F$5:G$302,2,FALSE)))</f>
        <v/>
      </c>
      <c r="M530" s="49">
        <f>IF(B530="",0,IF(ISNA(_xlfn.XLOOKUP(A530,LongJump!F$5:F$302,LongJump!M$5:M$302)),0,_xlfn.XLOOKUP(A530,LongJump!F$5:F$302,LongJump!M$5:M$302)))</f>
        <v>0</v>
      </c>
      <c r="N530" s="49" t="str">
        <f>IF(B530="","",IF(ISNA(VLOOKUP(A530,LongJump!F$5:K$302,6,FALSE)),0,VLOOKUP(A530,LongJump!F$5:K$302,6,FALSE)))</f>
        <v/>
      </c>
      <c r="O530" s="49" t="str">
        <f>IF(B530="","",IF(ISNA(VLOOKUP(A530,Vortex!F$5:J$302,2,FALSE)),"",VLOOKUP(A530,Vortex!F$5:J$302,2,FALSE)))</f>
        <v/>
      </c>
      <c r="P530" s="49">
        <f>IF(B530="",0,IF(ISNA(_xlfn.XLOOKUP(A530,Vortex!F$5:F$302,Vortex!M$5:M$302)),0,_xlfn.XLOOKUP(A530,Vortex!F$5:F$302,Vortex!M$5:M$302)))</f>
        <v>0</v>
      </c>
      <c r="Q530" s="49">
        <f t="shared" si="42"/>
        <v>0</v>
      </c>
      <c r="R530" s="49" t="str">
        <f t="shared" si="43"/>
        <v/>
      </c>
      <c r="S530" s="49" t="str">
        <f t="shared" si="44"/>
        <v/>
      </c>
      <c r="T530" s="49" t="str">
        <f t="shared" si="45"/>
        <v/>
      </c>
      <c r="U530" s="49" t="str">
        <f t="shared" si="46"/>
        <v/>
      </c>
    </row>
    <row r="531" spans="1:24">
      <c r="A531" s="49" t="str">
        <f>IF(Declarations!B288=0,"",Declarations!B288)</f>
        <v/>
      </c>
      <c r="B531" s="150" t="str">
        <f>IF(ISNA(VLOOKUP(A531,Declarations!B$6:C$185,2,FALSE)),"",IF(VLOOKUP(A531,Declarations!B$6:C$185,2,FALSE)="","",VLOOKUP(A531,Declarations!B$6:C$185,2,FALSE)))</f>
        <v/>
      </c>
      <c r="C531" s="150" t="str">
        <f>IF(ISNA(VLOOKUP(A531,Declarations!B$6:F$185,5,FALSE)),"",IF(VLOOKUP(A531,Declarations!B$6:F$185,5,FALSE)="","",VLOOKUP(A531,Declarations!B$6:F$185,5,FALSE)))</f>
        <v/>
      </c>
      <c r="D531" s="150" t="str">
        <f>IF(ISNA(VLOOKUP(A531,Declarations!B$6:F$185,4,FALSE)),"",IF(VLOOKUP(A531,Declarations!B$6:F$185,4,FALSE)="","",VLOOKUP(A531,Declarations!B$6:F$185,4,FALSE)))</f>
        <v/>
      </c>
      <c r="E531" s="150" t="str">
        <f>IF(ISNA(VLOOKUP(A531,Declarations!B$6:D$185,3,FALSE)),"",IF(VLOOKUP(A531,Declarations!B$6:D$185,3,FALSE)="","",VLOOKUP(A531,Declarations!B$6:D$185,3,FALSE)))</f>
        <v/>
      </c>
      <c r="F531" s="49" t="str">
        <f>IF(B531="","",IF(ISNA(VLOOKUP(A531,'75m'!F$5:G$302,2,FALSE)),"",VLOOKUP(A531,'75m'!F$5:G$302,2,FALSE)))</f>
        <v/>
      </c>
      <c r="G531" s="49">
        <f>IF(B531="",0,IF(ISNA(_xlfn.XLOOKUP(A531,'75m'!F$5:F$302,'75m'!M$5:M$302)),0,_xlfn.XLOOKUP(A531,'75m'!F$5:F$302,'75m'!M$5:M$302)))</f>
        <v>0</v>
      </c>
      <c r="H531" s="49" t="str">
        <f>IF(B531="","",IF(ISNA(VLOOKUP(A531,'75m'!F$5:K$302,6,FALSE)),"",VLOOKUP(A531,'75m'!F$5:K$302,6,FALSE)))</f>
        <v/>
      </c>
      <c r="I531" s="51">
        <f>IF(B531="",0,IF(ISNA(VLOOKUP(A531,'600m'!F$5:J$302,2,FALSE)),0,VLOOKUP(A531,'600m'!F$5:J$302,2,FALSE)))</f>
        <v>0</v>
      </c>
      <c r="J531" s="49">
        <f>IF(B531="",0,IF(ISNA(_xlfn.XLOOKUP(A531,'600m'!F$5:F$302,'600m'!M$5:M$302)),0,_xlfn.XLOOKUP(A531,'600m'!F$5:F$302,'600m'!M$5:M$302)))</f>
        <v>0</v>
      </c>
      <c r="K531" s="49" t="str">
        <f>IF(B531="","",IF(ISNA(VLOOKUP(A531,'600m'!F$5:K$302,6,FALSE)),"",VLOOKUP(A531,'600m'!F$5:K$302,6,FALSE)))</f>
        <v/>
      </c>
      <c r="L531" s="49" t="str">
        <f>IF(B531="","",IF(ISNA(VLOOKUP(A531,LongJump!F$5:G$302,2,FALSE)),"",VLOOKUP(A531,LongJump!F$5:G$302,2,FALSE)))</f>
        <v/>
      </c>
      <c r="M531" s="49">
        <f>IF(B531="",0,IF(ISNA(_xlfn.XLOOKUP(A531,LongJump!F$5:F$302,LongJump!M$5:M$302)),0,_xlfn.XLOOKUP(A531,LongJump!F$5:F$302,LongJump!M$5:M$302)))</f>
        <v>0</v>
      </c>
      <c r="N531" s="49" t="str">
        <f>IF(B531="","",IF(ISNA(VLOOKUP(A531,LongJump!F$5:K$302,6,FALSE)),0,VLOOKUP(A531,LongJump!F$5:K$302,6,FALSE)))</f>
        <v/>
      </c>
      <c r="O531" s="49" t="str">
        <f>IF(B531="","",IF(ISNA(VLOOKUP(A531,Vortex!F$5:J$302,2,FALSE)),"",VLOOKUP(A531,Vortex!F$5:J$302,2,FALSE)))</f>
        <v/>
      </c>
      <c r="P531" s="49">
        <f>IF(B531="",0,IF(ISNA(_xlfn.XLOOKUP(A531,Vortex!F$5:F$302,Vortex!M$5:M$302)),0,_xlfn.XLOOKUP(A531,Vortex!F$5:F$302,Vortex!M$5:M$302)))</f>
        <v>0</v>
      </c>
      <c r="Q531" s="49">
        <f t="shared" si="42"/>
        <v>0</v>
      </c>
      <c r="R531" s="49" t="str">
        <f t="shared" si="43"/>
        <v/>
      </c>
      <c r="S531" s="49" t="str">
        <f t="shared" si="44"/>
        <v/>
      </c>
      <c r="T531" s="49" t="str">
        <f t="shared" si="45"/>
        <v/>
      </c>
      <c r="U531" s="49" t="str">
        <f t="shared" si="46"/>
        <v/>
      </c>
    </row>
    <row r="532" spans="1:24">
      <c r="A532" s="49" t="str">
        <f>IF(Declarations!B289=0,"",Declarations!B289)</f>
        <v/>
      </c>
      <c r="B532" s="150" t="str">
        <f>IF(ISNA(VLOOKUP(A532,Declarations!B$6:C$185,2,FALSE)),"",IF(VLOOKUP(A532,Declarations!B$6:C$185,2,FALSE)="","",VLOOKUP(A532,Declarations!B$6:C$185,2,FALSE)))</f>
        <v/>
      </c>
      <c r="C532" s="150" t="str">
        <f>IF(ISNA(VLOOKUP(A532,Declarations!B$6:F$185,5,FALSE)),"",IF(VLOOKUP(A532,Declarations!B$6:F$185,5,FALSE)="","",VLOOKUP(A532,Declarations!B$6:F$185,5,FALSE)))</f>
        <v/>
      </c>
      <c r="D532" s="150" t="str">
        <f>IF(ISNA(VLOOKUP(A532,Declarations!B$6:F$185,4,FALSE)),"",IF(VLOOKUP(A532,Declarations!B$6:F$185,4,FALSE)="","",VLOOKUP(A532,Declarations!B$6:F$185,4,FALSE)))</f>
        <v/>
      </c>
      <c r="E532" s="150" t="str">
        <f>IF(ISNA(VLOOKUP(A532,Declarations!B$6:D$185,3,FALSE)),"",IF(VLOOKUP(A532,Declarations!B$6:D$185,3,FALSE)="","",VLOOKUP(A532,Declarations!B$6:D$185,3,FALSE)))</f>
        <v/>
      </c>
      <c r="F532" s="49" t="str">
        <f>IF(B532="","",IF(ISNA(VLOOKUP(A532,'75m'!F$5:G$302,2,FALSE)),"",VLOOKUP(A532,'75m'!F$5:G$302,2,FALSE)))</f>
        <v/>
      </c>
      <c r="G532" s="49">
        <f>IF(B532="",0,IF(ISNA(_xlfn.XLOOKUP(A532,'75m'!F$5:F$302,'75m'!M$5:M$302)),0,_xlfn.XLOOKUP(A532,'75m'!F$5:F$302,'75m'!M$5:M$302)))</f>
        <v>0</v>
      </c>
      <c r="H532" s="49" t="str">
        <f>IF(B532="","",IF(ISNA(VLOOKUP(A532,'75m'!F$5:K$302,6,FALSE)),"",VLOOKUP(A532,'75m'!F$5:K$302,6,FALSE)))</f>
        <v/>
      </c>
      <c r="I532" s="51">
        <f>IF(B532="",0,IF(ISNA(VLOOKUP(A532,'600m'!F$5:J$302,2,FALSE)),0,VLOOKUP(A532,'600m'!F$5:J$302,2,FALSE)))</f>
        <v>0</v>
      </c>
      <c r="J532" s="49">
        <f>IF(B532="",0,IF(ISNA(_xlfn.XLOOKUP(A532,'600m'!F$5:F$302,'600m'!M$5:M$302)),0,_xlfn.XLOOKUP(A532,'600m'!F$5:F$302,'600m'!M$5:M$302)))</f>
        <v>0</v>
      </c>
      <c r="K532" s="49" t="str">
        <f>IF(B532="","",IF(ISNA(VLOOKUP(A532,'600m'!F$5:K$302,6,FALSE)),"",VLOOKUP(A532,'600m'!F$5:K$302,6,FALSE)))</f>
        <v/>
      </c>
      <c r="L532" s="49" t="str">
        <f>IF(B532="","",IF(ISNA(VLOOKUP(A532,LongJump!F$5:G$302,2,FALSE)),"",VLOOKUP(A532,LongJump!F$5:G$302,2,FALSE)))</f>
        <v/>
      </c>
      <c r="M532" s="49">
        <f>IF(B532="",0,IF(ISNA(_xlfn.XLOOKUP(A532,LongJump!F$5:F$302,LongJump!M$5:M$302)),0,_xlfn.XLOOKUP(A532,LongJump!F$5:F$302,LongJump!M$5:M$302)))</f>
        <v>0</v>
      </c>
      <c r="N532" s="49" t="str">
        <f>IF(B532="","",IF(ISNA(VLOOKUP(A532,LongJump!F$5:K$302,6,FALSE)),0,VLOOKUP(A532,LongJump!F$5:K$302,6,FALSE)))</f>
        <v/>
      </c>
      <c r="O532" s="49" t="str">
        <f>IF(B532="","",IF(ISNA(VLOOKUP(A532,Vortex!F$5:J$302,2,FALSE)),"",VLOOKUP(A532,Vortex!F$5:J$302,2,FALSE)))</f>
        <v/>
      </c>
      <c r="P532" s="49">
        <f>IF(B532="",0,IF(ISNA(_xlfn.XLOOKUP(A532,Vortex!F$5:F$302,Vortex!M$5:M$302)),0,_xlfn.XLOOKUP(A532,Vortex!F$5:F$302,Vortex!M$5:M$302)))</f>
        <v>0</v>
      </c>
      <c r="Q532" s="49">
        <f t="shared" si="42"/>
        <v>0</v>
      </c>
      <c r="R532" s="49" t="str">
        <f t="shared" si="43"/>
        <v/>
      </c>
      <c r="S532" s="49" t="str">
        <f t="shared" si="44"/>
        <v/>
      </c>
      <c r="T532" s="49" t="str">
        <f t="shared" si="45"/>
        <v/>
      </c>
      <c r="U532" s="49" t="str">
        <f t="shared" si="46"/>
        <v/>
      </c>
    </row>
    <row r="533" spans="1:24">
      <c r="A533" s="49" t="str">
        <f>IF(Declarations!B290=0,"",Declarations!B290)</f>
        <v/>
      </c>
      <c r="B533" s="150" t="str">
        <f>IF(ISNA(VLOOKUP(A533,Declarations!B$6:C$185,2,FALSE)),"",IF(VLOOKUP(A533,Declarations!B$6:C$185,2,FALSE)="","",VLOOKUP(A533,Declarations!B$6:C$185,2,FALSE)))</f>
        <v/>
      </c>
      <c r="C533" s="150" t="str">
        <f>IF(ISNA(VLOOKUP(A533,Declarations!B$6:F$185,5,FALSE)),"",IF(VLOOKUP(A533,Declarations!B$6:F$185,5,FALSE)="","",VLOOKUP(A533,Declarations!B$6:F$185,5,FALSE)))</f>
        <v/>
      </c>
      <c r="D533" s="150" t="str">
        <f>IF(ISNA(VLOOKUP(A533,Declarations!B$6:F$185,4,FALSE)),"",IF(VLOOKUP(A533,Declarations!B$6:F$185,4,FALSE)="","",VLOOKUP(A533,Declarations!B$6:F$185,4,FALSE)))</f>
        <v/>
      </c>
      <c r="E533" s="150" t="str">
        <f>IF(ISNA(VLOOKUP(A533,Declarations!B$6:D$185,3,FALSE)),"",IF(VLOOKUP(A533,Declarations!B$6:D$185,3,FALSE)="","",VLOOKUP(A533,Declarations!B$6:D$185,3,FALSE)))</f>
        <v/>
      </c>
      <c r="F533" s="49" t="str">
        <f>IF(B533="","",IF(ISNA(VLOOKUP(A533,'75m'!F$5:G$302,2,FALSE)),"",VLOOKUP(A533,'75m'!F$5:G$302,2,FALSE)))</f>
        <v/>
      </c>
      <c r="G533" s="49">
        <f>IF(B533="",0,IF(ISNA(_xlfn.XLOOKUP(A533,'75m'!F$5:F$302,'75m'!M$5:M$302)),0,_xlfn.XLOOKUP(A533,'75m'!F$5:F$302,'75m'!M$5:M$302)))</f>
        <v>0</v>
      </c>
      <c r="H533" s="49" t="str">
        <f>IF(B533="","",IF(ISNA(VLOOKUP(A533,'75m'!F$5:K$302,6,FALSE)),"",VLOOKUP(A533,'75m'!F$5:K$302,6,FALSE)))</f>
        <v/>
      </c>
      <c r="I533" s="51">
        <f>IF(B533="",0,IF(ISNA(VLOOKUP(A533,'600m'!F$5:J$302,2,FALSE)),0,VLOOKUP(A533,'600m'!F$5:J$302,2,FALSE)))</f>
        <v>0</v>
      </c>
      <c r="J533" s="49">
        <f>IF(B533="",0,IF(ISNA(_xlfn.XLOOKUP(A533,'600m'!F$5:F$302,'600m'!M$5:M$302)),0,_xlfn.XLOOKUP(A533,'600m'!F$5:F$302,'600m'!M$5:M$302)))</f>
        <v>0</v>
      </c>
      <c r="K533" s="49" t="str">
        <f>IF(B533="","",IF(ISNA(VLOOKUP(A533,'600m'!F$5:K$302,6,FALSE)),"",VLOOKUP(A533,'600m'!F$5:K$302,6,FALSE)))</f>
        <v/>
      </c>
      <c r="L533" s="49" t="str">
        <f>IF(B533="","",IF(ISNA(VLOOKUP(A533,LongJump!F$5:G$302,2,FALSE)),"",VLOOKUP(A533,LongJump!F$5:G$302,2,FALSE)))</f>
        <v/>
      </c>
      <c r="M533" s="49">
        <f>IF(B533="",0,IF(ISNA(_xlfn.XLOOKUP(A533,LongJump!F$5:F$302,LongJump!M$5:M$302)),0,_xlfn.XLOOKUP(A533,LongJump!F$5:F$302,LongJump!M$5:M$302)))</f>
        <v>0</v>
      </c>
      <c r="N533" s="49" t="str">
        <f>IF(B533="","",IF(ISNA(VLOOKUP(A533,LongJump!F$5:K$302,6,FALSE)),0,VLOOKUP(A533,LongJump!F$5:K$302,6,FALSE)))</f>
        <v/>
      </c>
      <c r="O533" s="49" t="str">
        <f>IF(B533="","",IF(ISNA(VLOOKUP(A533,Vortex!F$5:J$302,2,FALSE)),"",VLOOKUP(A533,Vortex!F$5:J$302,2,FALSE)))</f>
        <v/>
      </c>
      <c r="P533" s="49">
        <f>IF(B533="",0,IF(ISNA(_xlfn.XLOOKUP(A533,Vortex!F$5:F$302,Vortex!M$5:M$302)),0,_xlfn.XLOOKUP(A533,Vortex!F$5:F$302,Vortex!M$5:M$302)))</f>
        <v>0</v>
      </c>
      <c r="Q533" s="49">
        <f t="shared" si="42"/>
        <v>0</v>
      </c>
      <c r="R533" s="49" t="str">
        <f t="shared" si="43"/>
        <v/>
      </c>
      <c r="S533" s="49" t="str">
        <f t="shared" si="44"/>
        <v/>
      </c>
      <c r="T533" s="49" t="str">
        <f t="shared" si="45"/>
        <v/>
      </c>
      <c r="U533" s="49" t="str">
        <f t="shared" si="46"/>
        <v/>
      </c>
    </row>
    <row r="534" spans="1:24">
      <c r="A534" s="49" t="str">
        <f>IF(Declarations!B291=0,"",Declarations!B291)</f>
        <v/>
      </c>
      <c r="B534" s="150" t="str">
        <f>IF(ISNA(VLOOKUP(A534,Declarations!B$6:C$185,2,FALSE)),"",IF(VLOOKUP(A534,Declarations!B$6:C$185,2,FALSE)="","",VLOOKUP(A534,Declarations!B$6:C$185,2,FALSE)))</f>
        <v/>
      </c>
      <c r="C534" s="150" t="str">
        <f>IF(ISNA(VLOOKUP(A534,Declarations!B$6:F$185,5,FALSE)),"",IF(VLOOKUP(A534,Declarations!B$6:F$185,5,FALSE)="","",VLOOKUP(A534,Declarations!B$6:F$185,5,FALSE)))</f>
        <v/>
      </c>
      <c r="D534" s="150" t="str">
        <f>IF(ISNA(VLOOKUP(A534,Declarations!B$6:F$185,4,FALSE)),"",IF(VLOOKUP(A534,Declarations!B$6:F$185,4,FALSE)="","",VLOOKUP(A534,Declarations!B$6:F$185,4,FALSE)))</f>
        <v/>
      </c>
      <c r="E534" s="150" t="str">
        <f>IF(ISNA(VLOOKUP(A534,Declarations!B$6:D$185,3,FALSE)),"",IF(VLOOKUP(A534,Declarations!B$6:D$185,3,FALSE)="","",VLOOKUP(A534,Declarations!B$6:D$185,3,FALSE)))</f>
        <v/>
      </c>
      <c r="F534" s="49" t="str">
        <f>IF(B534="","",IF(ISNA(VLOOKUP(A534,'75m'!F$5:G$302,2,FALSE)),"",VLOOKUP(A534,'75m'!F$5:G$302,2,FALSE)))</f>
        <v/>
      </c>
      <c r="G534" s="49">
        <f>IF(B534="",0,IF(ISNA(_xlfn.XLOOKUP(A534,'75m'!F$5:F$302,'75m'!M$5:M$302)),0,_xlfn.XLOOKUP(A534,'75m'!F$5:F$302,'75m'!M$5:M$302)))</f>
        <v>0</v>
      </c>
      <c r="H534" s="49" t="str">
        <f>IF(B534="","",IF(ISNA(VLOOKUP(A534,'75m'!F$5:K$302,6,FALSE)),"",VLOOKUP(A534,'75m'!F$5:K$302,6,FALSE)))</f>
        <v/>
      </c>
      <c r="I534" s="51">
        <f>IF(B534="",0,IF(ISNA(VLOOKUP(A534,'600m'!F$5:J$302,2,FALSE)),0,VLOOKUP(A534,'600m'!F$5:J$302,2,FALSE)))</f>
        <v>0</v>
      </c>
      <c r="J534" s="49">
        <f>IF(B534="",0,IF(ISNA(_xlfn.XLOOKUP(A534,'600m'!F$5:F$302,'600m'!M$5:M$302)),0,_xlfn.XLOOKUP(A534,'600m'!F$5:F$302,'600m'!M$5:M$302)))</f>
        <v>0</v>
      </c>
      <c r="K534" s="49" t="str">
        <f>IF(B534="","",IF(ISNA(VLOOKUP(A534,'600m'!F$5:K$302,6,FALSE)),"",VLOOKUP(A534,'600m'!F$5:K$302,6,FALSE)))</f>
        <v/>
      </c>
      <c r="L534" s="49" t="str">
        <f>IF(B534="","",IF(ISNA(VLOOKUP(A534,LongJump!F$5:G$302,2,FALSE)),"",VLOOKUP(A534,LongJump!F$5:G$302,2,FALSE)))</f>
        <v/>
      </c>
      <c r="M534" s="49">
        <f>IF(B534="",0,IF(ISNA(_xlfn.XLOOKUP(A534,LongJump!F$5:F$302,LongJump!M$5:M$302)),0,_xlfn.XLOOKUP(A534,LongJump!F$5:F$302,LongJump!M$5:M$302)))</f>
        <v>0</v>
      </c>
      <c r="N534" s="49" t="str">
        <f>IF(B534="","",IF(ISNA(VLOOKUP(A534,LongJump!F$5:K$302,6,FALSE)),0,VLOOKUP(A534,LongJump!F$5:K$302,6,FALSE)))</f>
        <v/>
      </c>
      <c r="O534" s="49" t="str">
        <f>IF(B534="","",IF(ISNA(VLOOKUP(A534,Vortex!F$5:J$302,2,FALSE)),"",VLOOKUP(A534,Vortex!F$5:J$302,2,FALSE)))</f>
        <v/>
      </c>
      <c r="P534" s="49">
        <f>IF(B534="",0,IF(ISNA(_xlfn.XLOOKUP(A534,Vortex!F$5:F$302,Vortex!M$5:M$302)),0,_xlfn.XLOOKUP(A534,Vortex!F$5:F$302,Vortex!M$5:M$302)))</f>
        <v>0</v>
      </c>
      <c r="Q534" s="49">
        <f t="shared" si="42"/>
        <v>0</v>
      </c>
      <c r="R534" s="49" t="str">
        <f t="shared" si="43"/>
        <v/>
      </c>
      <c r="S534" s="49" t="str">
        <f t="shared" si="44"/>
        <v/>
      </c>
      <c r="T534" s="49" t="str">
        <f t="shared" si="45"/>
        <v/>
      </c>
      <c r="U534" s="49" t="str">
        <f t="shared" si="46"/>
        <v/>
      </c>
    </row>
    <row r="535" spans="1:24">
      <c r="A535" s="49" t="str">
        <f>IF(Declarations!B292=0,"",Declarations!B292)</f>
        <v/>
      </c>
      <c r="B535" s="150" t="str">
        <f>IF(ISNA(VLOOKUP(A535,Declarations!B$6:C$185,2,FALSE)),"",IF(VLOOKUP(A535,Declarations!B$6:C$185,2,FALSE)="","",VLOOKUP(A535,Declarations!B$6:C$185,2,FALSE)))</f>
        <v/>
      </c>
      <c r="C535" s="150" t="str">
        <f>IF(ISNA(VLOOKUP(A535,Declarations!B$6:F$185,5,FALSE)),"",IF(VLOOKUP(A535,Declarations!B$6:F$185,5,FALSE)="","",VLOOKUP(A535,Declarations!B$6:F$185,5,FALSE)))</f>
        <v/>
      </c>
      <c r="D535" s="150" t="str">
        <f>IF(ISNA(VLOOKUP(A535,Declarations!B$6:F$185,4,FALSE)),"",IF(VLOOKUP(A535,Declarations!B$6:F$185,4,FALSE)="","",VLOOKUP(A535,Declarations!B$6:F$185,4,FALSE)))</f>
        <v/>
      </c>
      <c r="E535" s="150" t="str">
        <f>IF(ISNA(VLOOKUP(A535,Declarations!B$6:D$185,3,FALSE)),"",IF(VLOOKUP(A535,Declarations!B$6:D$185,3,FALSE)="","",VLOOKUP(A535,Declarations!B$6:D$185,3,FALSE)))</f>
        <v/>
      </c>
      <c r="F535" s="49" t="str">
        <f>IF(B535="","",IF(ISNA(VLOOKUP(A535,'75m'!F$5:G$302,2,FALSE)),"",VLOOKUP(A535,'75m'!F$5:G$302,2,FALSE)))</f>
        <v/>
      </c>
      <c r="G535" s="49">
        <f>IF(B535="",0,IF(ISNA(_xlfn.XLOOKUP(A535,'75m'!F$5:F$302,'75m'!M$5:M$302)),0,_xlfn.XLOOKUP(A535,'75m'!F$5:F$302,'75m'!M$5:M$302)))</f>
        <v>0</v>
      </c>
      <c r="H535" s="49" t="str">
        <f>IF(B535="","",IF(ISNA(VLOOKUP(A535,'75m'!F$5:K$302,6,FALSE)),"",VLOOKUP(A535,'75m'!F$5:K$302,6,FALSE)))</f>
        <v/>
      </c>
      <c r="I535" s="51">
        <f>IF(B535="",0,IF(ISNA(VLOOKUP(A535,'600m'!F$5:J$302,2,FALSE)),0,VLOOKUP(A535,'600m'!F$5:J$302,2,FALSE)))</f>
        <v>0</v>
      </c>
      <c r="J535" s="49">
        <f>IF(B535="",0,IF(ISNA(_xlfn.XLOOKUP(A535,'600m'!F$5:F$302,'600m'!M$5:M$302)),0,_xlfn.XLOOKUP(A535,'600m'!F$5:F$302,'600m'!M$5:M$302)))</f>
        <v>0</v>
      </c>
      <c r="K535" s="49" t="str">
        <f>IF(B535="","",IF(ISNA(VLOOKUP(A535,'600m'!F$5:K$302,6,FALSE)),"",VLOOKUP(A535,'600m'!F$5:K$302,6,FALSE)))</f>
        <v/>
      </c>
      <c r="L535" s="49" t="str">
        <f>IF(B535="","",IF(ISNA(VLOOKUP(A535,LongJump!F$5:G$302,2,FALSE)),"",VLOOKUP(A535,LongJump!F$5:G$302,2,FALSE)))</f>
        <v/>
      </c>
      <c r="M535" s="49">
        <f>IF(B535="",0,IF(ISNA(_xlfn.XLOOKUP(A535,LongJump!F$5:F$302,LongJump!M$5:M$302)),0,_xlfn.XLOOKUP(A535,LongJump!F$5:F$302,LongJump!M$5:M$302)))</f>
        <v>0</v>
      </c>
      <c r="N535" s="49" t="str">
        <f>IF(B535="","",IF(ISNA(VLOOKUP(A535,LongJump!F$5:K$302,6,FALSE)),0,VLOOKUP(A535,LongJump!F$5:K$302,6,FALSE)))</f>
        <v/>
      </c>
      <c r="O535" s="49" t="str">
        <f>IF(B535="","",IF(ISNA(VLOOKUP(A535,Vortex!F$5:J$302,2,FALSE)),"",VLOOKUP(A535,Vortex!F$5:J$302,2,FALSE)))</f>
        <v/>
      </c>
      <c r="P535" s="49">
        <f>IF(B535="",0,IF(ISNA(_xlfn.XLOOKUP(A535,Vortex!F$5:F$302,Vortex!M$5:M$302)),0,_xlfn.XLOOKUP(A535,Vortex!F$5:F$302,Vortex!M$5:M$302)))</f>
        <v>0</v>
      </c>
      <c r="Q535" s="49">
        <f t="shared" si="42"/>
        <v>0</v>
      </c>
      <c r="R535" s="49" t="str">
        <f t="shared" si="43"/>
        <v/>
      </c>
      <c r="S535" s="49" t="str">
        <f t="shared" si="44"/>
        <v/>
      </c>
      <c r="T535" s="49" t="str">
        <f t="shared" si="45"/>
        <v/>
      </c>
      <c r="U535" s="49" t="str">
        <f t="shared" si="46"/>
        <v/>
      </c>
    </row>
    <row r="536" spans="1:24">
      <c r="A536" s="49" t="str">
        <f>IF(Declarations!B293=0,"",Declarations!B293)</f>
        <v/>
      </c>
      <c r="B536" s="150" t="str">
        <f>IF(ISNA(VLOOKUP(A536,Declarations!B$6:C$185,2,FALSE)),"",IF(VLOOKUP(A536,Declarations!B$6:C$185,2,FALSE)="","",VLOOKUP(A536,Declarations!B$6:C$185,2,FALSE)))</f>
        <v/>
      </c>
      <c r="C536" s="150" t="str">
        <f>IF(ISNA(VLOOKUP(A536,Declarations!B$6:F$185,5,FALSE)),"",IF(VLOOKUP(A536,Declarations!B$6:F$185,5,FALSE)="","",VLOOKUP(A536,Declarations!B$6:F$185,5,FALSE)))</f>
        <v/>
      </c>
      <c r="D536" s="150" t="str">
        <f>IF(ISNA(VLOOKUP(A536,Declarations!B$6:F$185,4,FALSE)),"",IF(VLOOKUP(A536,Declarations!B$6:F$185,4,FALSE)="","",VLOOKUP(A536,Declarations!B$6:F$185,4,FALSE)))</f>
        <v/>
      </c>
      <c r="E536" s="150" t="str">
        <f>IF(ISNA(VLOOKUP(A536,Declarations!B$6:D$185,3,FALSE)),"",IF(VLOOKUP(A536,Declarations!B$6:D$185,3,FALSE)="","",VLOOKUP(A536,Declarations!B$6:D$185,3,FALSE)))</f>
        <v/>
      </c>
      <c r="F536" s="49" t="str">
        <f>IF(B536="","",IF(ISNA(VLOOKUP(A536,'75m'!F$5:G$302,2,FALSE)),"",VLOOKUP(A536,'75m'!F$5:G$302,2,FALSE)))</f>
        <v/>
      </c>
      <c r="G536" s="49">
        <f>IF(B536="",0,IF(ISNA(_xlfn.XLOOKUP(A536,'75m'!F$5:F$302,'75m'!M$5:M$302)),0,_xlfn.XLOOKUP(A536,'75m'!F$5:F$302,'75m'!M$5:M$302)))</f>
        <v>0</v>
      </c>
      <c r="H536" s="49" t="str">
        <f>IF(B536="","",IF(ISNA(VLOOKUP(A536,'75m'!F$5:K$302,6,FALSE)),"",VLOOKUP(A536,'75m'!F$5:K$302,6,FALSE)))</f>
        <v/>
      </c>
      <c r="I536" s="51">
        <f>IF(B536="",0,IF(ISNA(VLOOKUP(A536,'600m'!F$5:J$302,2,FALSE)),0,VLOOKUP(A536,'600m'!F$5:J$302,2,FALSE)))</f>
        <v>0</v>
      </c>
      <c r="J536" s="49">
        <f>IF(B536="",0,IF(ISNA(_xlfn.XLOOKUP(A536,'600m'!F$5:F$302,'600m'!M$5:M$302)),0,_xlfn.XLOOKUP(A536,'600m'!F$5:F$302,'600m'!M$5:M$302)))</f>
        <v>0</v>
      </c>
      <c r="K536" s="49" t="str">
        <f>IF(B536="","",IF(ISNA(VLOOKUP(A536,'600m'!F$5:K$302,6,FALSE)),"",VLOOKUP(A536,'600m'!F$5:K$302,6,FALSE)))</f>
        <v/>
      </c>
      <c r="L536" s="49" t="str">
        <f>IF(B536="","",IF(ISNA(VLOOKUP(A536,LongJump!F$5:G$302,2,FALSE)),"",VLOOKUP(A536,LongJump!F$5:G$302,2,FALSE)))</f>
        <v/>
      </c>
      <c r="M536" s="49">
        <f>IF(B536="",0,IF(ISNA(_xlfn.XLOOKUP(A536,LongJump!F$5:F$302,LongJump!M$5:M$302)),0,_xlfn.XLOOKUP(A536,LongJump!F$5:F$302,LongJump!M$5:M$302)))</f>
        <v>0</v>
      </c>
      <c r="N536" s="49" t="str">
        <f>IF(B536="","",IF(ISNA(VLOOKUP(A536,LongJump!F$5:K$302,6,FALSE)),0,VLOOKUP(A536,LongJump!F$5:K$302,6,FALSE)))</f>
        <v/>
      </c>
      <c r="O536" s="49" t="str">
        <f>IF(B536="","",IF(ISNA(VLOOKUP(A536,Vortex!F$5:J$302,2,FALSE)),"",VLOOKUP(A536,Vortex!F$5:J$302,2,FALSE)))</f>
        <v/>
      </c>
      <c r="P536" s="49">
        <f>IF(B536="",0,IF(ISNA(_xlfn.XLOOKUP(A536,Vortex!F$5:F$302,Vortex!M$5:M$302)),0,_xlfn.XLOOKUP(A536,Vortex!F$5:F$302,Vortex!M$5:M$302)))</f>
        <v>0</v>
      </c>
      <c r="Q536" s="49">
        <f t="shared" si="42"/>
        <v>0</v>
      </c>
      <c r="R536" s="49" t="str">
        <f>IF(OR($Q536=0,$E536&lt;&gt;"U10"),"",COUNTIFS($C$249:$C$536, $C536, $D$249:$D$536, $D536, $E$249:$E$536, $E536, $Q$249:$Q$536,"&gt;"&amp;$Q536)+1)</f>
        <v/>
      </c>
      <c r="S536" s="49" t="str">
        <f t="shared" si="44"/>
        <v/>
      </c>
      <c r="T536" s="49" t="str">
        <f t="shared" si="45"/>
        <v/>
      </c>
      <c r="U536" s="49" t="str">
        <f t="shared" si="46"/>
        <v/>
      </c>
    </row>
    <row r="538" spans="1:24">
      <c r="A538" s="124" t="str">
        <f>'Read Me First'!C11</f>
        <v>Camberley &amp; District AC</v>
      </c>
      <c r="B538" s="124" t="s">
        <v>134</v>
      </c>
      <c r="C538" s="124" t="s">
        <v>169</v>
      </c>
      <c r="D538" s="50" cm="1">
        <f t="array" ref="D538">IF(IFERROR(ROWS(_xlfn._xlws.FILTER($A$249:$A$536,($C$249:$C$536=A538)*($D$249:$D$536=B538)*($E$249:$E$536=C538))),0)=0, 0,SUM(LARGE(_xlfn._xlws.FILTER($Q$249:$Q$536,($C$249:$C$536=A538)*($D$249:$D$536=B538)*($E$249:$E$536=C538)),_xlfn.SEQUENCE(IF(IFERROR(ROWS(_xlfn._xlws.FILTER($A$249:$A$536,($C$249:$C$536=A538)*($D$249:$D$536=B538)*($E$249:$E$536=C538))),0)&gt;3, 4, IFERROR(ROWS(_xlfn._xlws.FILTER($A$249:$A$536,($C$249:$C$536=A538)*($D$249:$D$536=B538)*($E$249:$E$536=C538))),0))))))</f>
        <v>0</v>
      </c>
      <c r="E538" s="49" t="str">
        <f>IF(D538=0,"",RANK(D538,D$538:D$546))</f>
        <v/>
      </c>
      <c r="F538" s="49">
        <f>IF(E538="", 0, 9-E538)</f>
        <v>0</v>
      </c>
      <c r="G538" s="124" t="str">
        <f>A538</f>
        <v>Camberley &amp; District AC</v>
      </c>
      <c r="H538" s="124" t="s">
        <v>134</v>
      </c>
      <c r="I538" s="124" t="s">
        <v>116</v>
      </c>
      <c r="J538" s="50" cm="1">
        <f t="array" ref="J538">IF(IFERROR(ROWS(_xlfn._xlws.FILTER($A$249:$A$536,($C$249:$C$536=G538)*($D$249:$D$536=H538)*($E$249:$E$536=I538))),0)=0, 0,SUM(LARGE(_xlfn._xlws.FILTER($Q$249:$Q$536,($C$249:$C$536=G538)*($D$249:$D$536=H538)*($E$249:$E$536=I538)),_xlfn.SEQUENCE(IF(IFERROR(ROWS(_xlfn._xlws.FILTER($A$249:$A$536,($C$249:$C$536=G538)*($D$249:$D$536=H538)*($E$249:$E$536=I538))),0)&gt;3, 4, IFERROR(ROWS(_xlfn._xlws.FILTER($A$249:$A$536,($C$249:$C$536=G538)*($D$249:$D$536=H538)*($E$249:$E$536=I538))),0))))))</f>
        <v>1262</v>
      </c>
      <c r="K538" s="49">
        <f>IF(J538=0,"",RANK(J538,J$538:J$546))</f>
        <v>2</v>
      </c>
      <c r="L538" s="49">
        <f t="shared" ref="L538:L545" si="47">IF(K538="", 0, 9-K538)</f>
        <v>7</v>
      </c>
      <c r="M538" s="124" t="str">
        <f>G538</f>
        <v>Camberley &amp; District AC</v>
      </c>
      <c r="N538" s="124" t="s">
        <v>133</v>
      </c>
      <c r="O538" s="124" t="s">
        <v>169</v>
      </c>
      <c r="P538" s="50" cm="1">
        <f t="array" ref="P538">IF(IFERROR(ROWS(_xlfn._xlws.FILTER($A$249:$A$536,($C$249:$C$536=M538)*($D$249:$D$536=N538)*($E$249:$E$536=O538))),0)=0, 0,SUM(LARGE(_xlfn._xlws.FILTER($Q$249:$Q$536,($C$249:$C$536=M538)*($D$249:$D$536=N538)*($E$249:$E$536=O538)),_xlfn.SEQUENCE(IF(IFERROR(ROWS(_xlfn._xlws.FILTER($A$249:$A$536,($C$249:$C$536=M538)*($D$249:$D$536=N538)*($E$249:$E$536=O538))),0)&gt;3, 4, IFERROR(ROWS(_xlfn._xlws.FILTER($A$249:$A$536,($C$249:$C$536=M538)*($D$249:$D$536=N538)*($E$249:$E$536=O538))),0))))))</f>
        <v>0</v>
      </c>
      <c r="Q538" s="49" t="str">
        <f>IF(P538=0,"",RANK(P538,P$538:P$546))</f>
        <v/>
      </c>
      <c r="R538" s="49">
        <f>IF(Q538="", 0, 9-Q538)</f>
        <v>0</v>
      </c>
      <c r="S538" s="124" t="str">
        <f>M538</f>
        <v>Camberley &amp; District AC</v>
      </c>
      <c r="T538" s="124" t="s">
        <v>133</v>
      </c>
      <c r="U538" s="124" t="s">
        <v>116</v>
      </c>
      <c r="V538" s="50" cm="1">
        <f t="array" ref="V538">IF(IFERROR(ROWS(_xlfn._xlws.FILTER($A$249:$A$536,($C$249:$C$536=S538)*($D$249:$D$536=T538)*($E$249:$E$536=U538))),0)=0, 0,SUM(LARGE(_xlfn._xlws.FILTER($Q$249:$Q$536,($C$249:$C$536=S538)*($D$249:$D$536=T538)*($E$249:$E$536=U538)),_xlfn.SEQUENCE(IF(IFERROR(ROWS(_xlfn._xlws.FILTER($A$249:$A$536,($C$249:$C$536=S538)*($D$249:$D$536=T538)*($E$249:$E$536=U538))),0)&gt;3, 4, IFERROR(ROWS(_xlfn._xlws.FILTER($A$249:$A$536,($C$249:$C$536=S538)*($D$249:$D$536=T538)*($E$249:$E$536=U538))),0))))))</f>
        <v>1128</v>
      </c>
      <c r="W538" s="49">
        <f>IF(V538=0,"",RANK(V538,V$538:V$546))</f>
        <v>5</v>
      </c>
      <c r="X538" s="49">
        <f>IF(W538="", 0, 9-W538)</f>
        <v>4</v>
      </c>
    </row>
    <row r="539" spans="1:24">
      <c r="A539" s="124" t="str">
        <f>'Read Me First'!C12</f>
        <v>Woking AC</v>
      </c>
      <c r="B539" s="124" t="s">
        <v>134</v>
      </c>
      <c r="C539" s="124" t="s">
        <v>169</v>
      </c>
      <c r="D539" s="50" cm="1">
        <f t="array" ref="D539">IF(IFERROR(ROWS(_xlfn._xlws.FILTER($A$249:$A$536,($C$249:$C$536=A539)*($D$249:$D$536=B539)*($E$249:$E$536=C539))),0)=0, 0,SUM(LARGE(_xlfn._xlws.FILTER($Q$249:$Q$536,($C$249:$C$536=A539)*($D$249:$D$536=B539)*($E$249:$E$536=C539)),_xlfn.SEQUENCE(IF(IFERROR(ROWS(_xlfn._xlws.FILTER($A$249:$A$536,($C$249:$C$536=A539)*($D$249:$D$536=B539)*($E$249:$E$536=C539))),0)&gt;3, 4, IFERROR(ROWS(_xlfn._xlws.FILTER($A$249:$A$536,($C$249:$C$536=A539)*($D$249:$D$536=B539)*($E$249:$E$536=C539))),0))))))</f>
        <v>0</v>
      </c>
      <c r="E539" s="49" t="str">
        <f t="shared" ref="E539:E545" si="48">IF(D539=0,"",RANK(D539,D$538:D$546))</f>
        <v/>
      </c>
      <c r="F539" s="49">
        <f t="shared" ref="F539:F545" si="49">IF(E539="", 0, 9-E539)</f>
        <v>0</v>
      </c>
      <c r="G539" s="124" t="str">
        <f t="shared" ref="G539:G546" si="50">A539</f>
        <v>Woking AC</v>
      </c>
      <c r="H539" s="124" t="s">
        <v>134</v>
      </c>
      <c r="I539" s="124" t="s">
        <v>116</v>
      </c>
      <c r="J539" s="50" cm="1">
        <f t="array" ref="J539">IF(IFERROR(ROWS(_xlfn._xlws.FILTER($A$249:$A$536,($C$249:$C$536=G539)*($D$249:$D$536=H539)*($E$249:$E$536=I539))),0)=0, 0,SUM(LARGE(_xlfn._xlws.FILTER($Q$249:$Q$536,($C$249:$C$536=G539)*($D$249:$D$536=H539)*($E$249:$E$536=I539)),_xlfn.SEQUENCE(IF(IFERROR(ROWS(_xlfn._xlws.FILTER($A$249:$A$536,($C$249:$C$536=G539)*($D$249:$D$536=H539)*($E$249:$E$536=I539))),0)&gt;3, 4, IFERROR(ROWS(_xlfn._xlws.FILTER($A$249:$A$536,($C$249:$C$536=G539)*($D$249:$D$536=H539)*($E$249:$E$536=I539))),0))))))</f>
        <v>1181</v>
      </c>
      <c r="K539" s="49">
        <f t="shared" ref="K539:K545" si="51">IF(J539=0,"",RANK(J539,J$538:J$546))</f>
        <v>4</v>
      </c>
      <c r="L539" s="49">
        <f t="shared" si="47"/>
        <v>5</v>
      </c>
      <c r="M539" s="124" t="str">
        <f t="shared" ref="M539:M546" si="52">G539</f>
        <v>Woking AC</v>
      </c>
      <c r="N539" s="124" t="s">
        <v>133</v>
      </c>
      <c r="O539" s="124" t="s">
        <v>169</v>
      </c>
      <c r="P539" s="50" cm="1">
        <f t="array" ref="P539">IF(IFERROR(ROWS(_xlfn._xlws.FILTER($A$249:$A$536,($C$249:$C$536=M539)*($D$249:$D$536=N539)*($E$249:$E$536=O539))),0)=0, 0,SUM(LARGE(_xlfn._xlws.FILTER($Q$249:$Q$536,($C$249:$C$536=M539)*($D$249:$D$536=N539)*($E$249:$E$536=O539)),_xlfn.SEQUENCE(IF(IFERROR(ROWS(_xlfn._xlws.FILTER($A$249:$A$536,($C$249:$C$536=M539)*($D$249:$D$536=N539)*($E$249:$E$536=O539))),0)&gt;3, 4, IFERROR(ROWS(_xlfn._xlws.FILTER($A$249:$A$536,($C$249:$C$536=M539)*($D$249:$D$536=N539)*($E$249:$E$536=O539))),0))))))</f>
        <v>0</v>
      </c>
      <c r="Q539" s="49" t="str">
        <f t="shared" ref="Q539:Q545" si="53">IF(P539=0,"",RANK(P539,P$538:P$546))</f>
        <v/>
      </c>
      <c r="R539" s="49">
        <f t="shared" ref="R539:R545" si="54">IF(Q539="", 0, 9-Q539)</f>
        <v>0</v>
      </c>
      <c r="S539" s="124" t="str">
        <f t="shared" ref="S539:S546" si="55">M539</f>
        <v>Woking AC</v>
      </c>
      <c r="T539" s="124" t="s">
        <v>133</v>
      </c>
      <c r="U539" s="124" t="s">
        <v>116</v>
      </c>
      <c r="V539" s="50" cm="1">
        <f t="array" ref="V539">IF(IFERROR(ROWS(_xlfn._xlws.FILTER($A$249:$A$536,($C$249:$C$536=S539)*($D$249:$D$536=T539)*($E$249:$E$536=U539))),0)=0, 0,SUM(LARGE(_xlfn._xlws.FILTER($Q$249:$Q$536,($C$249:$C$536=S539)*($D$249:$D$536=T539)*($E$249:$E$536=U539)),_xlfn.SEQUENCE(IF(IFERROR(ROWS(_xlfn._xlws.FILTER($A$249:$A$536,($C$249:$C$536=S539)*($D$249:$D$536=T539)*($E$249:$E$536=U539))),0)&gt;3, 4, IFERROR(ROWS(_xlfn._xlws.FILTER($A$249:$A$536,($C$249:$C$536=S539)*($D$249:$D$536=T539)*($E$249:$E$536=U539))),0))))))</f>
        <v>1478</v>
      </c>
      <c r="W539" s="49">
        <f t="shared" ref="W539:W545" si="56">IF(V539=0,"",RANK(V539,V$538:V$546))</f>
        <v>1</v>
      </c>
      <c r="X539" s="49">
        <f t="shared" ref="X539:X545" si="57">IF(W539="", 0, 9-W539)</f>
        <v>8</v>
      </c>
    </row>
    <row r="540" spans="1:24">
      <c r="A540" s="124" t="str">
        <f>'Read Me First'!C13</f>
        <v>Poole Runners</v>
      </c>
      <c r="B540" s="124" t="s">
        <v>134</v>
      </c>
      <c r="C540" s="124" t="s">
        <v>169</v>
      </c>
      <c r="D540" s="50" cm="1">
        <f t="array" ref="D540">IF(IFERROR(ROWS(_xlfn._xlws.FILTER($A$249:$A$536,($C$249:$C$536=A540)*($D$249:$D$536=B540)*($E$249:$E$536=C540))),0)=0, 0,SUM(LARGE(_xlfn._xlws.FILTER($Q$249:$Q$536,($C$249:$C$536=A540)*($D$249:$D$536=B540)*($E$249:$E$536=C540)),_xlfn.SEQUENCE(IF(IFERROR(ROWS(_xlfn._xlws.FILTER($A$249:$A$536,($C$249:$C$536=A540)*($D$249:$D$536=B540)*($E$249:$E$536=C540))),0)&gt;3, 4, IFERROR(ROWS(_xlfn._xlws.FILTER($A$249:$A$536,($C$249:$C$536=A540)*($D$249:$D$536=B540)*($E$249:$E$536=C540))),0))))))</f>
        <v>0</v>
      </c>
      <c r="E540" s="49" t="str">
        <f t="shared" si="48"/>
        <v/>
      </c>
      <c r="F540" s="49">
        <f t="shared" si="49"/>
        <v>0</v>
      </c>
      <c r="G540" s="124" t="str">
        <f t="shared" si="50"/>
        <v>Poole Runners</v>
      </c>
      <c r="H540" s="124" t="s">
        <v>134</v>
      </c>
      <c r="I540" s="124" t="s">
        <v>116</v>
      </c>
      <c r="J540" s="50" cm="1">
        <f t="array" ref="J540">IF(IFERROR(ROWS(_xlfn._xlws.FILTER($A$249:$A$536,($C$249:$C$536=G540)*($D$249:$D$536=H540)*($E$249:$E$536=I540))),0)=0, 0,SUM(LARGE(_xlfn._xlws.FILTER($Q$249:$Q$536,($C$249:$C$536=G540)*($D$249:$D$536=H540)*($E$249:$E$536=I540)),_xlfn.SEQUENCE(IF(IFERROR(ROWS(_xlfn._xlws.FILTER($A$249:$A$536,($C$249:$C$536=G540)*($D$249:$D$536=H540)*($E$249:$E$536=I540))),0)&gt;3, 4, IFERROR(ROWS(_xlfn._xlws.FILTER($A$249:$A$536,($C$249:$C$536=G540)*($D$249:$D$536=H540)*($E$249:$E$536=I540))),0))))))</f>
        <v>1107</v>
      </c>
      <c r="K540" s="49">
        <f t="shared" si="51"/>
        <v>5</v>
      </c>
      <c r="L540" s="49">
        <f t="shared" si="47"/>
        <v>4</v>
      </c>
      <c r="M540" s="124" t="str">
        <f t="shared" si="52"/>
        <v>Poole Runners</v>
      </c>
      <c r="N540" s="124" t="s">
        <v>133</v>
      </c>
      <c r="O540" s="124" t="s">
        <v>169</v>
      </c>
      <c r="P540" s="50" cm="1">
        <f t="array" ref="P540">IF(IFERROR(ROWS(_xlfn._xlws.FILTER($A$249:$A$536,($C$249:$C$536=M540)*($D$249:$D$536=N540)*($E$249:$E$536=O540))),0)=0, 0,SUM(LARGE(_xlfn._xlws.FILTER($Q$249:$Q$536,($C$249:$C$536=M540)*($D$249:$D$536=N540)*($E$249:$E$536=O540)),_xlfn.SEQUENCE(IF(IFERROR(ROWS(_xlfn._xlws.FILTER($A$249:$A$536,($C$249:$C$536=M540)*($D$249:$D$536=N540)*($E$249:$E$536=O540))),0)&gt;3, 4, IFERROR(ROWS(_xlfn._xlws.FILTER($A$249:$A$536,($C$249:$C$536=M540)*($D$249:$D$536=N540)*($E$249:$E$536=O540))),0))))))</f>
        <v>0</v>
      </c>
      <c r="Q540" s="49" t="str">
        <f t="shared" si="53"/>
        <v/>
      </c>
      <c r="R540" s="49">
        <f t="shared" si="54"/>
        <v>0</v>
      </c>
      <c r="S540" s="124" t="str">
        <f t="shared" si="55"/>
        <v>Poole Runners</v>
      </c>
      <c r="T540" s="124" t="s">
        <v>133</v>
      </c>
      <c r="U540" s="124" t="s">
        <v>116</v>
      </c>
      <c r="V540" s="50" cm="1">
        <f t="array" ref="V540">IF(IFERROR(ROWS(_xlfn._xlws.FILTER($A$249:$A$536,($C$249:$C$536=S540)*($D$249:$D$536=T540)*($E$249:$E$536=U540))),0)=0, 0,SUM(LARGE(_xlfn._xlws.FILTER($Q$249:$Q$536,($C$249:$C$536=S540)*($D$249:$D$536=T540)*($E$249:$E$536=U540)),_xlfn.SEQUENCE(IF(IFERROR(ROWS(_xlfn._xlws.FILTER($A$249:$A$536,($C$249:$C$536=S540)*($D$249:$D$536=T540)*($E$249:$E$536=U540))),0)&gt;3, 4, IFERROR(ROWS(_xlfn._xlws.FILTER($A$249:$A$536,($C$249:$C$536=S540)*($D$249:$D$536=T540)*($E$249:$E$536=U540))),0))))))</f>
        <v>1139</v>
      </c>
      <c r="W540" s="49">
        <f t="shared" si="56"/>
        <v>4</v>
      </c>
      <c r="X540" s="49">
        <f t="shared" si="57"/>
        <v>5</v>
      </c>
    </row>
    <row r="541" spans="1:24">
      <c r="A541" s="124" t="str">
        <f>'Read Me First'!C14</f>
        <v>Fleet &amp; Crookham AC</v>
      </c>
      <c r="B541" s="124" t="s">
        <v>134</v>
      </c>
      <c r="C541" s="124" t="s">
        <v>169</v>
      </c>
      <c r="D541" s="50" cm="1">
        <f t="array" ref="D541">IF(IFERROR(ROWS(_xlfn._xlws.FILTER($A$249:$A$536,($C$249:$C$536=A541)*($D$249:$D$536=B541)*($E$249:$E$536=C541))),0)=0, 0,SUM(LARGE(_xlfn._xlws.FILTER($Q$249:$Q$536,($C$249:$C$536=A541)*($D$249:$D$536=B541)*($E$249:$E$536=C541)),_xlfn.SEQUENCE(IF(IFERROR(ROWS(_xlfn._xlws.FILTER($A$249:$A$536,($C$249:$C$536=A541)*($D$249:$D$536=B541)*($E$249:$E$536=C541))),0)&gt;3, 4, IFERROR(ROWS(_xlfn._xlws.FILTER($A$249:$A$536,($C$249:$C$536=A541)*($D$249:$D$536=B541)*($E$249:$E$536=C541))),0))))))</f>
        <v>0</v>
      </c>
      <c r="E541" s="49" t="str">
        <f t="shared" si="48"/>
        <v/>
      </c>
      <c r="F541" s="49">
        <f t="shared" si="49"/>
        <v>0</v>
      </c>
      <c r="G541" s="124" t="str">
        <f t="shared" si="50"/>
        <v>Fleet &amp; Crookham AC</v>
      </c>
      <c r="H541" s="124" t="s">
        <v>134</v>
      </c>
      <c r="I541" s="124" t="s">
        <v>116</v>
      </c>
      <c r="J541" s="50" cm="1">
        <f t="array" ref="J541">IF(IFERROR(ROWS(_xlfn._xlws.FILTER($A$249:$A$536,($C$249:$C$536=G541)*($D$249:$D$536=H541)*($E$249:$E$536=I541))),0)=0, 0,SUM(LARGE(_xlfn._xlws.FILTER($Q$249:$Q$536,($C$249:$C$536=G541)*($D$249:$D$536=H541)*($E$249:$E$536=I541)),_xlfn.SEQUENCE(IF(IFERROR(ROWS(_xlfn._xlws.FILTER($A$249:$A$536,($C$249:$C$536=G541)*($D$249:$D$536=H541)*($E$249:$E$536=I541))),0)&gt;3, 4, IFERROR(ROWS(_xlfn._xlws.FILTER($A$249:$A$536,($C$249:$C$536=G541)*($D$249:$D$536=H541)*($E$249:$E$536=I541))),0))))))</f>
        <v>1276</v>
      </c>
      <c r="K541" s="49">
        <f t="shared" si="51"/>
        <v>1</v>
      </c>
      <c r="L541" s="49">
        <f t="shared" si="47"/>
        <v>8</v>
      </c>
      <c r="M541" s="124" t="str">
        <f t="shared" si="52"/>
        <v>Fleet &amp; Crookham AC</v>
      </c>
      <c r="N541" s="124" t="s">
        <v>133</v>
      </c>
      <c r="O541" s="124" t="s">
        <v>169</v>
      </c>
      <c r="P541" s="50" cm="1">
        <f t="array" ref="P541">IF(IFERROR(ROWS(_xlfn._xlws.FILTER($A$249:$A$536,($C$249:$C$536=M541)*($D$249:$D$536=N541)*($E$249:$E$536=O541))),0)=0, 0,SUM(LARGE(_xlfn._xlws.FILTER($Q$249:$Q$536,($C$249:$C$536=M541)*($D$249:$D$536=N541)*($E$249:$E$536=O541)),_xlfn.SEQUENCE(IF(IFERROR(ROWS(_xlfn._xlws.FILTER($A$249:$A$536,($C$249:$C$536=M541)*($D$249:$D$536=N541)*($E$249:$E$536=O541))),0)&gt;3, 4, IFERROR(ROWS(_xlfn._xlws.FILTER($A$249:$A$536,($C$249:$C$536=M541)*($D$249:$D$536=N541)*($E$249:$E$536=O541))),0))))))</f>
        <v>0</v>
      </c>
      <c r="Q541" s="49" t="str">
        <f t="shared" si="53"/>
        <v/>
      </c>
      <c r="R541" s="49">
        <f t="shared" si="54"/>
        <v>0</v>
      </c>
      <c r="S541" s="124" t="str">
        <f t="shared" si="55"/>
        <v>Fleet &amp; Crookham AC</v>
      </c>
      <c r="T541" s="124" t="s">
        <v>133</v>
      </c>
      <c r="U541" s="124" t="s">
        <v>116</v>
      </c>
      <c r="V541" s="50" cm="1">
        <f t="array" ref="V541">IF(IFERROR(ROWS(_xlfn._xlws.FILTER($A$249:$A$536,($C$249:$C$536=S541)*($D$249:$D$536=T541)*($E$249:$E$536=U541))),0)=0, 0,SUM(LARGE(_xlfn._xlws.FILTER($Q$249:$Q$536,($C$249:$C$536=S541)*($D$249:$D$536=T541)*($E$249:$E$536=U541)),_xlfn.SEQUENCE(IF(IFERROR(ROWS(_xlfn._xlws.FILTER($A$249:$A$536,($C$249:$C$536=S541)*($D$249:$D$536=T541)*($E$249:$E$536=U541))),0)&gt;3, 4, IFERROR(ROWS(_xlfn._xlws.FILTER($A$249:$A$536,($C$249:$C$536=S541)*($D$249:$D$536=T541)*($E$249:$E$536=U541))),0))))))</f>
        <v>1251</v>
      </c>
      <c r="W541" s="49">
        <f t="shared" si="56"/>
        <v>3</v>
      </c>
      <c r="X541" s="49">
        <f t="shared" si="57"/>
        <v>6</v>
      </c>
    </row>
    <row r="542" spans="1:24">
      <c r="A542" s="124" t="str">
        <f>'Read Me First'!C15</f>
        <v>Waverley Athletics Club</v>
      </c>
      <c r="B542" s="124" t="s">
        <v>134</v>
      </c>
      <c r="C542" s="124" t="s">
        <v>169</v>
      </c>
      <c r="D542" s="50" cm="1">
        <f t="array" ref="D542">IF(IFERROR(ROWS(_xlfn._xlws.FILTER($A$249:$A$536,($C$249:$C$536=A542)*($D$249:$D$536=B542)*($E$249:$E$536=C542))),0)=0, 0,SUM(LARGE(_xlfn._xlws.FILTER($Q$249:$Q$536,($C$249:$C$536=A542)*($D$249:$D$536=B542)*($E$249:$E$536=C542)),_xlfn.SEQUENCE(IF(IFERROR(ROWS(_xlfn._xlws.FILTER($A$249:$A$536,($C$249:$C$536=A542)*($D$249:$D$536=B542)*($E$249:$E$536=C542))),0)&gt;3, 4, IFERROR(ROWS(_xlfn._xlws.FILTER($A$249:$A$536,($C$249:$C$536=A542)*($D$249:$D$536=B542)*($E$249:$E$536=C542))),0))))))</f>
        <v>0</v>
      </c>
      <c r="E542" s="49" t="str">
        <f t="shared" si="48"/>
        <v/>
      </c>
      <c r="F542" s="49">
        <f t="shared" si="49"/>
        <v>0</v>
      </c>
      <c r="G542" s="124" t="str">
        <f t="shared" si="50"/>
        <v>Waverley Athletics Club</v>
      </c>
      <c r="H542" s="124" t="s">
        <v>134</v>
      </c>
      <c r="I542" s="124" t="s">
        <v>116</v>
      </c>
      <c r="J542" s="50" cm="1">
        <f t="array" ref="J542">IF(IFERROR(ROWS(_xlfn._xlws.FILTER($A$249:$A$536,($C$249:$C$536=G542)*($D$249:$D$536=H542)*($E$249:$E$536=I542))),0)=0, 0,SUM(LARGE(_xlfn._xlws.FILTER($Q$249:$Q$536,($C$249:$C$536=G542)*($D$249:$D$536=H542)*($E$249:$E$536=I542)),_xlfn.SEQUENCE(IF(IFERROR(ROWS(_xlfn._xlws.FILTER($A$249:$A$536,($C$249:$C$536=G542)*($D$249:$D$536=H542)*($E$249:$E$536=I542))),0)&gt;3, 4, IFERROR(ROWS(_xlfn._xlws.FILTER($A$249:$A$536,($C$249:$C$536=G542)*($D$249:$D$536=H542)*($E$249:$E$536=I542))),0))))))</f>
        <v>1262</v>
      </c>
      <c r="K542" s="49">
        <f t="shared" si="51"/>
        <v>2</v>
      </c>
      <c r="L542" s="49">
        <f t="shared" si="47"/>
        <v>7</v>
      </c>
      <c r="M542" s="124" t="str">
        <f t="shared" si="52"/>
        <v>Waverley Athletics Club</v>
      </c>
      <c r="N542" s="124" t="s">
        <v>133</v>
      </c>
      <c r="O542" s="124" t="s">
        <v>169</v>
      </c>
      <c r="P542" s="50" cm="1">
        <f t="array" ref="P542">IF(IFERROR(ROWS(_xlfn._xlws.FILTER($A$249:$A$536,($C$249:$C$536=M542)*($D$249:$D$536=N542)*($E$249:$E$536=O542))),0)=0, 0,SUM(LARGE(_xlfn._xlws.FILTER($Q$249:$Q$536,($C$249:$C$536=M542)*($D$249:$D$536=N542)*($E$249:$E$536=O542)),_xlfn.SEQUENCE(IF(IFERROR(ROWS(_xlfn._xlws.FILTER($A$249:$A$536,($C$249:$C$536=M542)*($D$249:$D$536=N542)*($E$249:$E$536=O542))),0)&gt;3, 4, IFERROR(ROWS(_xlfn._xlws.FILTER($A$249:$A$536,($C$249:$C$536=M542)*($D$249:$D$536=N542)*($E$249:$E$536=O542))),0))))))</f>
        <v>0</v>
      </c>
      <c r="Q542" s="49" t="str">
        <f t="shared" si="53"/>
        <v/>
      </c>
      <c r="R542" s="49">
        <f t="shared" si="54"/>
        <v>0</v>
      </c>
      <c r="S542" s="124" t="str">
        <f t="shared" si="55"/>
        <v>Waverley Athletics Club</v>
      </c>
      <c r="T542" s="124" t="s">
        <v>133</v>
      </c>
      <c r="U542" s="124" t="s">
        <v>116</v>
      </c>
      <c r="V542" s="50" cm="1">
        <f t="array" ref="V542">IF(IFERROR(ROWS(_xlfn._xlws.FILTER($A$249:$A$536,($C$249:$C$536=S542)*($D$249:$D$536=T542)*($E$249:$E$536=U542))),0)=0, 0,SUM(LARGE(_xlfn._xlws.FILTER($Q$249:$Q$536,($C$249:$C$536=S542)*($D$249:$D$536=T542)*($E$249:$E$536=U542)),_xlfn.SEQUENCE(IF(IFERROR(ROWS(_xlfn._xlws.FILTER($A$249:$A$536,($C$249:$C$536=S542)*($D$249:$D$536=T542)*($E$249:$E$536=U542))),0)&gt;3, 4, IFERROR(ROWS(_xlfn._xlws.FILTER($A$249:$A$536,($C$249:$C$536=S542)*($D$249:$D$536=T542)*($E$249:$E$536=U542))),0))))))</f>
        <v>873</v>
      </c>
      <c r="W542" s="49">
        <f t="shared" si="56"/>
        <v>6</v>
      </c>
      <c r="X542" s="49">
        <f t="shared" si="57"/>
        <v>3</v>
      </c>
    </row>
    <row r="543" spans="1:24">
      <c r="A543" s="124" t="str">
        <f>'Read Me First'!C16</f>
        <v>Basingstoke &amp; Mid Hants AC</v>
      </c>
      <c r="B543" s="124" t="s">
        <v>134</v>
      </c>
      <c r="C543" s="124" t="s">
        <v>169</v>
      </c>
      <c r="D543" s="50" cm="1">
        <f t="array" ref="D543">IF(IFERROR(ROWS(_xlfn._xlws.FILTER($A$249:$A$536,($C$249:$C$536=A543)*($D$249:$D$536=B543)*($E$249:$E$536=C543))),0)=0, 0,SUM(LARGE(_xlfn._xlws.FILTER($Q$249:$Q$536,($C$249:$C$536=A543)*($D$249:$D$536=B543)*($E$249:$E$536=C543)),_xlfn.SEQUENCE(IF(IFERROR(ROWS(_xlfn._xlws.FILTER($A$249:$A$536,($C$249:$C$536=A543)*($D$249:$D$536=B543)*($E$249:$E$536=C543))),0)&gt;3, 4, IFERROR(ROWS(_xlfn._xlws.FILTER($A$249:$A$536,($C$249:$C$536=A543)*($D$249:$D$536=B543)*($E$249:$E$536=C543))),0))))))</f>
        <v>0</v>
      </c>
      <c r="E543" s="49" t="str">
        <f t="shared" si="48"/>
        <v/>
      </c>
      <c r="F543" s="49">
        <f t="shared" si="49"/>
        <v>0</v>
      </c>
      <c r="G543" s="124" t="str">
        <f t="shared" si="50"/>
        <v>Basingstoke &amp; Mid Hants AC</v>
      </c>
      <c r="H543" s="124" t="s">
        <v>134</v>
      </c>
      <c r="I543" s="124" t="s">
        <v>116</v>
      </c>
      <c r="J543" s="50" cm="1">
        <f t="array" ref="J543">IF(IFERROR(ROWS(_xlfn._xlws.FILTER($A$249:$A$536,($C$249:$C$536=G543)*($D$249:$D$536=H543)*($E$249:$E$536=I543))),0)=0, 0,SUM(LARGE(_xlfn._xlws.FILTER($Q$249:$Q$536,($C$249:$C$536=G543)*($D$249:$D$536=H543)*($E$249:$E$536=I543)),_xlfn.SEQUENCE(IF(IFERROR(ROWS(_xlfn._xlws.FILTER($A$249:$A$536,($C$249:$C$536=G543)*($D$249:$D$536=H543)*($E$249:$E$536=I543))),0)&gt;3, 4, IFERROR(ROWS(_xlfn._xlws.FILTER($A$249:$A$536,($C$249:$C$536=G543)*($D$249:$D$536=H543)*($E$249:$E$536=I543))),0))))))</f>
        <v>938</v>
      </c>
      <c r="K543" s="49">
        <f t="shared" si="51"/>
        <v>6</v>
      </c>
      <c r="L543" s="49">
        <f t="shared" si="47"/>
        <v>3</v>
      </c>
      <c r="M543" s="124" t="str">
        <f t="shared" si="52"/>
        <v>Basingstoke &amp; Mid Hants AC</v>
      </c>
      <c r="N543" s="124" t="s">
        <v>133</v>
      </c>
      <c r="O543" s="124" t="s">
        <v>169</v>
      </c>
      <c r="P543" s="50" cm="1">
        <f t="array" ref="P543">IF(IFERROR(ROWS(_xlfn._xlws.FILTER($A$249:$A$536,($C$249:$C$536=M543)*($D$249:$D$536=N543)*($E$249:$E$536=O543))),0)=0, 0,SUM(LARGE(_xlfn._xlws.FILTER($Q$249:$Q$536,($C$249:$C$536=M543)*($D$249:$D$536=N543)*($E$249:$E$536=O543)),_xlfn.SEQUENCE(IF(IFERROR(ROWS(_xlfn._xlws.FILTER($A$249:$A$536,($C$249:$C$536=M543)*($D$249:$D$536=N543)*($E$249:$E$536=O543))),0)&gt;3, 4, IFERROR(ROWS(_xlfn._xlws.FILTER($A$249:$A$536,($C$249:$C$536=M543)*($D$249:$D$536=N543)*($E$249:$E$536=O543))),0))))))</f>
        <v>0</v>
      </c>
      <c r="Q543" s="49" t="str">
        <f t="shared" si="53"/>
        <v/>
      </c>
      <c r="R543" s="49">
        <f t="shared" si="54"/>
        <v>0</v>
      </c>
      <c r="S543" s="124" t="str">
        <f t="shared" si="55"/>
        <v>Basingstoke &amp; Mid Hants AC</v>
      </c>
      <c r="T543" s="124" t="s">
        <v>133</v>
      </c>
      <c r="U543" s="124" t="s">
        <v>116</v>
      </c>
      <c r="V543" s="50" cm="1">
        <f t="array" ref="V543">IF(IFERROR(ROWS(_xlfn._xlws.FILTER($A$249:$A$536,($C$249:$C$536=S543)*($D$249:$D$536=T543)*($E$249:$E$536=U543))),0)=0, 0,SUM(LARGE(_xlfn._xlws.FILTER($Q$249:$Q$536,($C$249:$C$536=S543)*($D$249:$D$536=T543)*($E$249:$E$536=U543)),_xlfn.SEQUENCE(IF(IFERROR(ROWS(_xlfn._xlws.FILTER($A$249:$A$536,($C$249:$C$536=S543)*($D$249:$D$536=T543)*($E$249:$E$536=U543))),0)&gt;3, 4, IFERROR(ROWS(_xlfn._xlws.FILTER($A$249:$A$536,($C$249:$C$536=S543)*($D$249:$D$536=T543)*($E$249:$E$536=U543))),0))))))</f>
        <v>1329</v>
      </c>
      <c r="W543" s="49">
        <f t="shared" si="56"/>
        <v>2</v>
      </c>
      <c r="X543" s="49">
        <f t="shared" si="57"/>
        <v>7</v>
      </c>
    </row>
    <row r="544" spans="1:24">
      <c r="A544" s="124" t="str">
        <f>'Read Me First'!C17</f>
        <v/>
      </c>
      <c r="B544" s="124" t="s">
        <v>134</v>
      </c>
      <c r="C544" s="124" t="s">
        <v>169</v>
      </c>
      <c r="D544" s="50" cm="1">
        <f t="array" ref="D544">IF(IFERROR(ROWS(_xlfn._xlws.FILTER($A$249:$A$536,($C$249:$C$536=A544)*($D$249:$D$536=B544)*($E$249:$E$536=C544))),0)=0, 0,SUM(LARGE(_xlfn._xlws.FILTER($Q$249:$Q$536,($C$249:$C$536=A544)*($D$249:$D$536=B544)*($E$249:$E$536=C544)),_xlfn.SEQUENCE(IF(IFERROR(ROWS(_xlfn._xlws.FILTER($A$249:$A$536,($C$249:$C$536=A544)*($D$249:$D$536=B544)*($E$249:$E$536=C544))),0)&gt;3, 4, IFERROR(ROWS(_xlfn._xlws.FILTER($A$249:$A$536,($C$249:$C$536=A544)*($D$249:$D$536=B544)*($E$249:$E$536=C544))),0))))))</f>
        <v>0</v>
      </c>
      <c r="E544" s="49" t="str">
        <f t="shared" si="48"/>
        <v/>
      </c>
      <c r="F544" s="49">
        <f t="shared" si="49"/>
        <v>0</v>
      </c>
      <c r="G544" s="124" t="str">
        <f t="shared" si="50"/>
        <v/>
      </c>
      <c r="H544" s="124" t="s">
        <v>134</v>
      </c>
      <c r="I544" s="124" t="s">
        <v>116</v>
      </c>
      <c r="J544" s="50" cm="1">
        <f t="array" ref="J544">IF(IFERROR(ROWS(_xlfn._xlws.FILTER($A$249:$A$536,($C$249:$C$536=G544)*($D$249:$D$536=H544)*($E$249:$E$536=I544))),0)=0, 0,SUM(LARGE(_xlfn._xlws.FILTER($Q$249:$Q$536,($C$249:$C$536=G544)*($D$249:$D$536=H544)*($E$249:$E$536=I544)),_xlfn.SEQUENCE(IF(IFERROR(ROWS(_xlfn._xlws.FILTER($A$249:$A$536,($C$249:$C$536=G544)*($D$249:$D$536=H544)*($E$249:$E$536=I544))),0)&gt;3, 4, IFERROR(ROWS(_xlfn._xlws.FILTER($A$249:$A$536,($C$249:$C$536=G544)*($D$249:$D$536=H544)*($E$249:$E$536=I544))),0))))))</f>
        <v>0</v>
      </c>
      <c r="K544" s="49" t="str">
        <f t="shared" si="51"/>
        <v/>
      </c>
      <c r="L544" s="49">
        <f t="shared" si="47"/>
        <v>0</v>
      </c>
      <c r="M544" s="124" t="str">
        <f t="shared" si="52"/>
        <v/>
      </c>
      <c r="N544" s="124" t="s">
        <v>133</v>
      </c>
      <c r="O544" s="124" t="s">
        <v>169</v>
      </c>
      <c r="P544" s="50" cm="1">
        <f t="array" ref="P544">IF(IFERROR(ROWS(_xlfn._xlws.FILTER($A$249:$A$536,($C$249:$C$536=M544)*($D$249:$D$536=N544)*($E$249:$E$536=O544))),0)=0, 0,SUM(LARGE(_xlfn._xlws.FILTER($Q$249:$Q$536,($C$249:$C$536=M544)*($D$249:$D$536=N544)*($E$249:$E$536=O544)),_xlfn.SEQUENCE(IF(IFERROR(ROWS(_xlfn._xlws.FILTER($A$249:$A$536,($C$249:$C$536=M544)*($D$249:$D$536=N544)*($E$249:$E$536=O544))),0)&gt;3, 4, IFERROR(ROWS(_xlfn._xlws.FILTER($A$249:$A$536,($C$249:$C$536=M544)*($D$249:$D$536=N544)*($E$249:$E$536=O544))),0))))))</f>
        <v>0</v>
      </c>
      <c r="Q544" s="49" t="str">
        <f t="shared" si="53"/>
        <v/>
      </c>
      <c r="R544" s="49">
        <f t="shared" si="54"/>
        <v>0</v>
      </c>
      <c r="S544" s="124" t="str">
        <f t="shared" si="55"/>
        <v/>
      </c>
      <c r="T544" s="124" t="s">
        <v>133</v>
      </c>
      <c r="U544" s="124" t="s">
        <v>116</v>
      </c>
      <c r="V544" s="50" cm="1">
        <f t="array" ref="V544">IF(IFERROR(ROWS(_xlfn._xlws.FILTER($A$249:$A$536,($C$249:$C$536=S544)*($D$249:$D$536=T544)*($E$249:$E$536=U544))),0)=0, 0,SUM(LARGE(_xlfn._xlws.FILTER($Q$249:$Q$536,($C$249:$C$536=S544)*($D$249:$D$536=T544)*($E$249:$E$536=U544)),_xlfn.SEQUENCE(IF(IFERROR(ROWS(_xlfn._xlws.FILTER($A$249:$A$536,($C$249:$C$536=S544)*($D$249:$D$536=T544)*($E$249:$E$536=U544))),0)&gt;3, 4, IFERROR(ROWS(_xlfn._xlws.FILTER($A$249:$A$536,($C$249:$C$536=S544)*($D$249:$D$536=T544)*($E$249:$E$536=U544))),0))))))</f>
        <v>0</v>
      </c>
      <c r="W544" s="49" t="str">
        <f t="shared" si="56"/>
        <v/>
      </c>
      <c r="X544" s="49">
        <f t="shared" si="57"/>
        <v>0</v>
      </c>
    </row>
    <row r="545" spans="1:24">
      <c r="A545" s="124" t="str">
        <f>'Read Me First'!C18</f>
        <v/>
      </c>
      <c r="B545" s="124" t="s">
        <v>134</v>
      </c>
      <c r="C545" s="124" t="s">
        <v>169</v>
      </c>
      <c r="D545" s="50" cm="1">
        <f t="array" ref="D545">IF(IFERROR(ROWS(_xlfn._xlws.FILTER($A$249:$A$536,($C$249:$C$536=A545)*($D$249:$D$536=B545)*($E$249:$E$536=C545))),0)=0, 0,SUM(LARGE(_xlfn._xlws.FILTER($Q$249:$Q$536,($C$249:$C$536=A545)*($D$249:$D$536=B545)*($E$249:$E$536=C545)),_xlfn.SEQUENCE(IF(IFERROR(ROWS(_xlfn._xlws.FILTER($A$249:$A$536,($C$249:$C$536=A545)*($D$249:$D$536=B545)*($E$249:$E$536=C545))),0)&gt;3, 4, IFERROR(ROWS(_xlfn._xlws.FILTER($A$249:$A$536,($C$249:$C$536=A545)*($D$249:$D$536=B545)*($E$249:$E$536=C545))),0))))))</f>
        <v>0</v>
      </c>
      <c r="E545" s="49" t="str">
        <f t="shared" si="48"/>
        <v/>
      </c>
      <c r="F545" s="49">
        <f t="shared" si="49"/>
        <v>0</v>
      </c>
      <c r="G545" s="124" t="str">
        <f t="shared" si="50"/>
        <v/>
      </c>
      <c r="H545" s="124" t="s">
        <v>134</v>
      </c>
      <c r="I545" s="124" t="s">
        <v>116</v>
      </c>
      <c r="J545" s="50" cm="1">
        <f t="array" ref="J545">IF(IFERROR(ROWS(_xlfn._xlws.FILTER($A$249:$A$536,($C$249:$C$536=G545)*($D$249:$D$536=H545)*($E$249:$E$536=I545))),0)=0, 0,SUM(LARGE(_xlfn._xlws.FILTER($Q$249:$Q$536,($C$249:$C$536=G545)*($D$249:$D$536=H545)*($E$249:$E$536=I545)),_xlfn.SEQUENCE(IF(IFERROR(ROWS(_xlfn._xlws.FILTER($A$249:$A$536,($C$249:$C$536=G545)*($D$249:$D$536=H545)*($E$249:$E$536=I545))),0)&gt;3, 4, IFERROR(ROWS(_xlfn._xlws.FILTER($A$249:$A$536,($C$249:$C$536=G545)*($D$249:$D$536=H545)*($E$249:$E$536=I545))),0))))))</f>
        <v>0</v>
      </c>
      <c r="K545" s="49" t="str">
        <f t="shared" si="51"/>
        <v/>
      </c>
      <c r="L545" s="49">
        <f t="shared" si="47"/>
        <v>0</v>
      </c>
      <c r="M545" s="124" t="str">
        <f t="shared" si="52"/>
        <v/>
      </c>
      <c r="N545" s="124" t="s">
        <v>133</v>
      </c>
      <c r="O545" s="124" t="s">
        <v>169</v>
      </c>
      <c r="P545" s="50" cm="1">
        <f t="array" ref="P545">IF(IFERROR(ROWS(_xlfn._xlws.FILTER($A$249:$A$536,($C$249:$C$536=M545)*($D$249:$D$536=N545)*($E$249:$E$536=O545))),0)=0, 0,SUM(LARGE(_xlfn._xlws.FILTER($Q$249:$Q$536,($C$249:$C$536=M545)*($D$249:$D$536=N545)*($E$249:$E$536=O545)),_xlfn.SEQUENCE(IF(IFERROR(ROWS(_xlfn._xlws.FILTER($A$249:$A$536,($C$249:$C$536=M545)*($D$249:$D$536=N545)*($E$249:$E$536=O545))),0)&gt;3, 4, IFERROR(ROWS(_xlfn._xlws.FILTER($A$249:$A$536,($C$249:$C$536=M545)*($D$249:$D$536=N545)*($E$249:$E$536=O545))),0))))))</f>
        <v>0</v>
      </c>
      <c r="Q545" s="49" t="str">
        <f t="shared" si="53"/>
        <v/>
      </c>
      <c r="R545" s="49">
        <f t="shared" si="54"/>
        <v>0</v>
      </c>
      <c r="S545" s="124" t="str">
        <f t="shared" si="55"/>
        <v/>
      </c>
      <c r="T545" s="124" t="s">
        <v>133</v>
      </c>
      <c r="U545" s="124" t="s">
        <v>116</v>
      </c>
      <c r="V545" s="50" cm="1">
        <f t="array" ref="V545">IF(IFERROR(ROWS(_xlfn._xlws.FILTER($A$249:$A$536,($C$249:$C$536=S545)*($D$249:$D$536=T545)*($E$249:$E$536=U545))),0)=0, 0,SUM(LARGE(_xlfn._xlws.FILTER($Q$249:$Q$536,($C$249:$C$536=S545)*($D$249:$D$536=T545)*($E$249:$E$536=U545)),_xlfn.SEQUENCE(IF(IFERROR(ROWS(_xlfn._xlws.FILTER($A$249:$A$536,($C$249:$C$536=S545)*($D$249:$D$536=T545)*($E$249:$E$536=U545))),0)&gt;3, 4, IFERROR(ROWS(_xlfn._xlws.FILTER($A$249:$A$536,($C$249:$C$536=S545)*($D$249:$D$536=T545)*($E$249:$E$536=U545))),0))))))</f>
        <v>0</v>
      </c>
      <c r="W545" s="49" t="str">
        <f t="shared" si="56"/>
        <v/>
      </c>
      <c r="X545" s="49">
        <f t="shared" si="57"/>
        <v>0</v>
      </c>
    </row>
    <row r="546" spans="1:24">
      <c r="A546" s="124" t="str">
        <f>'Read Me First'!C19</f>
        <v/>
      </c>
      <c r="B546" s="124" t="s">
        <v>134</v>
      </c>
      <c r="C546" s="124" t="s">
        <v>169</v>
      </c>
      <c r="D546" s="50" cm="1">
        <f t="array" ref="D546">IF(IFERROR(ROWS(_xlfn._xlws.FILTER($A$249:$A$536,($C$249:$C$536=A546)*($D$249:$D$536=B546)*($E$249:$E$536=C546))),0)=0, 0,SUM(LARGE(_xlfn._xlws.FILTER($Q$249:$Q$536,($C$249:$C$536=A546)*($D$249:$D$536=B546)*($E$249:$E$536=C546)),_xlfn.SEQUENCE(IF(IFERROR(ROWS(_xlfn._xlws.FILTER($A$249:$A$536,($C$249:$C$536=A546)*($D$249:$D$536=B546)*($E$249:$E$536=C546))),0)&gt;3, 4, IFERROR(ROWS(_xlfn._xlws.FILTER($A$249:$A$536,($C$249:$C$536=A546)*($D$249:$D$536=B546)*($E$249:$E$536=C546))),0))))))</f>
        <v>0</v>
      </c>
      <c r="E546" s="151" t="s">
        <v>103</v>
      </c>
      <c r="F546" s="151" t="s">
        <v>103</v>
      </c>
      <c r="G546" s="124" t="str">
        <f t="shared" si="50"/>
        <v/>
      </c>
      <c r="H546" s="124" t="s">
        <v>134</v>
      </c>
      <c r="I546" s="124" t="s">
        <v>116</v>
      </c>
      <c r="J546" s="50" cm="1">
        <f t="array" ref="J546">IF(IFERROR(ROWS(_xlfn._xlws.FILTER($A$249:$A$536,($C$249:$C$536=G546)*($D$249:$D$536=H546)*($E$249:$E$536=I546))),0)=0, 0,SUM(LARGE(_xlfn._xlws.FILTER($Q$249:$Q$536,($C$249:$C$536=G546)*($D$249:$D$536=H546)*($E$249:$E$536=I546)),_xlfn.SEQUENCE(IF(IFERROR(ROWS(_xlfn._xlws.FILTER($A$249:$A$536,($C$249:$C$536=G546)*($D$249:$D$536=H546)*($E$249:$E$536=I546))),0)&gt;3, 4, IFERROR(ROWS(_xlfn._xlws.FILTER($A$249:$A$536,($C$249:$C$536=G546)*($D$249:$D$536=H546)*($E$249:$E$536=I546))),0))))))</f>
        <v>0</v>
      </c>
      <c r="K546" s="151" t="s">
        <v>103</v>
      </c>
      <c r="L546" s="151" t="s">
        <v>103</v>
      </c>
      <c r="M546" s="124" t="str">
        <f t="shared" si="52"/>
        <v/>
      </c>
      <c r="N546" s="124" t="s">
        <v>133</v>
      </c>
      <c r="O546" s="124" t="s">
        <v>169</v>
      </c>
      <c r="P546" s="50" cm="1">
        <f t="array" ref="P546">IF(IFERROR(ROWS(_xlfn._xlws.FILTER($A$249:$A$536,($C$249:$C$536=M546)*($D$249:$D$536=N546)*($E$249:$E$536=O546))),0)=0, 0,SUM(LARGE(_xlfn._xlws.FILTER($Q$249:$Q$536,($C$249:$C$536=M546)*($D$249:$D$536=N546)*($E$249:$E$536=O546)),_xlfn.SEQUENCE(IF(IFERROR(ROWS(_xlfn._xlws.FILTER($A$249:$A$536,($C$249:$C$536=M546)*($D$249:$D$536=N546)*($E$249:$E$536=O546))),0)&gt;3, 4, IFERROR(ROWS(_xlfn._xlws.FILTER($A$249:$A$536,($C$249:$C$536=M546)*($D$249:$D$536=N546)*($E$249:$E$536=O546))),0))))))</f>
        <v>0</v>
      </c>
      <c r="Q546" s="151" t="s">
        <v>103</v>
      </c>
      <c r="R546" s="151" t="s">
        <v>103</v>
      </c>
      <c r="S546" s="124" t="str">
        <f t="shared" si="55"/>
        <v/>
      </c>
      <c r="T546" s="124" t="s">
        <v>133</v>
      </c>
      <c r="U546" s="124" t="s">
        <v>116</v>
      </c>
      <c r="V546" s="50" cm="1">
        <f t="array" ref="V546">IF(IFERROR(ROWS(_xlfn._xlws.FILTER($A$249:$A$536,($C$249:$C$536=S546)*($D$249:$D$536=T546)*($E$249:$E$536=U546))),0)=0, 0,SUM(LARGE(_xlfn._xlws.FILTER($Q$249:$Q$536,($C$249:$C$536=S546)*($D$249:$D$536=T546)*($E$249:$E$536=U546)),_xlfn.SEQUENCE(IF(IFERROR(ROWS(_xlfn._xlws.FILTER($A$249:$A$536,($C$249:$C$536=S546)*($D$249:$D$536=T546)*($E$249:$E$536=U546))),0)&gt;3, 4, IFERROR(ROWS(_xlfn._xlws.FILTER($A$249:$A$536,($C$249:$C$536=S546)*($D$249:$D$536=T546)*($E$249:$E$536=U546))),0))))))</f>
        <v>0</v>
      </c>
      <c r="W546" s="151" t="s">
        <v>103</v>
      </c>
      <c r="X546" s="151" t="s">
        <v>103</v>
      </c>
    </row>
    <row r="548" spans="1:24">
      <c r="A548" s="152" t="str" cm="1">
        <f t="array" ref="A548">IFERROR(_xlfn._xlws.SORT(_xlfn._xlws.FILTER(CHOOSE({1,2,3,4},$A$538:$A$545,$D$538:$D$545,$E$538:$E$545,$F$538:$F$545),$D$538:$D$545&lt;&gt;0),3),"")</f>
        <v/>
      </c>
      <c r="B548" s="152"/>
      <c r="C548" s="152"/>
      <c r="D548" s="152"/>
      <c r="E548" s="152"/>
      <c r="F548" s="152"/>
      <c r="G548" s="152"/>
      <c r="H548" s="152" t="str" cm="1">
        <f t="array" ref="H548:K553">IFERROR(_xlfn._xlws.SORT(_xlfn._xlws.FILTER(CHOOSE({1,2,3,4},$G$538:$G$545,$J$538:$J$545,$K$538:$K$545,$L$538:$L$545),$J$538:$J$545&lt;&gt;0),3),"")</f>
        <v>Fleet &amp; Crookham AC</v>
      </c>
      <c r="I548" s="152">
        <v>1276</v>
      </c>
      <c r="J548" s="152">
        <v>1</v>
      </c>
      <c r="K548" s="152">
        <v>8</v>
      </c>
      <c r="L548" s="152"/>
      <c r="M548" s="152" t="str" cm="1">
        <f t="array" ref="M548">IFERROR(_xlfn._xlws.SORT(_xlfn._xlws.FILTER(CHOOSE({1,2,3,4},#REF!,#REF!,#REF!,#REF!),#REF!&lt;&gt;0),3),"")</f>
        <v/>
      </c>
      <c r="N548" s="152"/>
      <c r="O548" s="152"/>
      <c r="P548" s="152"/>
      <c r="Q548" s="152"/>
      <c r="R548" s="152"/>
      <c r="S548" s="152" t="str" cm="1">
        <f t="array" ref="S548:V553">IFERROR(_xlfn._xlws.SORT(_xlfn._xlws.FILTER(CHOOSE({1,2,3,4},$S$538:$S$545,$V$538:$V$545,$W$538:$W$545,$X$538:$X$545),$V$538:$V$545&lt;&gt;0),3),"")</f>
        <v>Woking AC</v>
      </c>
      <c r="T548" s="152">
        <v>1478</v>
      </c>
      <c r="U548" s="152">
        <v>1</v>
      </c>
      <c r="V548" s="152">
        <v>8</v>
      </c>
      <c r="W548" s="152"/>
      <c r="X548" s="152"/>
    </row>
    <row r="549" spans="1:24">
      <c r="A549" s="152"/>
      <c r="B549" s="152"/>
      <c r="C549" s="152"/>
      <c r="D549" s="152"/>
      <c r="E549" s="152"/>
      <c r="F549" s="152"/>
      <c r="G549" s="152"/>
      <c r="H549" s="152" t="str">
        <v>Camberley &amp; District AC</v>
      </c>
      <c r="I549" s="152">
        <v>1262</v>
      </c>
      <c r="J549" s="152">
        <v>2</v>
      </c>
      <c r="K549" s="152">
        <v>7</v>
      </c>
      <c r="L549" s="152"/>
      <c r="M549" s="152"/>
      <c r="N549" s="152"/>
      <c r="O549" s="152"/>
      <c r="P549" s="152"/>
      <c r="Q549" s="152"/>
      <c r="R549" s="152"/>
      <c r="S549" s="152" t="str">
        <v>Basingstoke &amp; Mid Hants AC</v>
      </c>
      <c r="T549" s="152">
        <v>1329</v>
      </c>
      <c r="U549" s="152">
        <v>2</v>
      </c>
      <c r="V549" s="152">
        <v>7</v>
      </c>
      <c r="W549" s="152"/>
      <c r="X549" s="152"/>
    </row>
    <row r="550" spans="1:24">
      <c r="A550" s="152"/>
      <c r="B550" s="152"/>
      <c r="C550" s="152"/>
      <c r="D550" s="152"/>
      <c r="E550" s="152"/>
      <c r="F550" s="152"/>
      <c r="G550" s="152"/>
      <c r="H550" s="152" t="str">
        <v>Waverley Athletics Club</v>
      </c>
      <c r="I550" s="152">
        <v>1262</v>
      </c>
      <c r="J550" s="152">
        <v>2</v>
      </c>
      <c r="K550" s="152">
        <v>7</v>
      </c>
      <c r="L550" s="152"/>
      <c r="M550" s="152"/>
      <c r="N550" s="152"/>
      <c r="O550" s="152"/>
      <c r="P550" s="152"/>
      <c r="Q550" s="152"/>
      <c r="R550" s="152"/>
      <c r="S550" s="152" t="str">
        <v>Fleet &amp; Crookham AC</v>
      </c>
      <c r="T550" s="152">
        <v>1251</v>
      </c>
      <c r="U550" s="152">
        <v>3</v>
      </c>
      <c r="V550" s="152">
        <v>6</v>
      </c>
      <c r="W550" s="152"/>
      <c r="X550" s="152"/>
    </row>
    <row r="551" spans="1:24">
      <c r="A551" s="152"/>
      <c r="B551" s="152"/>
      <c r="C551" s="152"/>
      <c r="D551" s="152"/>
      <c r="E551" s="152"/>
      <c r="F551" s="152"/>
      <c r="G551" s="152"/>
      <c r="H551" s="152" t="str">
        <v>Woking AC</v>
      </c>
      <c r="I551" s="152">
        <v>1181</v>
      </c>
      <c r="J551" s="152">
        <v>4</v>
      </c>
      <c r="K551" s="152">
        <v>5</v>
      </c>
      <c r="L551" s="152"/>
      <c r="M551" s="152"/>
      <c r="N551" s="152"/>
      <c r="O551" s="152"/>
      <c r="P551" s="152"/>
      <c r="Q551" s="152"/>
      <c r="R551" s="152"/>
      <c r="S551" s="152" t="str">
        <v>Poole Runners</v>
      </c>
      <c r="T551" s="152">
        <v>1139</v>
      </c>
      <c r="U551" s="152">
        <v>4</v>
      </c>
      <c r="V551" s="152">
        <v>5</v>
      </c>
      <c r="W551" s="152"/>
      <c r="X551" s="152"/>
    </row>
    <row r="552" spans="1:24">
      <c r="A552" s="152"/>
      <c r="B552" s="152"/>
      <c r="C552" s="152"/>
      <c r="D552" s="152"/>
      <c r="E552" s="152"/>
      <c r="F552" s="152"/>
      <c r="G552" s="152"/>
      <c r="H552" s="152" t="str">
        <v>Poole Runners</v>
      </c>
      <c r="I552" s="152">
        <v>1107</v>
      </c>
      <c r="J552" s="152">
        <v>5</v>
      </c>
      <c r="K552" s="152">
        <v>4</v>
      </c>
      <c r="L552" s="152"/>
      <c r="M552" s="152"/>
      <c r="N552" s="152"/>
      <c r="O552" s="152"/>
      <c r="P552" s="152"/>
      <c r="Q552" s="152"/>
      <c r="R552" s="152"/>
      <c r="S552" s="152" t="str">
        <v>Camberley &amp; District AC</v>
      </c>
      <c r="T552" s="152">
        <v>1128</v>
      </c>
      <c r="U552" s="152">
        <v>5</v>
      </c>
      <c r="V552" s="152">
        <v>4</v>
      </c>
      <c r="W552" s="152"/>
      <c r="X552" s="152"/>
    </row>
    <row r="553" spans="1:24">
      <c r="A553" s="152"/>
      <c r="B553" s="152"/>
      <c r="C553" s="152"/>
      <c r="D553" s="152"/>
      <c r="E553" s="152"/>
      <c r="F553" s="152"/>
      <c r="G553" s="152"/>
      <c r="H553" s="152" t="str">
        <v>Basingstoke &amp; Mid Hants AC</v>
      </c>
      <c r="I553" s="152">
        <v>938</v>
      </c>
      <c r="J553" s="152">
        <v>6</v>
      </c>
      <c r="K553" s="152">
        <v>3</v>
      </c>
      <c r="L553" s="152"/>
      <c r="M553" s="152"/>
      <c r="N553" s="152"/>
      <c r="O553" s="152"/>
      <c r="P553" s="152"/>
      <c r="Q553" s="152"/>
      <c r="R553" s="152"/>
      <c r="S553" s="152" t="str">
        <v>Waverley Athletics Club</v>
      </c>
      <c r="T553" s="152">
        <v>873</v>
      </c>
      <c r="U553" s="152">
        <v>6</v>
      </c>
      <c r="V553" s="152">
        <v>3</v>
      </c>
      <c r="W553" s="152"/>
      <c r="X553" s="152"/>
    </row>
    <row r="554" spans="1:24">
      <c r="A554" s="152"/>
      <c r="B554" s="152"/>
      <c r="C554" s="152"/>
      <c r="D554" s="152"/>
      <c r="E554" s="152"/>
      <c r="F554" s="152"/>
      <c r="G554" s="152"/>
      <c r="H554" s="152"/>
      <c r="I554" s="152"/>
      <c r="J554" s="152"/>
      <c r="K554" s="152"/>
      <c r="L554" s="152"/>
      <c r="M554" s="152"/>
      <c r="N554" s="152"/>
      <c r="O554" s="152"/>
      <c r="P554" s="152"/>
      <c r="Q554" s="152"/>
      <c r="R554" s="152"/>
      <c r="S554" s="152"/>
      <c r="T554" s="152"/>
      <c r="U554" s="152"/>
      <c r="V554" s="152"/>
      <c r="W554" s="152"/>
      <c r="X554" s="152"/>
    </row>
    <row r="555" spans="1:24">
      <c r="A555" s="152"/>
      <c r="B555" s="152"/>
      <c r="C555" s="152"/>
      <c r="D555" s="152"/>
      <c r="E555" s="152"/>
      <c r="F555" s="152"/>
      <c r="G555" s="152"/>
      <c r="H555" s="152"/>
      <c r="I555" s="152"/>
      <c r="J555" s="152"/>
      <c r="K555" s="152"/>
      <c r="L555" s="152"/>
      <c r="M555" s="152"/>
      <c r="N555" s="152"/>
      <c r="O555" s="152"/>
      <c r="P555" s="152"/>
      <c r="Q555" s="152"/>
      <c r="R555" s="152"/>
      <c r="S555" s="152"/>
      <c r="T555" s="152"/>
      <c r="U555" s="152"/>
      <c r="V555" s="152"/>
      <c r="W555" s="152"/>
      <c r="X555" s="152"/>
    </row>
    <row r="556" spans="1:24">
      <c r="A556" s="152"/>
      <c r="B556" s="152"/>
      <c r="C556" s="152"/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</row>
    <row r="557" spans="1:24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</row>
    <row r="558" spans="1:24">
      <c r="A558" s="83"/>
      <c r="B558" s="149"/>
      <c r="C558" s="148" t="s">
        <v>81</v>
      </c>
      <c r="D558" s="148" t="s">
        <v>120</v>
      </c>
      <c r="E558" s="148" t="s">
        <v>166</v>
      </c>
      <c r="F558" s="83"/>
      <c r="G558" s="83"/>
      <c r="H558" s="83"/>
      <c r="I558" s="83"/>
      <c r="J558" s="83"/>
      <c r="K558" s="83"/>
      <c r="L558" s="83"/>
      <c r="M558" s="83"/>
      <c r="N558" s="149"/>
      <c r="O558" s="148" t="s">
        <v>81</v>
      </c>
      <c r="P558" s="148" t="s">
        <v>166</v>
      </c>
      <c r="Q558" s="83"/>
      <c r="R558" s="83"/>
      <c r="S558" s="83"/>
      <c r="T558" s="83"/>
      <c r="U558" s="83"/>
      <c r="V558" s="83"/>
      <c r="W558" s="83"/>
    </row>
    <row r="559" spans="1:24">
      <c r="A559" s="83"/>
      <c r="B559" s="124" t="str">
        <f>A538</f>
        <v>Camberley &amp; District AC</v>
      </c>
      <c r="C559" s="149">
        <f>D538+J538+P538+V538</f>
        <v>2390</v>
      </c>
      <c r="D559" s="149">
        <f t="shared" ref="D559:D566" si="58">F538+L538+R538+X538</f>
        <v>11</v>
      </c>
      <c r="E559" s="49">
        <f>IF(D559=0,"",RANK(D559,D$559:D$566) + COUNTIFS(D$559:D$566, D559, C$559:C$566, "&gt;"&amp; C559))</f>
        <v>3</v>
      </c>
      <c r="F559" s="83"/>
      <c r="G559" s="83"/>
      <c r="H559" s="153" t="str" cm="1">
        <f t="array" ref="H559:K564">_xlfn._xlws.FILTER((_xlfn._xlws.SORT((_xlfn._xlws.SORT(_xlfn._xlws.FILTER(B559:E566,D559:D566&lt;&gt;0),2,-1)),4)), _xlfn.CHOOSECOLS((_xlfn._xlws.SORT((_xlfn._xlws.SORT(_xlfn._xlws.FILTER(B559:E566,D559:D566&lt;&gt;0),2,-1)),4)),1)&lt;&gt;0)</f>
        <v>Fleet &amp; Crookham AC</v>
      </c>
      <c r="I559" s="153">
        <v>2527</v>
      </c>
      <c r="J559" s="153">
        <v>14</v>
      </c>
      <c r="K559" s="153">
        <v>1</v>
      </c>
      <c r="L559" s="83"/>
      <c r="M559" s="83"/>
      <c r="N559" s="124" t="str">
        <f>M538</f>
        <v>Camberley &amp; District AC</v>
      </c>
      <c r="O559" s="149">
        <f>D538+J538+P538+V538</f>
        <v>2390</v>
      </c>
      <c r="P559" s="49">
        <f>IF(O559=0,"",RANK(O559,O$559:O$566))</f>
        <v>3</v>
      </c>
      <c r="Q559" s="83"/>
      <c r="R559" s="83"/>
      <c r="S559" s="153" t="str" cm="1">
        <f t="array" ref="S559:U564">_xlfn._xlws.FILTER((_xlfn._xlws.SORT((_xlfn._xlws.SORT(_xlfn._xlws.FILTER(N559:P566,O559:O566&lt;&gt;0),2,-1)),3)), _xlfn.CHOOSECOLS((_xlfn._xlws.SORT((_xlfn._xlws.SORT(_xlfn._xlws.FILTER(N559:P566,O559:O566&lt;&gt;0),2,-1)),3)),1)&lt;&gt;0)</f>
        <v>Woking AC</v>
      </c>
      <c r="T559" s="153">
        <v>2659</v>
      </c>
      <c r="U559" s="153">
        <v>1</v>
      </c>
      <c r="V559" s="153"/>
      <c r="W559" s="83"/>
    </row>
    <row r="560" spans="1:24">
      <c r="A560" s="83"/>
      <c r="B560" s="124" t="str">
        <f t="shared" ref="B560:B566" si="59">A539</f>
        <v>Woking AC</v>
      </c>
      <c r="C560" s="149">
        <f t="shared" ref="C560:C566" si="60">D539+J539+P539+V539</f>
        <v>2659</v>
      </c>
      <c r="D560" s="149">
        <f t="shared" si="58"/>
        <v>13</v>
      </c>
      <c r="E560" s="49">
        <f t="shared" ref="E560:E566" si="61">IF(D560=0,"",RANK(D560,D$559:D$566) + COUNTIFS(D$559:D$566, D560, C$559:C$566, "&gt;"&amp; C560))</f>
        <v>2</v>
      </c>
      <c r="F560" s="83"/>
      <c r="G560" s="83"/>
      <c r="H560" s="153" t="str">
        <v>Woking AC</v>
      </c>
      <c r="I560" s="153">
        <v>2659</v>
      </c>
      <c r="J560" s="153">
        <v>13</v>
      </c>
      <c r="K560" s="153">
        <v>2</v>
      </c>
      <c r="L560" s="83"/>
      <c r="M560" s="83"/>
      <c r="N560" s="124" t="str">
        <f t="shared" ref="N560:N566" si="62">M539</f>
        <v>Woking AC</v>
      </c>
      <c r="O560" s="149">
        <f t="shared" ref="O560:O566" si="63">D539+J539+P539+V539</f>
        <v>2659</v>
      </c>
      <c r="P560" s="49">
        <f t="shared" ref="P560:P566" si="64">IF(O560=0,"",RANK(O560,O$559:O$566))</f>
        <v>1</v>
      </c>
      <c r="Q560" s="83"/>
      <c r="R560" s="83"/>
      <c r="S560" s="153" t="str">
        <v>Fleet &amp; Crookham AC</v>
      </c>
      <c r="T560" s="153">
        <v>2527</v>
      </c>
      <c r="U560" s="153">
        <v>2</v>
      </c>
      <c r="V560" s="153"/>
      <c r="W560" s="83"/>
    </row>
    <row r="561" spans="2:24">
      <c r="B561" s="124" t="str">
        <f t="shared" si="59"/>
        <v>Poole Runners</v>
      </c>
      <c r="C561" s="149">
        <f t="shared" si="60"/>
        <v>2246</v>
      </c>
      <c r="D561" s="149">
        <f t="shared" si="58"/>
        <v>9</v>
      </c>
      <c r="E561" s="49">
        <f t="shared" si="61"/>
        <v>6</v>
      </c>
      <c r="F561" s="84"/>
      <c r="H561" s="157" t="str">
        <v>Camberley &amp; District AC</v>
      </c>
      <c r="I561" s="157">
        <v>2390</v>
      </c>
      <c r="J561" s="157">
        <v>11</v>
      </c>
      <c r="K561" s="157">
        <v>3</v>
      </c>
      <c r="N561" s="124" t="str">
        <f t="shared" si="62"/>
        <v>Poole Runners</v>
      </c>
      <c r="O561" s="149">
        <f t="shared" si="63"/>
        <v>2246</v>
      </c>
      <c r="P561" s="49">
        <f t="shared" si="64"/>
        <v>5</v>
      </c>
      <c r="Q561" s="84"/>
      <c r="R561" s="4"/>
      <c r="S561" s="157" t="str">
        <v>Camberley &amp; District AC</v>
      </c>
      <c r="T561" s="157">
        <v>2390</v>
      </c>
      <c r="U561" s="157">
        <v>3</v>
      </c>
      <c r="V561" s="157"/>
    </row>
    <row r="562" spans="2:24">
      <c r="B562" s="124" t="str">
        <f t="shared" si="59"/>
        <v>Fleet &amp; Crookham AC</v>
      </c>
      <c r="C562" s="149">
        <f t="shared" si="60"/>
        <v>2527</v>
      </c>
      <c r="D562" s="149">
        <f t="shared" si="58"/>
        <v>14</v>
      </c>
      <c r="E562" s="49">
        <f t="shared" si="61"/>
        <v>1</v>
      </c>
      <c r="F562" s="84"/>
      <c r="H562" s="157" t="str">
        <v>Basingstoke &amp; Mid Hants AC</v>
      </c>
      <c r="I562" s="157">
        <v>2267</v>
      </c>
      <c r="J562" s="157">
        <v>10</v>
      </c>
      <c r="K562" s="157">
        <v>4</v>
      </c>
      <c r="N562" s="124" t="str">
        <f t="shared" si="62"/>
        <v>Fleet &amp; Crookham AC</v>
      </c>
      <c r="O562" s="149">
        <f t="shared" si="63"/>
        <v>2527</v>
      </c>
      <c r="P562" s="49">
        <f t="shared" si="64"/>
        <v>2</v>
      </c>
      <c r="Q562" s="84"/>
      <c r="R562" s="4"/>
      <c r="S562" s="157" t="str">
        <v>Basingstoke &amp; Mid Hants AC</v>
      </c>
      <c r="T562" s="157">
        <v>2267</v>
      </c>
      <c r="U562" s="157">
        <v>4</v>
      </c>
      <c r="V562" s="157"/>
      <c r="X562" s="83"/>
    </row>
    <row r="563" spans="2:24">
      <c r="B563" s="124" t="str">
        <f t="shared" si="59"/>
        <v>Waverley Athletics Club</v>
      </c>
      <c r="C563" s="149">
        <f t="shared" si="60"/>
        <v>2135</v>
      </c>
      <c r="D563" s="149">
        <f t="shared" si="58"/>
        <v>10</v>
      </c>
      <c r="E563" s="49">
        <f t="shared" si="61"/>
        <v>5</v>
      </c>
      <c r="F563" s="84"/>
      <c r="H563" s="157" t="str">
        <v>Waverley Athletics Club</v>
      </c>
      <c r="I563" s="157">
        <v>2135</v>
      </c>
      <c r="J563" s="157">
        <v>10</v>
      </c>
      <c r="K563" s="157">
        <v>5</v>
      </c>
      <c r="N563" s="124" t="str">
        <f t="shared" si="62"/>
        <v>Waverley Athletics Club</v>
      </c>
      <c r="O563" s="149">
        <f t="shared" si="63"/>
        <v>2135</v>
      </c>
      <c r="P563" s="49">
        <f t="shared" si="64"/>
        <v>6</v>
      </c>
      <c r="Q563" s="84"/>
      <c r="R563" s="4"/>
      <c r="S563" s="157" t="str">
        <v>Poole Runners</v>
      </c>
      <c r="T563" s="157">
        <v>2246</v>
      </c>
      <c r="U563" s="157">
        <v>5</v>
      </c>
      <c r="V563" s="157"/>
      <c r="X563" s="83"/>
    </row>
    <row r="564" spans="2:24">
      <c r="B564" s="124" t="str">
        <f t="shared" si="59"/>
        <v>Basingstoke &amp; Mid Hants AC</v>
      </c>
      <c r="C564" s="149">
        <f t="shared" si="60"/>
        <v>2267</v>
      </c>
      <c r="D564" s="149">
        <f t="shared" si="58"/>
        <v>10</v>
      </c>
      <c r="E564" s="49">
        <f t="shared" si="61"/>
        <v>4</v>
      </c>
      <c r="F564" s="84"/>
      <c r="H564" s="157" t="str">
        <v>Poole Runners</v>
      </c>
      <c r="I564" s="157">
        <v>2246</v>
      </c>
      <c r="J564" s="157">
        <v>9</v>
      </c>
      <c r="K564" s="157">
        <v>6</v>
      </c>
      <c r="N564" s="124" t="str">
        <f t="shared" si="62"/>
        <v>Basingstoke &amp; Mid Hants AC</v>
      </c>
      <c r="O564" s="149">
        <f t="shared" si="63"/>
        <v>2267</v>
      </c>
      <c r="P564" s="49">
        <f t="shared" si="64"/>
        <v>4</v>
      </c>
      <c r="Q564" s="84"/>
      <c r="R564" s="4"/>
      <c r="S564" s="157" t="str">
        <v>Waverley Athletics Club</v>
      </c>
      <c r="T564" s="157">
        <v>2135</v>
      </c>
      <c r="U564" s="157">
        <v>6</v>
      </c>
      <c r="V564" s="157"/>
      <c r="X564" s="83"/>
    </row>
    <row r="565" spans="2:24">
      <c r="B565" s="124" t="str">
        <f t="shared" si="59"/>
        <v/>
      </c>
      <c r="C565" s="149">
        <f t="shared" si="60"/>
        <v>0</v>
      </c>
      <c r="D565" s="149">
        <f t="shared" si="58"/>
        <v>0</v>
      </c>
      <c r="E565" s="49" t="str">
        <f t="shared" si="61"/>
        <v/>
      </c>
      <c r="F565" s="84"/>
      <c r="H565" s="157"/>
      <c r="I565" s="157"/>
      <c r="J565" s="157"/>
      <c r="K565" s="157"/>
      <c r="N565" s="124" t="str">
        <f t="shared" si="62"/>
        <v/>
      </c>
      <c r="O565" s="149">
        <f t="shared" si="63"/>
        <v>0</v>
      </c>
      <c r="P565" s="49" t="str">
        <f t="shared" si="64"/>
        <v/>
      </c>
      <c r="Q565" s="84"/>
      <c r="R565" s="4"/>
      <c r="S565" s="157"/>
      <c r="T565" s="157"/>
      <c r="U565" s="157"/>
      <c r="V565" s="157"/>
    </row>
    <row r="566" spans="2:24">
      <c r="B566" s="124" t="str">
        <f t="shared" si="59"/>
        <v/>
      </c>
      <c r="C566" s="149">
        <f t="shared" si="60"/>
        <v>0</v>
      </c>
      <c r="D566" s="149">
        <f t="shared" si="58"/>
        <v>0</v>
      </c>
      <c r="E566" s="49" t="str">
        <f t="shared" si="61"/>
        <v/>
      </c>
      <c r="F566" s="84"/>
      <c r="H566" s="157"/>
      <c r="I566" s="157"/>
      <c r="J566" s="157"/>
      <c r="K566" s="157"/>
      <c r="N566" s="124" t="str">
        <f t="shared" si="62"/>
        <v/>
      </c>
      <c r="O566" s="149">
        <f t="shared" si="63"/>
        <v>0</v>
      </c>
      <c r="P566" s="49" t="str">
        <f t="shared" si="64"/>
        <v/>
      </c>
      <c r="Q566" s="84"/>
      <c r="R566" s="4"/>
      <c r="S566" s="157"/>
      <c r="T566" s="157"/>
      <c r="U566" s="157"/>
      <c r="V566" s="157"/>
    </row>
  </sheetData>
  <sheetProtection sheet="1" objects="1" scenarios="1"/>
  <mergeCells count="23">
    <mergeCell ref="A13:C13"/>
    <mergeCell ref="Y245:AA248"/>
    <mergeCell ref="A245:U245"/>
    <mergeCell ref="F247:G247"/>
    <mergeCell ref="I247:J247"/>
    <mergeCell ref="L247:M247"/>
    <mergeCell ref="O247:P247"/>
    <mergeCell ref="A2:C2"/>
    <mergeCell ref="A29:U29"/>
    <mergeCell ref="A3:C3"/>
    <mergeCell ref="O31:P31"/>
    <mergeCell ref="F31:G31"/>
    <mergeCell ref="I31:J31"/>
    <mergeCell ref="L31:M31"/>
    <mergeCell ref="A14:C14"/>
    <mergeCell ref="A4:C4"/>
    <mergeCell ref="A5:C5"/>
    <mergeCell ref="A7:C7"/>
    <mergeCell ref="A9:C9"/>
    <mergeCell ref="A10:C10"/>
    <mergeCell ref="A11:C11"/>
    <mergeCell ref="A12:C12"/>
    <mergeCell ref="A6:C6"/>
  </mergeCells>
  <phoneticPr fontId="5" type="noConversion"/>
  <printOptions horizontalCentered="1"/>
  <pageMargins left="0" right="0" top="0.19685039370078741" bottom="0" header="0.51181102362204722" footer="0.51181102362204722"/>
  <pageSetup paperSize="9" scale="3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0" tint="-0.249977111117893"/>
  </sheetPr>
  <dimension ref="A1:V161"/>
  <sheetViews>
    <sheetView workbookViewId="0">
      <selection activeCell="Q32" sqref="Q32"/>
    </sheetView>
  </sheetViews>
  <sheetFormatPr defaultColWidth="8.77734375" defaultRowHeight="13.2"/>
  <cols>
    <col min="1" max="6" width="10.6640625" style="9" customWidth="1"/>
    <col min="7" max="7" width="10.6640625" style="13" customWidth="1"/>
    <col min="8" max="9" width="10.6640625" style="9" customWidth="1"/>
  </cols>
  <sheetData>
    <row r="1" spans="1:22">
      <c r="A1" s="9" t="s">
        <v>81</v>
      </c>
      <c r="B1" s="9" t="s">
        <v>85</v>
      </c>
      <c r="C1" s="9" t="s">
        <v>95</v>
      </c>
      <c r="D1" s="9" t="s">
        <v>170</v>
      </c>
      <c r="E1" s="9" t="s">
        <v>171</v>
      </c>
      <c r="F1" s="9" t="s">
        <v>172</v>
      </c>
      <c r="G1" s="13" t="s">
        <v>85</v>
      </c>
      <c r="H1" s="9" t="s">
        <v>95</v>
      </c>
      <c r="I1" s="9" t="s">
        <v>81</v>
      </c>
      <c r="L1" t="s">
        <v>173</v>
      </c>
      <c r="M1" t="s">
        <v>85</v>
      </c>
      <c r="N1" t="s">
        <v>95</v>
      </c>
      <c r="O1" t="s">
        <v>110</v>
      </c>
      <c r="P1" t="s">
        <v>171</v>
      </c>
      <c r="R1" t="s">
        <v>174</v>
      </c>
      <c r="S1" t="s">
        <v>85</v>
      </c>
      <c r="T1" t="s">
        <v>95</v>
      </c>
      <c r="U1" t="s">
        <v>110</v>
      </c>
      <c r="V1" t="s">
        <v>171</v>
      </c>
    </row>
    <row r="2" spans="1:22" ht="14.4">
      <c r="B2" s="12">
        <v>0</v>
      </c>
      <c r="C2" s="13">
        <v>0</v>
      </c>
      <c r="D2" s="13">
        <v>0</v>
      </c>
      <c r="E2" s="13">
        <v>0</v>
      </c>
      <c r="F2" s="12"/>
      <c r="G2" s="13">
        <v>0</v>
      </c>
      <c r="H2" s="14">
        <v>0</v>
      </c>
      <c r="I2" s="9">
        <v>0</v>
      </c>
      <c r="L2" s="252">
        <v>160</v>
      </c>
      <c r="M2" s="253">
        <v>9.8000000000000007</v>
      </c>
      <c r="N2" s="254">
        <v>1.0648148148148149E-3</v>
      </c>
      <c r="O2" s="253">
        <v>5.12</v>
      </c>
      <c r="P2" s="253">
        <v>54</v>
      </c>
      <c r="R2" s="252">
        <v>160</v>
      </c>
      <c r="S2" s="253">
        <v>10.1</v>
      </c>
      <c r="T2" s="254">
        <v>1.1226851851851851E-3</v>
      </c>
      <c r="U2" s="253">
        <v>5</v>
      </c>
      <c r="V2" s="253">
        <v>52</v>
      </c>
    </row>
    <row r="3" spans="1:22" ht="14.4">
      <c r="B3" s="12">
        <v>0.01</v>
      </c>
      <c r="C3" s="13">
        <v>0.01</v>
      </c>
      <c r="D3" s="13">
        <v>0.01</v>
      </c>
      <c r="E3" s="13">
        <v>0.01</v>
      </c>
      <c r="F3" s="12"/>
      <c r="G3" s="13">
        <v>960</v>
      </c>
      <c r="H3" s="14">
        <v>980</v>
      </c>
      <c r="I3" s="9">
        <v>10</v>
      </c>
      <c r="L3" s="252">
        <v>159</v>
      </c>
      <c r="M3" s="253">
        <v>9.81</v>
      </c>
      <c r="N3" s="254">
        <v>1.0671296296296297E-3</v>
      </c>
      <c r="O3" s="253">
        <v>5.1100000000000003</v>
      </c>
      <c r="P3" s="253">
        <v>53.5</v>
      </c>
      <c r="R3" s="252">
        <v>159</v>
      </c>
      <c r="S3" s="253">
        <v>10.11</v>
      </c>
      <c r="T3" s="254">
        <v>1.1250000000000001E-3</v>
      </c>
      <c r="U3" s="253">
        <v>4.99</v>
      </c>
      <c r="V3" s="253">
        <v>51.5</v>
      </c>
    </row>
    <row r="4" spans="1:22" ht="14.4">
      <c r="B4" s="12">
        <v>30</v>
      </c>
      <c r="C4" s="13">
        <v>10</v>
      </c>
      <c r="D4" s="13"/>
      <c r="E4" s="13"/>
      <c r="F4" s="12"/>
      <c r="G4" s="13">
        <f>1000-B4</f>
        <v>970</v>
      </c>
      <c r="H4" s="14">
        <f>1000-C4</f>
        <v>990</v>
      </c>
      <c r="I4" s="9">
        <v>10</v>
      </c>
      <c r="L4" s="252">
        <v>158</v>
      </c>
      <c r="M4" s="253">
        <v>9.82</v>
      </c>
      <c r="N4" s="254">
        <v>1.0694444444444445E-3</v>
      </c>
      <c r="O4" s="253">
        <v>5.0999999999999996</v>
      </c>
      <c r="P4" s="253">
        <v>53</v>
      </c>
      <c r="R4" s="252">
        <v>158</v>
      </c>
      <c r="S4" s="253">
        <v>10.119999999999999</v>
      </c>
      <c r="T4" s="254">
        <v>1.1273148148148149E-3</v>
      </c>
      <c r="U4" s="253">
        <v>4.9800000000000004</v>
      </c>
      <c r="V4" s="253">
        <v>51</v>
      </c>
    </row>
    <row r="5" spans="1:22" ht="14.4">
      <c r="A5" s="9">
        <v>10</v>
      </c>
      <c r="B5" s="12">
        <v>16</v>
      </c>
      <c r="C5" s="13">
        <v>3</v>
      </c>
      <c r="D5" s="13">
        <v>2.2000000000000002</v>
      </c>
      <c r="E5" s="13">
        <v>5</v>
      </c>
      <c r="F5" s="12">
        <v>94</v>
      </c>
      <c r="G5" s="13">
        <f>1000-B5</f>
        <v>984</v>
      </c>
      <c r="H5" s="14">
        <f>1000-C5</f>
        <v>997</v>
      </c>
      <c r="I5" s="9">
        <v>10</v>
      </c>
      <c r="L5" s="252">
        <v>157</v>
      </c>
      <c r="M5" s="253">
        <v>9.83</v>
      </c>
      <c r="N5" s="254">
        <v>1.0717592592592593E-3</v>
      </c>
      <c r="O5" s="253">
        <v>5.09</v>
      </c>
      <c r="P5" s="253">
        <v>52.5</v>
      </c>
      <c r="R5" s="252">
        <v>157</v>
      </c>
      <c r="S5" s="253">
        <v>10.130000000000001</v>
      </c>
      <c r="T5" s="254">
        <v>1.1296296296296295E-3</v>
      </c>
      <c r="U5" s="253">
        <v>4.97</v>
      </c>
      <c r="V5" s="253">
        <v>50.5</v>
      </c>
    </row>
    <row r="6" spans="1:22" ht="14.4">
      <c r="A6" s="9">
        <v>11</v>
      </c>
      <c r="B6" s="12">
        <v>15.9</v>
      </c>
      <c r="C6" s="13">
        <v>2.5900000000000003</v>
      </c>
      <c r="D6" s="13">
        <v>2.23</v>
      </c>
      <c r="E6" s="13">
        <v>5.5</v>
      </c>
      <c r="F6" s="12">
        <v>93.5</v>
      </c>
      <c r="G6" s="13">
        <f t="shared" ref="G6:G69" si="0">1000-B6</f>
        <v>984.1</v>
      </c>
      <c r="H6" s="14">
        <f t="shared" ref="H6:H69" si="1">1000-C6</f>
        <v>997.41</v>
      </c>
      <c r="I6" s="9">
        <v>11</v>
      </c>
      <c r="L6" s="252">
        <v>156</v>
      </c>
      <c r="M6" s="253">
        <v>9.84</v>
      </c>
      <c r="N6" s="254">
        <v>1.0740740740740741E-3</v>
      </c>
      <c r="O6" s="253">
        <v>5.08</v>
      </c>
      <c r="P6" s="253">
        <v>52</v>
      </c>
      <c r="R6" s="252">
        <v>156</v>
      </c>
      <c r="S6" s="253">
        <v>10.14</v>
      </c>
      <c r="T6" s="254">
        <v>1.1319444444444443E-3</v>
      </c>
      <c r="U6" s="253">
        <v>4.96</v>
      </c>
      <c r="V6" s="253">
        <v>50</v>
      </c>
    </row>
    <row r="7" spans="1:22" ht="14.4">
      <c r="A7" s="9">
        <v>12</v>
      </c>
      <c r="B7" s="12">
        <v>15.8</v>
      </c>
      <c r="C7" s="13">
        <v>2.5800000000000005</v>
      </c>
      <c r="D7" s="13">
        <v>2.2599999999999998</v>
      </c>
      <c r="E7" s="13">
        <v>6</v>
      </c>
      <c r="F7" s="12">
        <v>93</v>
      </c>
      <c r="G7" s="13">
        <f t="shared" si="0"/>
        <v>984.2</v>
      </c>
      <c r="H7" s="14">
        <f t="shared" si="1"/>
        <v>997.42</v>
      </c>
      <c r="I7" s="9">
        <v>12</v>
      </c>
      <c r="L7" s="252">
        <v>155</v>
      </c>
      <c r="M7" s="253">
        <v>9.85</v>
      </c>
      <c r="N7" s="254">
        <v>1.0763888888888889E-3</v>
      </c>
      <c r="O7" s="253">
        <v>5.07</v>
      </c>
      <c r="P7" s="253">
        <v>51.5</v>
      </c>
      <c r="R7" s="252">
        <v>155</v>
      </c>
      <c r="S7" s="253">
        <v>10.15</v>
      </c>
      <c r="T7" s="254">
        <v>1.1342592592592593E-3</v>
      </c>
      <c r="U7" s="253">
        <v>4.95</v>
      </c>
      <c r="V7" s="253">
        <v>49.5</v>
      </c>
    </row>
    <row r="8" spans="1:22" ht="14.4">
      <c r="A8" s="9">
        <v>13</v>
      </c>
      <c r="B8" s="12">
        <v>15.700000000000001</v>
      </c>
      <c r="C8" s="13">
        <v>2.5700000000000007</v>
      </c>
      <c r="D8" s="13">
        <v>2.2899999999999996</v>
      </c>
      <c r="E8" s="13">
        <v>6.5</v>
      </c>
      <c r="F8" s="12">
        <v>92.5</v>
      </c>
      <c r="G8" s="13">
        <f t="shared" si="0"/>
        <v>984.3</v>
      </c>
      <c r="H8" s="14">
        <f t="shared" si="1"/>
        <v>997.43</v>
      </c>
      <c r="I8" s="9">
        <v>13</v>
      </c>
      <c r="L8" s="252">
        <v>154</v>
      </c>
      <c r="M8" s="253">
        <v>9.86</v>
      </c>
      <c r="N8" s="254">
        <v>1.0787037037037037E-3</v>
      </c>
      <c r="O8" s="253">
        <v>5.0599999999999996</v>
      </c>
      <c r="P8" s="253">
        <v>51</v>
      </c>
      <c r="R8" s="252">
        <v>154</v>
      </c>
      <c r="S8" s="253">
        <v>10.16</v>
      </c>
      <c r="T8" s="254">
        <v>1.1365740740740741E-3</v>
      </c>
      <c r="U8" s="253">
        <v>4.9400000000000004</v>
      </c>
      <c r="V8" s="253">
        <v>49</v>
      </c>
    </row>
    <row r="9" spans="1:22" ht="14.4">
      <c r="A9" s="9">
        <v>14</v>
      </c>
      <c r="B9" s="12">
        <v>15.600000000000001</v>
      </c>
      <c r="C9" s="13">
        <v>2.5600000000000009</v>
      </c>
      <c r="D9" s="13">
        <v>2.3199999999999994</v>
      </c>
      <c r="E9" s="13">
        <v>7</v>
      </c>
      <c r="F9" s="12">
        <v>92</v>
      </c>
      <c r="G9" s="13">
        <f t="shared" si="0"/>
        <v>984.4</v>
      </c>
      <c r="H9" s="14">
        <f t="shared" si="1"/>
        <v>997.44</v>
      </c>
      <c r="I9" s="9">
        <v>14</v>
      </c>
      <c r="L9" s="252">
        <v>153</v>
      </c>
      <c r="M9" s="253">
        <v>9.8699999999999992</v>
      </c>
      <c r="N9" s="254">
        <v>1.0810185185185185E-3</v>
      </c>
      <c r="O9" s="253">
        <v>5.05</v>
      </c>
      <c r="P9" s="253">
        <v>50.5</v>
      </c>
      <c r="R9" s="252">
        <v>153</v>
      </c>
      <c r="S9" s="253">
        <v>10.17</v>
      </c>
      <c r="T9" s="254">
        <v>1.1388888888888889E-3</v>
      </c>
      <c r="U9" s="253">
        <v>4.93</v>
      </c>
      <c r="V9" s="253">
        <v>48.5</v>
      </c>
    </row>
    <row r="10" spans="1:22" ht="14.4">
      <c r="A10" s="9">
        <v>15</v>
      </c>
      <c r="B10" s="12">
        <v>15.500000000000002</v>
      </c>
      <c r="C10" s="13">
        <v>2.5500000000000012</v>
      </c>
      <c r="D10" s="13">
        <v>2.3499999999999992</v>
      </c>
      <c r="E10" s="13">
        <v>7.5</v>
      </c>
      <c r="F10" s="12">
        <v>91.5</v>
      </c>
      <c r="G10" s="13">
        <f t="shared" si="0"/>
        <v>984.5</v>
      </c>
      <c r="H10" s="14">
        <f t="shared" si="1"/>
        <v>997.45</v>
      </c>
      <c r="I10" s="9">
        <v>15</v>
      </c>
      <c r="L10" s="252">
        <v>152</v>
      </c>
      <c r="M10" s="253">
        <v>9.8800000000000008</v>
      </c>
      <c r="N10" s="254">
        <v>1.0833333333333333E-3</v>
      </c>
      <c r="O10" s="253">
        <v>5.04</v>
      </c>
      <c r="P10" s="253">
        <v>50</v>
      </c>
      <c r="R10" s="252">
        <v>152</v>
      </c>
      <c r="S10" s="253">
        <v>10.18</v>
      </c>
      <c r="T10" s="254">
        <v>1.1412037037037037E-3</v>
      </c>
      <c r="U10" s="253">
        <v>4.91</v>
      </c>
      <c r="V10" s="253">
        <v>48</v>
      </c>
    </row>
    <row r="11" spans="1:22" ht="14.4">
      <c r="A11" s="9">
        <v>16</v>
      </c>
      <c r="B11" s="12">
        <v>15.400000000000002</v>
      </c>
      <c r="C11" s="13">
        <v>2.5400000000000014</v>
      </c>
      <c r="D11" s="13">
        <v>2.379999999999999</v>
      </c>
      <c r="E11" s="13">
        <v>8</v>
      </c>
      <c r="F11" s="12">
        <v>91</v>
      </c>
      <c r="G11" s="13">
        <f t="shared" si="0"/>
        <v>984.6</v>
      </c>
      <c r="H11" s="14">
        <f t="shared" si="1"/>
        <v>997.46</v>
      </c>
      <c r="I11" s="9">
        <v>16</v>
      </c>
      <c r="L11" s="252">
        <v>151</v>
      </c>
      <c r="M11" s="253">
        <v>9.89</v>
      </c>
      <c r="N11" s="254">
        <v>1.0856481481481481E-3</v>
      </c>
      <c r="O11" s="253">
        <v>5.03</v>
      </c>
      <c r="P11" s="253">
        <v>49.5</v>
      </c>
      <c r="R11" s="252">
        <v>151</v>
      </c>
      <c r="S11" s="253">
        <v>10.19</v>
      </c>
      <c r="T11" s="254">
        <v>1.1435185185185185E-3</v>
      </c>
      <c r="U11" s="253">
        <v>4.8899999999999997</v>
      </c>
      <c r="V11" s="253">
        <v>47.5</v>
      </c>
    </row>
    <row r="12" spans="1:22" ht="14.4">
      <c r="A12" s="9">
        <v>17</v>
      </c>
      <c r="B12" s="12">
        <v>15.300000000000002</v>
      </c>
      <c r="C12" s="13">
        <v>2.5300000000000016</v>
      </c>
      <c r="D12" s="13">
        <v>2.4099999999999988</v>
      </c>
      <c r="E12" s="13">
        <v>8.5</v>
      </c>
      <c r="F12" s="12">
        <v>90.5</v>
      </c>
      <c r="G12" s="13">
        <f t="shared" si="0"/>
        <v>984.7</v>
      </c>
      <c r="H12" s="14">
        <f t="shared" si="1"/>
        <v>997.47</v>
      </c>
      <c r="I12" s="9">
        <v>17</v>
      </c>
      <c r="L12" s="252">
        <v>150</v>
      </c>
      <c r="M12" s="253">
        <v>9.9</v>
      </c>
      <c r="N12" s="254">
        <v>1.0879629629629629E-3</v>
      </c>
      <c r="O12" s="253">
        <v>5.0199999999999996</v>
      </c>
      <c r="P12" s="253">
        <v>49</v>
      </c>
      <c r="R12" s="252">
        <v>150</v>
      </c>
      <c r="S12" s="253">
        <v>10.199999999999999</v>
      </c>
      <c r="T12" s="254">
        <v>1.1458333333333333E-3</v>
      </c>
      <c r="U12" s="253">
        <v>4.8499999999999996</v>
      </c>
      <c r="V12" s="253">
        <v>47</v>
      </c>
    </row>
    <row r="13" spans="1:22" ht="14.4">
      <c r="A13" s="9">
        <v>18</v>
      </c>
      <c r="B13" s="12">
        <v>15.200000000000003</v>
      </c>
      <c r="C13" s="13">
        <v>2.5200000000000018</v>
      </c>
      <c r="D13" s="13">
        <v>2.4399999999999986</v>
      </c>
      <c r="E13" s="13">
        <v>9</v>
      </c>
      <c r="F13" s="12">
        <v>90</v>
      </c>
      <c r="G13" s="13">
        <f t="shared" si="0"/>
        <v>984.8</v>
      </c>
      <c r="H13" s="14">
        <f t="shared" si="1"/>
        <v>997.48</v>
      </c>
      <c r="I13" s="9">
        <v>18</v>
      </c>
      <c r="L13" s="252">
        <v>149</v>
      </c>
      <c r="M13" s="253">
        <v>9.91</v>
      </c>
      <c r="N13" s="254">
        <v>1.0902777777777779E-3</v>
      </c>
      <c r="O13" s="253">
        <v>5.01</v>
      </c>
      <c r="P13" s="253">
        <v>48.5</v>
      </c>
      <c r="R13" s="252">
        <v>149</v>
      </c>
      <c r="S13" s="253">
        <v>10.210000000000001</v>
      </c>
      <c r="T13" s="254">
        <v>1.1481481481481481E-3</v>
      </c>
      <c r="U13" s="253">
        <v>4.83</v>
      </c>
      <c r="V13" s="253">
        <v>46.5</v>
      </c>
    </row>
    <row r="14" spans="1:22" ht="14.4">
      <c r="A14" s="9">
        <v>19</v>
      </c>
      <c r="B14" s="12">
        <v>15.100000000000003</v>
      </c>
      <c r="C14" s="13">
        <v>2.510000000000002</v>
      </c>
      <c r="D14" s="13">
        <v>2.4699999999999984</v>
      </c>
      <c r="E14" s="13">
        <v>9.5</v>
      </c>
      <c r="F14" s="12">
        <v>89.5</v>
      </c>
      <c r="G14" s="13">
        <f t="shared" si="0"/>
        <v>984.9</v>
      </c>
      <c r="H14" s="14">
        <f t="shared" si="1"/>
        <v>997.49</v>
      </c>
      <c r="I14" s="9">
        <v>19</v>
      </c>
      <c r="L14" s="252">
        <v>148</v>
      </c>
      <c r="M14" s="253">
        <v>9.92</v>
      </c>
      <c r="N14" s="254">
        <v>1.0925925925925927E-3</v>
      </c>
      <c r="O14" s="253">
        <v>5</v>
      </c>
      <c r="P14" s="253">
        <v>48</v>
      </c>
      <c r="R14" s="252">
        <v>148</v>
      </c>
      <c r="S14" s="253">
        <v>10.220000000000001</v>
      </c>
      <c r="T14" s="254">
        <v>1.1504629629629629E-3</v>
      </c>
      <c r="U14" s="253">
        <v>4.8099999999999996</v>
      </c>
      <c r="V14" s="253">
        <v>46</v>
      </c>
    </row>
    <row r="15" spans="1:22" ht="14.4">
      <c r="A15" s="9">
        <v>20</v>
      </c>
      <c r="B15" s="12">
        <v>15.000000000000004</v>
      </c>
      <c r="C15" s="13">
        <v>2.5000000000000022</v>
      </c>
      <c r="D15" s="13">
        <v>2.4999999999999982</v>
      </c>
      <c r="E15" s="13">
        <v>10</v>
      </c>
      <c r="F15" s="12">
        <v>89</v>
      </c>
      <c r="G15" s="13">
        <f t="shared" si="0"/>
        <v>985</v>
      </c>
      <c r="H15" s="14">
        <f t="shared" si="1"/>
        <v>997.5</v>
      </c>
      <c r="I15" s="9">
        <v>20</v>
      </c>
      <c r="L15" s="252">
        <v>147</v>
      </c>
      <c r="M15" s="253">
        <v>9.93</v>
      </c>
      <c r="N15" s="254">
        <v>1.0949074074074073E-3</v>
      </c>
      <c r="O15" s="253">
        <v>4.99</v>
      </c>
      <c r="P15" s="253">
        <v>47.5</v>
      </c>
      <c r="R15" s="252">
        <v>147</v>
      </c>
      <c r="S15" s="253">
        <v>10.23</v>
      </c>
      <c r="T15" s="254">
        <v>1.1527777777777777E-3</v>
      </c>
      <c r="U15" s="253">
        <v>4.79</v>
      </c>
      <c r="V15" s="253">
        <v>45.5</v>
      </c>
    </row>
    <row r="16" spans="1:22" ht="14.4">
      <c r="A16" s="9">
        <v>21</v>
      </c>
      <c r="B16" s="12">
        <v>14.900000000000004</v>
      </c>
      <c r="C16" s="13">
        <v>2.4900000000000024</v>
      </c>
      <c r="D16" s="13">
        <v>2.529999999999998</v>
      </c>
      <c r="E16" s="13">
        <v>10.5</v>
      </c>
      <c r="F16" s="12">
        <v>88.5</v>
      </c>
      <c r="G16" s="13">
        <f t="shared" si="0"/>
        <v>985.1</v>
      </c>
      <c r="H16" s="14">
        <f t="shared" si="1"/>
        <v>997.51</v>
      </c>
      <c r="I16" s="9">
        <v>21</v>
      </c>
      <c r="L16" s="252">
        <v>146</v>
      </c>
      <c r="M16" s="253">
        <v>9.94</v>
      </c>
      <c r="N16" s="254">
        <v>1.0972222222222221E-3</v>
      </c>
      <c r="O16" s="253">
        <v>4.9800000000000004</v>
      </c>
      <c r="P16" s="253">
        <v>47</v>
      </c>
      <c r="R16" s="252">
        <v>146</v>
      </c>
      <c r="S16" s="253">
        <v>10.24</v>
      </c>
      <c r="T16" s="254">
        <v>1.1550925925925925E-3</v>
      </c>
      <c r="U16" s="253">
        <v>4.7699999999999996</v>
      </c>
      <c r="V16" s="253">
        <v>45</v>
      </c>
    </row>
    <row r="17" spans="1:22" ht="14.4">
      <c r="A17" s="9">
        <v>22</v>
      </c>
      <c r="B17" s="12">
        <v>14.800000000000004</v>
      </c>
      <c r="C17" s="13">
        <v>2.4800000000000026</v>
      </c>
      <c r="D17" s="13">
        <v>2.5599999999999978</v>
      </c>
      <c r="E17" s="13">
        <v>11</v>
      </c>
      <c r="F17" s="12">
        <v>88</v>
      </c>
      <c r="G17" s="13">
        <f t="shared" si="0"/>
        <v>985.2</v>
      </c>
      <c r="H17" s="14">
        <f t="shared" si="1"/>
        <v>997.52</v>
      </c>
      <c r="I17" s="9">
        <v>22</v>
      </c>
      <c r="L17" s="252">
        <v>145</v>
      </c>
      <c r="M17" s="253">
        <v>9.9499999999999993</v>
      </c>
      <c r="N17" s="254">
        <v>1.0995370370370371E-3</v>
      </c>
      <c r="O17" s="253">
        <v>4.97</v>
      </c>
      <c r="P17" s="253">
        <v>46.5</v>
      </c>
      <c r="R17" s="252">
        <v>145</v>
      </c>
      <c r="S17" s="253">
        <v>10.25</v>
      </c>
      <c r="T17" s="254">
        <v>1.1574074074074073E-3</v>
      </c>
      <c r="U17" s="253">
        <v>4.75</v>
      </c>
      <c r="V17" s="253">
        <v>44.5</v>
      </c>
    </row>
    <row r="18" spans="1:22" ht="14.4">
      <c r="A18" s="9">
        <v>23</v>
      </c>
      <c r="B18" s="12">
        <v>14.700000000000005</v>
      </c>
      <c r="C18" s="13">
        <v>2.4700000000000029</v>
      </c>
      <c r="D18" s="13">
        <v>2.5899999999999976</v>
      </c>
      <c r="E18" s="13">
        <v>11.5</v>
      </c>
      <c r="F18" s="12">
        <v>87.5</v>
      </c>
      <c r="G18" s="13">
        <f t="shared" si="0"/>
        <v>985.3</v>
      </c>
      <c r="H18" s="14">
        <f t="shared" si="1"/>
        <v>997.53</v>
      </c>
      <c r="I18" s="9">
        <v>23</v>
      </c>
      <c r="L18" s="252">
        <v>144</v>
      </c>
      <c r="M18" s="253">
        <v>9.9600000000000009</v>
      </c>
      <c r="N18" s="254">
        <v>1.1018518518518519E-3</v>
      </c>
      <c r="O18" s="253">
        <v>4.96</v>
      </c>
      <c r="P18" s="253">
        <v>46</v>
      </c>
      <c r="R18" s="252">
        <v>144</v>
      </c>
      <c r="S18" s="253">
        <v>10.26</v>
      </c>
      <c r="T18" s="254">
        <v>1.1597222222222224E-3</v>
      </c>
      <c r="U18" s="253">
        <v>4.7300000000000004</v>
      </c>
      <c r="V18" s="253">
        <v>44</v>
      </c>
    </row>
    <row r="19" spans="1:22" ht="14.4">
      <c r="A19" s="9">
        <v>24</v>
      </c>
      <c r="B19" s="12">
        <v>14.600000000000005</v>
      </c>
      <c r="C19" s="13">
        <v>2.4600000000000031</v>
      </c>
      <c r="D19" s="13">
        <v>2.6199999999999974</v>
      </c>
      <c r="E19" s="13">
        <v>12</v>
      </c>
      <c r="F19" s="12">
        <v>87</v>
      </c>
      <c r="G19" s="13">
        <f t="shared" si="0"/>
        <v>985.4</v>
      </c>
      <c r="H19" s="14">
        <f t="shared" si="1"/>
        <v>997.54</v>
      </c>
      <c r="I19" s="9">
        <v>24</v>
      </c>
      <c r="L19" s="252">
        <v>143</v>
      </c>
      <c r="M19" s="253">
        <v>9.9700000000000006</v>
      </c>
      <c r="N19" s="254">
        <v>1.1041666666666667E-3</v>
      </c>
      <c r="O19" s="253">
        <v>4.95</v>
      </c>
      <c r="P19" s="253">
        <v>45.5</v>
      </c>
      <c r="R19" s="252">
        <v>143</v>
      </c>
      <c r="S19" s="253">
        <v>10.27</v>
      </c>
      <c r="T19" s="254">
        <v>1.1620370370370372E-3</v>
      </c>
      <c r="U19" s="253">
        <v>4.71</v>
      </c>
      <c r="V19" s="253">
        <v>43.5</v>
      </c>
    </row>
    <row r="20" spans="1:22" ht="14.4">
      <c r="A20" s="9">
        <v>25</v>
      </c>
      <c r="B20" s="12">
        <v>14.500000000000005</v>
      </c>
      <c r="C20" s="13">
        <v>2.4500000000000033</v>
      </c>
      <c r="D20" s="13">
        <v>2.6499999999999972</v>
      </c>
      <c r="E20" s="13">
        <v>12.5</v>
      </c>
      <c r="F20" s="12">
        <v>86.5</v>
      </c>
      <c r="G20" s="13">
        <f t="shared" si="0"/>
        <v>985.5</v>
      </c>
      <c r="H20" s="14">
        <f t="shared" si="1"/>
        <v>997.55</v>
      </c>
      <c r="I20" s="9">
        <v>25</v>
      </c>
      <c r="L20" s="252">
        <v>142</v>
      </c>
      <c r="M20" s="253">
        <v>9.98</v>
      </c>
      <c r="N20" s="254">
        <v>1.1064814814814815E-3</v>
      </c>
      <c r="O20" s="253">
        <v>4.9400000000000004</v>
      </c>
      <c r="P20" s="253">
        <v>45</v>
      </c>
      <c r="R20" s="252">
        <v>142</v>
      </c>
      <c r="S20" s="253">
        <v>10.28</v>
      </c>
      <c r="T20" s="254">
        <v>1.1643518518518517E-3</v>
      </c>
      <c r="U20" s="253">
        <v>4.6900000000000004</v>
      </c>
      <c r="V20" s="253">
        <v>43</v>
      </c>
    </row>
    <row r="21" spans="1:22" ht="14.4">
      <c r="A21" s="9">
        <v>26</v>
      </c>
      <c r="B21" s="12">
        <v>14.400000000000006</v>
      </c>
      <c r="C21" s="13">
        <v>2.4400000000000035</v>
      </c>
      <c r="D21" s="13">
        <v>2.6799999999999971</v>
      </c>
      <c r="E21" s="13">
        <v>13</v>
      </c>
      <c r="F21" s="12">
        <v>86</v>
      </c>
      <c r="G21" s="13">
        <f t="shared" si="0"/>
        <v>985.6</v>
      </c>
      <c r="H21" s="14">
        <f t="shared" si="1"/>
        <v>997.56</v>
      </c>
      <c r="I21" s="9">
        <v>26</v>
      </c>
      <c r="L21" s="252">
        <v>141</v>
      </c>
      <c r="M21" s="253">
        <v>9.99</v>
      </c>
      <c r="N21" s="254">
        <v>1.1087962962962963E-3</v>
      </c>
      <c r="O21" s="253">
        <v>4.93</v>
      </c>
      <c r="P21" s="253">
        <v>44.5</v>
      </c>
      <c r="R21" s="252">
        <v>141</v>
      </c>
      <c r="S21" s="253">
        <v>10.29</v>
      </c>
      <c r="T21" s="254">
        <v>1.1666666666666665E-3</v>
      </c>
      <c r="U21" s="253">
        <v>4.67</v>
      </c>
      <c r="V21" s="253">
        <v>42.5</v>
      </c>
    </row>
    <row r="22" spans="1:22" ht="14.4">
      <c r="A22" s="9">
        <v>27</v>
      </c>
      <c r="B22" s="12">
        <v>14.300000000000006</v>
      </c>
      <c r="C22" s="13">
        <v>2.4300000000000037</v>
      </c>
      <c r="D22" s="13">
        <v>2.7099999999999969</v>
      </c>
      <c r="E22" s="13">
        <v>13.5</v>
      </c>
      <c r="F22" s="12">
        <v>85.5</v>
      </c>
      <c r="G22" s="13">
        <f t="shared" si="0"/>
        <v>985.7</v>
      </c>
      <c r="H22" s="14">
        <f t="shared" si="1"/>
        <v>997.57</v>
      </c>
      <c r="I22" s="9">
        <v>27</v>
      </c>
      <c r="L22" s="252">
        <v>140</v>
      </c>
      <c r="M22" s="253">
        <v>10</v>
      </c>
      <c r="N22" s="254">
        <v>1.1111111111111111E-3</v>
      </c>
      <c r="O22" s="253">
        <v>4.91</v>
      </c>
      <c r="P22" s="253">
        <v>44</v>
      </c>
      <c r="R22" s="252">
        <v>140</v>
      </c>
      <c r="S22" s="253">
        <v>10.3</v>
      </c>
      <c r="T22" s="254">
        <v>1.1689814814814816E-3</v>
      </c>
      <c r="U22" s="253">
        <v>4.6500000000000004</v>
      </c>
      <c r="V22" s="253">
        <v>42</v>
      </c>
    </row>
    <row r="23" spans="1:22" ht="14.4">
      <c r="A23" s="9">
        <v>28</v>
      </c>
      <c r="B23" s="12">
        <v>14.200000000000006</v>
      </c>
      <c r="C23" s="13">
        <v>2.4200000000000039</v>
      </c>
      <c r="D23" s="13">
        <v>2.7399999999999967</v>
      </c>
      <c r="E23" s="13">
        <v>14</v>
      </c>
      <c r="F23" s="12">
        <v>85</v>
      </c>
      <c r="G23" s="13">
        <f t="shared" si="0"/>
        <v>985.8</v>
      </c>
      <c r="H23" s="14">
        <f t="shared" si="1"/>
        <v>997.58</v>
      </c>
      <c r="I23" s="9">
        <v>28</v>
      </c>
      <c r="L23" s="252">
        <v>139</v>
      </c>
      <c r="M23" s="253">
        <v>10.02</v>
      </c>
      <c r="N23" s="254">
        <v>1.1134259259259259E-3</v>
      </c>
      <c r="O23" s="253">
        <v>4.8899999999999997</v>
      </c>
      <c r="P23" s="253">
        <v>43.5</v>
      </c>
      <c r="R23" s="252">
        <v>139</v>
      </c>
      <c r="S23" s="253">
        <v>10.32</v>
      </c>
      <c r="T23" s="254">
        <v>1.1712962962962964E-3</v>
      </c>
      <c r="U23" s="253">
        <v>4.63</v>
      </c>
      <c r="V23" s="253">
        <v>41.5</v>
      </c>
    </row>
    <row r="24" spans="1:22" ht="14.4">
      <c r="A24" s="9">
        <v>29</v>
      </c>
      <c r="B24" s="12">
        <v>14.100000000000007</v>
      </c>
      <c r="C24" s="13">
        <v>2.4100000000000041</v>
      </c>
      <c r="D24" s="13">
        <v>2.7699999999999965</v>
      </c>
      <c r="E24" s="13">
        <v>14.5</v>
      </c>
      <c r="F24" s="12">
        <v>84.5</v>
      </c>
      <c r="G24" s="13">
        <f t="shared" si="0"/>
        <v>985.9</v>
      </c>
      <c r="H24" s="14">
        <f t="shared" si="1"/>
        <v>997.59</v>
      </c>
      <c r="I24" s="9">
        <v>29</v>
      </c>
      <c r="L24" s="252">
        <v>138</v>
      </c>
      <c r="M24" s="253">
        <v>10.039999999999999</v>
      </c>
      <c r="N24" s="254">
        <v>1.1157407407407407E-3</v>
      </c>
      <c r="O24" s="253">
        <v>4.8499999999999996</v>
      </c>
      <c r="P24" s="253">
        <v>43</v>
      </c>
      <c r="R24" s="252">
        <v>138</v>
      </c>
      <c r="S24" s="253">
        <v>10.34</v>
      </c>
      <c r="T24" s="254">
        <v>1.1736111111111112E-3</v>
      </c>
      <c r="U24" s="253">
        <v>4.6100000000000003</v>
      </c>
      <c r="V24" s="253">
        <v>41</v>
      </c>
    </row>
    <row r="25" spans="1:22" ht="14.4">
      <c r="A25" s="9">
        <v>30</v>
      </c>
      <c r="B25" s="12">
        <v>14.000000000000007</v>
      </c>
      <c r="C25" s="13">
        <v>2.4000000000000044</v>
      </c>
      <c r="D25" s="13">
        <v>2.7999999999999963</v>
      </c>
      <c r="E25" s="13">
        <v>15</v>
      </c>
      <c r="F25" s="12">
        <v>84</v>
      </c>
      <c r="G25" s="13">
        <f t="shared" si="0"/>
        <v>986</v>
      </c>
      <c r="H25" s="14">
        <f t="shared" si="1"/>
        <v>997.6</v>
      </c>
      <c r="I25" s="9">
        <v>30</v>
      </c>
      <c r="L25" s="252">
        <v>137</v>
      </c>
      <c r="M25" s="253">
        <v>10.06</v>
      </c>
      <c r="N25" s="254">
        <v>1.1180555555555555E-3</v>
      </c>
      <c r="O25" s="253">
        <v>4.83</v>
      </c>
      <c r="P25" s="253">
        <v>42.5</v>
      </c>
      <c r="R25" s="252">
        <v>137</v>
      </c>
      <c r="S25" s="253">
        <v>10.36</v>
      </c>
      <c r="T25" s="254">
        <v>1.175925925925926E-3</v>
      </c>
      <c r="U25" s="253">
        <v>4.59</v>
      </c>
      <c r="V25" s="253">
        <v>40.5</v>
      </c>
    </row>
    <row r="26" spans="1:22" ht="14.4">
      <c r="A26" s="9">
        <v>31</v>
      </c>
      <c r="B26" s="12">
        <v>13.900000000000007</v>
      </c>
      <c r="C26" s="13">
        <v>2.3900000000000046</v>
      </c>
      <c r="D26" s="13">
        <v>2.8299999999999961</v>
      </c>
      <c r="E26" s="13">
        <v>15.5</v>
      </c>
      <c r="F26" s="12">
        <v>83.5</v>
      </c>
      <c r="G26" s="13">
        <f t="shared" si="0"/>
        <v>986.1</v>
      </c>
      <c r="H26" s="14">
        <f t="shared" si="1"/>
        <v>997.61</v>
      </c>
      <c r="I26" s="9">
        <v>31</v>
      </c>
      <c r="L26" s="252">
        <v>136</v>
      </c>
      <c r="M26" s="253">
        <v>10.08</v>
      </c>
      <c r="N26" s="254">
        <v>1.1203703703703703E-3</v>
      </c>
      <c r="O26" s="253">
        <v>4.8099999999999996</v>
      </c>
      <c r="P26" s="253">
        <v>42</v>
      </c>
      <c r="R26" s="252">
        <v>136</v>
      </c>
      <c r="S26" s="253">
        <v>10.38</v>
      </c>
      <c r="T26" s="254">
        <v>1.1782407407407408E-3</v>
      </c>
      <c r="U26" s="253">
        <v>4.57</v>
      </c>
      <c r="V26" s="253">
        <v>40</v>
      </c>
    </row>
    <row r="27" spans="1:22" ht="14.4">
      <c r="A27" s="9">
        <v>32</v>
      </c>
      <c r="B27" s="12">
        <v>13.800000000000008</v>
      </c>
      <c r="C27" s="13">
        <v>2.3800000000000048</v>
      </c>
      <c r="D27" s="13">
        <v>2.8599999999999959</v>
      </c>
      <c r="E27" s="13">
        <v>16</v>
      </c>
      <c r="F27" s="12">
        <v>83</v>
      </c>
      <c r="G27" s="13">
        <f t="shared" si="0"/>
        <v>986.2</v>
      </c>
      <c r="H27" s="14">
        <f t="shared" si="1"/>
        <v>997.62</v>
      </c>
      <c r="I27" s="9">
        <v>32</v>
      </c>
      <c r="L27" s="252">
        <v>135</v>
      </c>
      <c r="M27" s="253">
        <v>10.1</v>
      </c>
      <c r="N27" s="254">
        <v>1.1226851851851851E-3</v>
      </c>
      <c r="O27" s="253">
        <v>4.79</v>
      </c>
      <c r="P27" s="253">
        <v>41.5</v>
      </c>
      <c r="R27" s="252">
        <v>135</v>
      </c>
      <c r="S27" s="253">
        <v>10.4</v>
      </c>
      <c r="T27" s="254">
        <v>1.1805555555555556E-3</v>
      </c>
      <c r="U27" s="253">
        <v>4.55</v>
      </c>
      <c r="V27" s="253">
        <v>39.5</v>
      </c>
    </row>
    <row r="28" spans="1:22" ht="14.4">
      <c r="A28" s="9">
        <v>33</v>
      </c>
      <c r="B28" s="12">
        <v>13.700000000000008</v>
      </c>
      <c r="C28" s="13">
        <v>2.370000000000005</v>
      </c>
      <c r="D28" s="13">
        <v>2.8899999999999957</v>
      </c>
      <c r="E28" s="13">
        <v>16.5</v>
      </c>
      <c r="F28" s="12">
        <v>82.5</v>
      </c>
      <c r="G28" s="13">
        <f t="shared" si="0"/>
        <v>986.3</v>
      </c>
      <c r="H28" s="14">
        <f t="shared" si="1"/>
        <v>997.63</v>
      </c>
      <c r="I28" s="9">
        <v>33</v>
      </c>
      <c r="L28" s="252">
        <v>134</v>
      </c>
      <c r="M28" s="253">
        <v>10.119999999999999</v>
      </c>
      <c r="N28" s="254">
        <v>1.1250000000000001E-3</v>
      </c>
      <c r="O28" s="253">
        <v>4.7699999999999996</v>
      </c>
      <c r="P28" s="253">
        <v>41</v>
      </c>
      <c r="R28" s="252">
        <v>134</v>
      </c>
      <c r="S28" s="253">
        <v>10.42</v>
      </c>
      <c r="T28" s="254">
        <v>1.1828703703703704E-3</v>
      </c>
      <c r="U28" s="253">
        <v>4.53</v>
      </c>
      <c r="V28" s="253">
        <v>39</v>
      </c>
    </row>
    <row r="29" spans="1:22" ht="14.4">
      <c r="A29" s="9">
        <v>34</v>
      </c>
      <c r="B29" s="12">
        <v>13.600000000000009</v>
      </c>
      <c r="C29" s="13">
        <v>2.3600000000000052</v>
      </c>
      <c r="D29" s="13">
        <v>2.9199999999999955</v>
      </c>
      <c r="E29" s="13">
        <v>17</v>
      </c>
      <c r="F29" s="12">
        <v>82</v>
      </c>
      <c r="G29" s="13">
        <f t="shared" si="0"/>
        <v>986.4</v>
      </c>
      <c r="H29" s="14">
        <f t="shared" si="1"/>
        <v>997.64</v>
      </c>
      <c r="I29" s="9">
        <v>34</v>
      </c>
      <c r="L29" s="252">
        <v>133</v>
      </c>
      <c r="M29" s="253">
        <v>10.14</v>
      </c>
      <c r="N29" s="254">
        <v>1.1273148148148149E-3</v>
      </c>
      <c r="O29" s="253">
        <v>4.75</v>
      </c>
      <c r="P29" s="253">
        <v>40.5</v>
      </c>
      <c r="R29" s="252">
        <v>133</v>
      </c>
      <c r="S29" s="253">
        <v>10.44</v>
      </c>
      <c r="T29" s="254">
        <v>1.1851851851851852E-3</v>
      </c>
      <c r="U29" s="253">
        <v>4.51</v>
      </c>
      <c r="V29" s="253">
        <v>38.5</v>
      </c>
    </row>
    <row r="30" spans="1:22" ht="14.4">
      <c r="A30" s="9">
        <v>35</v>
      </c>
      <c r="B30" s="12">
        <v>13.500000000000009</v>
      </c>
      <c r="C30" s="13">
        <v>2.3500000000000054</v>
      </c>
      <c r="D30" s="13">
        <v>2.9499999999999953</v>
      </c>
      <c r="E30" s="13">
        <v>17.5</v>
      </c>
      <c r="F30" s="12">
        <v>81.5</v>
      </c>
      <c r="G30" s="13">
        <f t="shared" si="0"/>
        <v>986.5</v>
      </c>
      <c r="H30" s="14">
        <f t="shared" si="1"/>
        <v>997.65</v>
      </c>
      <c r="I30" s="9">
        <v>35</v>
      </c>
      <c r="L30" s="252">
        <v>132</v>
      </c>
      <c r="M30" s="253">
        <v>10.16</v>
      </c>
      <c r="N30" s="254">
        <v>1.1296296296296295E-3</v>
      </c>
      <c r="O30" s="253">
        <v>4.7300000000000004</v>
      </c>
      <c r="P30" s="253">
        <v>40</v>
      </c>
      <c r="R30" s="252">
        <v>132</v>
      </c>
      <c r="S30" s="253">
        <v>10.46</v>
      </c>
      <c r="T30" s="254">
        <v>1.1875E-3</v>
      </c>
      <c r="U30" s="253">
        <v>4.49</v>
      </c>
      <c r="V30" s="253">
        <v>38</v>
      </c>
    </row>
    <row r="31" spans="1:22" ht="14.4">
      <c r="A31" s="9">
        <v>36</v>
      </c>
      <c r="B31" s="12">
        <v>13.400000000000009</v>
      </c>
      <c r="C31" s="13">
        <v>2.3400000000000056</v>
      </c>
      <c r="D31" s="13">
        <v>2.9799999999999951</v>
      </c>
      <c r="E31" s="13">
        <v>18</v>
      </c>
      <c r="F31" s="12">
        <v>81</v>
      </c>
      <c r="G31" s="13">
        <f t="shared" si="0"/>
        <v>986.6</v>
      </c>
      <c r="H31" s="14">
        <f t="shared" si="1"/>
        <v>997.66</v>
      </c>
      <c r="I31" s="9">
        <v>36</v>
      </c>
      <c r="L31" s="252">
        <v>131</v>
      </c>
      <c r="M31" s="253">
        <v>10.18</v>
      </c>
      <c r="N31" s="254">
        <v>1.1319444444444443E-3</v>
      </c>
      <c r="O31" s="253">
        <v>4.71</v>
      </c>
      <c r="P31" s="253">
        <v>39.5</v>
      </c>
      <c r="R31" s="252">
        <v>131</v>
      </c>
      <c r="S31" s="253">
        <v>10.48</v>
      </c>
      <c r="T31" s="254">
        <v>1.1898148148148148E-3</v>
      </c>
      <c r="U31" s="253">
        <v>4.47</v>
      </c>
      <c r="V31" s="253">
        <v>37.5</v>
      </c>
    </row>
    <row r="32" spans="1:22" ht="14.4">
      <c r="A32" s="9">
        <v>37</v>
      </c>
      <c r="B32" s="12">
        <v>13.30000000000001</v>
      </c>
      <c r="C32" s="13">
        <v>2.3300000000000058</v>
      </c>
      <c r="D32" s="13">
        <v>3.0099999999999949</v>
      </c>
      <c r="E32" s="13">
        <v>18.5</v>
      </c>
      <c r="F32" s="12">
        <v>80.5</v>
      </c>
      <c r="G32" s="13">
        <f t="shared" si="0"/>
        <v>986.7</v>
      </c>
      <c r="H32" s="14">
        <f t="shared" si="1"/>
        <v>997.67</v>
      </c>
      <c r="I32" s="9">
        <v>37</v>
      </c>
      <c r="L32" s="252">
        <v>130</v>
      </c>
      <c r="M32" s="253">
        <v>10.199999999999999</v>
      </c>
      <c r="N32" s="254">
        <v>1.1342592592592593E-3</v>
      </c>
      <c r="O32" s="253">
        <v>4.6900000000000004</v>
      </c>
      <c r="P32" s="253">
        <v>39</v>
      </c>
      <c r="R32" s="252">
        <v>130</v>
      </c>
      <c r="S32" s="253">
        <v>10.5</v>
      </c>
      <c r="T32" s="254">
        <v>1.1921296296296296E-3</v>
      </c>
      <c r="U32" s="253">
        <v>4.45</v>
      </c>
      <c r="V32" s="253">
        <v>37</v>
      </c>
    </row>
    <row r="33" spans="1:22" ht="14.4">
      <c r="A33" s="9">
        <v>38</v>
      </c>
      <c r="B33" s="12">
        <v>13.20000000000001</v>
      </c>
      <c r="C33" s="13">
        <v>2.3200000000000061</v>
      </c>
      <c r="D33" s="13">
        <v>3.0399999999999947</v>
      </c>
      <c r="E33" s="13">
        <v>19</v>
      </c>
      <c r="F33" s="12">
        <v>80</v>
      </c>
      <c r="G33" s="13">
        <f t="shared" si="0"/>
        <v>986.8</v>
      </c>
      <c r="H33" s="14">
        <f t="shared" si="1"/>
        <v>997.68</v>
      </c>
      <c r="I33" s="9">
        <v>38</v>
      </c>
      <c r="L33" s="252">
        <v>129</v>
      </c>
      <c r="M33" s="253">
        <v>10.220000000000001</v>
      </c>
      <c r="N33" s="254">
        <v>1.1365740740740741E-3</v>
      </c>
      <c r="O33" s="253">
        <v>4.67</v>
      </c>
      <c r="P33" s="253">
        <v>38.5</v>
      </c>
      <c r="R33" s="252">
        <v>129</v>
      </c>
      <c r="S33" s="253">
        <v>10.52</v>
      </c>
      <c r="T33" s="254">
        <v>1.1944444444444444E-3</v>
      </c>
      <c r="U33" s="253">
        <v>4.43</v>
      </c>
      <c r="V33" s="253">
        <v>36.5</v>
      </c>
    </row>
    <row r="34" spans="1:22" ht="14.4">
      <c r="A34" s="9">
        <v>39</v>
      </c>
      <c r="B34" s="12">
        <v>13.10000000000001</v>
      </c>
      <c r="C34" s="13">
        <v>2.3100000000000063</v>
      </c>
      <c r="D34" s="13">
        <v>3.0699999999999945</v>
      </c>
      <c r="E34" s="13">
        <v>19.5</v>
      </c>
      <c r="F34" s="12">
        <v>79.5</v>
      </c>
      <c r="G34" s="13">
        <f t="shared" si="0"/>
        <v>986.9</v>
      </c>
      <c r="H34" s="14">
        <f t="shared" si="1"/>
        <v>997.68999999999994</v>
      </c>
      <c r="I34" s="9">
        <v>39</v>
      </c>
      <c r="L34" s="252">
        <v>128</v>
      </c>
      <c r="M34" s="253">
        <v>10.24</v>
      </c>
      <c r="N34" s="254">
        <v>1.1388888888888889E-3</v>
      </c>
      <c r="O34" s="253">
        <v>4.6500000000000004</v>
      </c>
      <c r="P34" s="253">
        <v>38</v>
      </c>
      <c r="R34" s="252">
        <v>128</v>
      </c>
      <c r="S34" s="253">
        <v>10.54</v>
      </c>
      <c r="T34" s="254">
        <v>1.1967592592592594E-3</v>
      </c>
      <c r="U34" s="253">
        <v>4.41</v>
      </c>
      <c r="V34" s="253">
        <v>36</v>
      </c>
    </row>
    <row r="35" spans="1:22" ht="14.4">
      <c r="A35" s="9">
        <v>40</v>
      </c>
      <c r="B35" s="12">
        <v>13.000000000000011</v>
      </c>
      <c r="C35" s="13">
        <v>2.3000000000000065</v>
      </c>
      <c r="D35" s="13">
        <v>3.0999999999999943</v>
      </c>
      <c r="E35" s="13">
        <v>20</v>
      </c>
      <c r="F35" s="12">
        <v>79</v>
      </c>
      <c r="G35" s="13">
        <f t="shared" si="0"/>
        <v>987</v>
      </c>
      <c r="H35" s="14">
        <f t="shared" si="1"/>
        <v>997.7</v>
      </c>
      <c r="I35" s="9">
        <v>40</v>
      </c>
      <c r="L35" s="252">
        <v>127</v>
      </c>
      <c r="M35" s="253">
        <v>10.26</v>
      </c>
      <c r="N35" s="254">
        <v>1.1412037037037037E-3</v>
      </c>
      <c r="O35" s="253">
        <v>4.63</v>
      </c>
      <c r="P35" s="253">
        <v>37.5</v>
      </c>
      <c r="R35" s="252">
        <v>127</v>
      </c>
      <c r="S35" s="253">
        <v>10.56</v>
      </c>
      <c r="T35" s="254">
        <v>1.199074074074074E-3</v>
      </c>
      <c r="U35" s="253">
        <v>4.3899999999999997</v>
      </c>
      <c r="V35" s="253">
        <v>35.5</v>
      </c>
    </row>
    <row r="36" spans="1:22" ht="14.4">
      <c r="A36" s="9">
        <v>41</v>
      </c>
      <c r="B36" s="12">
        <v>12.900000000000011</v>
      </c>
      <c r="C36" s="13">
        <v>2.2900000000000067</v>
      </c>
      <c r="D36" s="13">
        <v>3.1299999999999941</v>
      </c>
      <c r="E36" s="13">
        <v>20.5</v>
      </c>
      <c r="F36" s="12">
        <v>78.5</v>
      </c>
      <c r="G36" s="13">
        <f t="shared" si="0"/>
        <v>987.1</v>
      </c>
      <c r="H36" s="14">
        <f t="shared" si="1"/>
        <v>997.71</v>
      </c>
      <c r="I36" s="9">
        <v>41</v>
      </c>
      <c r="L36" s="252">
        <v>126</v>
      </c>
      <c r="M36" s="253">
        <v>10.28</v>
      </c>
      <c r="N36" s="254">
        <v>1.1435185185185185E-3</v>
      </c>
      <c r="O36" s="253">
        <v>4.6100000000000003</v>
      </c>
      <c r="P36" s="253">
        <v>37</v>
      </c>
      <c r="R36" s="252">
        <v>126</v>
      </c>
      <c r="S36" s="253">
        <v>10.58</v>
      </c>
      <c r="T36" s="254">
        <v>1.2013888888888888E-3</v>
      </c>
      <c r="U36" s="253">
        <v>4.37</v>
      </c>
      <c r="V36" s="253">
        <v>35</v>
      </c>
    </row>
    <row r="37" spans="1:22" ht="14.4">
      <c r="A37" s="9">
        <v>42</v>
      </c>
      <c r="B37" s="12">
        <v>12.800000000000011</v>
      </c>
      <c r="C37" s="13">
        <v>2.2800000000000069</v>
      </c>
      <c r="D37" s="13">
        <v>3.1599999999999939</v>
      </c>
      <c r="E37" s="13">
        <v>21</v>
      </c>
      <c r="F37" s="12">
        <v>78</v>
      </c>
      <c r="G37" s="13">
        <f t="shared" si="0"/>
        <v>987.2</v>
      </c>
      <c r="H37" s="14">
        <f t="shared" si="1"/>
        <v>997.72</v>
      </c>
      <c r="I37" s="9">
        <v>42</v>
      </c>
      <c r="L37" s="252">
        <v>125</v>
      </c>
      <c r="M37" s="253">
        <v>10.3</v>
      </c>
      <c r="N37" s="254">
        <v>1.1458333333333333E-3</v>
      </c>
      <c r="O37" s="253">
        <v>4.59</v>
      </c>
      <c r="P37" s="253">
        <v>36.5</v>
      </c>
      <c r="R37" s="252">
        <v>125</v>
      </c>
      <c r="S37" s="253">
        <v>10.6</v>
      </c>
      <c r="T37" s="254">
        <v>1.2037037037037038E-3</v>
      </c>
      <c r="U37" s="253">
        <v>4.3499999999999996</v>
      </c>
      <c r="V37" s="253">
        <v>34.5</v>
      </c>
    </row>
    <row r="38" spans="1:22" ht="14.4">
      <c r="A38" s="9">
        <v>43</v>
      </c>
      <c r="B38" s="12">
        <v>12.700000000000012</v>
      </c>
      <c r="C38" s="13">
        <v>2.2700000000000071</v>
      </c>
      <c r="D38" s="13">
        <v>3.1899999999999937</v>
      </c>
      <c r="E38" s="13">
        <v>21.5</v>
      </c>
      <c r="F38" s="12">
        <v>77.5</v>
      </c>
      <c r="G38" s="13">
        <f t="shared" si="0"/>
        <v>987.3</v>
      </c>
      <c r="H38" s="14">
        <f t="shared" si="1"/>
        <v>997.73</v>
      </c>
      <c r="I38" s="9">
        <v>43</v>
      </c>
      <c r="L38" s="252">
        <v>124</v>
      </c>
      <c r="M38" s="253">
        <v>10.32</v>
      </c>
      <c r="N38" s="254">
        <v>1.1481481481481481E-3</v>
      </c>
      <c r="O38" s="253">
        <v>4.57</v>
      </c>
      <c r="P38" s="253">
        <v>36</v>
      </c>
      <c r="R38" s="252">
        <v>124</v>
      </c>
      <c r="S38" s="253">
        <v>10.62</v>
      </c>
      <c r="T38" s="254">
        <v>1.2060185185185186E-3</v>
      </c>
      <c r="U38" s="253">
        <v>4.33</v>
      </c>
      <c r="V38" s="253">
        <v>34</v>
      </c>
    </row>
    <row r="39" spans="1:22" ht="14.4">
      <c r="A39" s="9">
        <v>44</v>
      </c>
      <c r="B39" s="12">
        <v>12.600000000000012</v>
      </c>
      <c r="C39" s="13">
        <v>2.2600000000000073</v>
      </c>
      <c r="D39" s="13">
        <v>3.2199999999999935</v>
      </c>
      <c r="E39" s="13">
        <v>22</v>
      </c>
      <c r="F39" s="12">
        <v>77</v>
      </c>
      <c r="G39" s="13">
        <f t="shared" si="0"/>
        <v>987.4</v>
      </c>
      <c r="H39" s="14">
        <f t="shared" si="1"/>
        <v>997.74</v>
      </c>
      <c r="I39" s="9">
        <v>44</v>
      </c>
      <c r="L39" s="252">
        <v>123</v>
      </c>
      <c r="M39" s="253">
        <v>10.34</v>
      </c>
      <c r="N39" s="254">
        <v>1.1504629629629629E-3</v>
      </c>
      <c r="O39" s="253">
        <v>4.55</v>
      </c>
      <c r="P39" s="253">
        <v>35.5</v>
      </c>
      <c r="R39" s="252">
        <v>123</v>
      </c>
      <c r="S39" s="253">
        <v>10.64</v>
      </c>
      <c r="T39" s="254">
        <v>1.2083333333333334E-3</v>
      </c>
      <c r="U39" s="253">
        <v>4.3099999999999996</v>
      </c>
      <c r="V39" s="253">
        <v>33.5</v>
      </c>
    </row>
    <row r="40" spans="1:22" ht="14.4">
      <c r="A40" s="9">
        <v>45</v>
      </c>
      <c r="B40" s="12">
        <v>12.500000000000012</v>
      </c>
      <c r="C40" s="13">
        <v>2.2500000000000075</v>
      </c>
      <c r="D40" s="13">
        <v>3.2499999999999933</v>
      </c>
      <c r="E40" s="13">
        <v>22.5</v>
      </c>
      <c r="F40" s="12">
        <v>76.5</v>
      </c>
      <c r="G40" s="13">
        <f t="shared" si="0"/>
        <v>987.5</v>
      </c>
      <c r="H40" s="14">
        <f t="shared" si="1"/>
        <v>997.75</v>
      </c>
      <c r="I40" s="9">
        <v>45</v>
      </c>
      <c r="L40" s="252">
        <v>122</v>
      </c>
      <c r="M40" s="253">
        <v>10.36</v>
      </c>
      <c r="N40" s="254">
        <v>1.1527777777777777E-3</v>
      </c>
      <c r="O40" s="253">
        <v>4.53</v>
      </c>
      <c r="P40" s="253">
        <v>35</v>
      </c>
      <c r="R40" s="252">
        <v>122</v>
      </c>
      <c r="S40" s="253">
        <v>10.66</v>
      </c>
      <c r="T40" s="254">
        <v>1.210648148148148E-3</v>
      </c>
      <c r="U40" s="253">
        <v>4.29</v>
      </c>
      <c r="V40" s="253">
        <v>33</v>
      </c>
    </row>
    <row r="41" spans="1:22" ht="14.4">
      <c r="A41" s="9">
        <v>46</v>
      </c>
      <c r="B41" s="12">
        <v>12.400000000000013</v>
      </c>
      <c r="C41" s="13">
        <v>2.2400000000000078</v>
      </c>
      <c r="D41" s="13">
        <v>3.2799999999999931</v>
      </c>
      <c r="E41" s="13">
        <v>23</v>
      </c>
      <c r="F41" s="12">
        <v>76</v>
      </c>
      <c r="G41" s="13">
        <f t="shared" si="0"/>
        <v>987.6</v>
      </c>
      <c r="H41" s="14">
        <f t="shared" si="1"/>
        <v>997.76</v>
      </c>
      <c r="I41" s="9">
        <v>46</v>
      </c>
      <c r="L41" s="252">
        <v>121</v>
      </c>
      <c r="M41" s="253">
        <v>10.38</v>
      </c>
      <c r="N41" s="254">
        <v>1.1550925925925925E-3</v>
      </c>
      <c r="O41" s="253">
        <v>4.51</v>
      </c>
      <c r="P41" s="253">
        <v>34.5</v>
      </c>
      <c r="R41" s="252">
        <v>121</v>
      </c>
      <c r="S41" s="253">
        <v>10.68</v>
      </c>
      <c r="T41" s="254">
        <v>1.212962962962963E-3</v>
      </c>
      <c r="U41" s="253">
        <v>4.2699999999999996</v>
      </c>
      <c r="V41" s="253">
        <v>32.5</v>
      </c>
    </row>
    <row r="42" spans="1:22" ht="14.4">
      <c r="A42" s="9">
        <v>47</v>
      </c>
      <c r="B42" s="12">
        <v>12.300000000000013</v>
      </c>
      <c r="C42" s="13">
        <v>2.230000000000008</v>
      </c>
      <c r="D42" s="13">
        <v>3.3099999999999929</v>
      </c>
      <c r="E42" s="13">
        <v>23.5</v>
      </c>
      <c r="F42" s="12">
        <v>75.5</v>
      </c>
      <c r="G42" s="13">
        <f t="shared" si="0"/>
        <v>987.69999999999993</v>
      </c>
      <c r="H42" s="14">
        <f t="shared" si="1"/>
        <v>997.77</v>
      </c>
      <c r="I42" s="9">
        <v>47</v>
      </c>
      <c r="L42" s="252">
        <v>120</v>
      </c>
      <c r="M42" s="253">
        <v>10.4</v>
      </c>
      <c r="N42" s="254">
        <v>1.1574074074074073E-3</v>
      </c>
      <c r="O42" s="253">
        <v>4.5</v>
      </c>
      <c r="P42" s="253">
        <v>34</v>
      </c>
      <c r="R42" s="252">
        <v>120</v>
      </c>
      <c r="S42" s="253">
        <v>10.7</v>
      </c>
      <c r="T42" s="254">
        <v>1.2152777777777778E-3</v>
      </c>
      <c r="U42" s="253">
        <v>4.25</v>
      </c>
      <c r="V42" s="253">
        <v>32</v>
      </c>
    </row>
    <row r="43" spans="1:22" ht="14.4">
      <c r="A43" s="9">
        <v>48</v>
      </c>
      <c r="B43" s="12">
        <v>12.200000000000014</v>
      </c>
      <c r="C43" s="13">
        <v>2.2200000000000082</v>
      </c>
      <c r="D43" s="13">
        <v>3.3399999999999928</v>
      </c>
      <c r="E43" s="13">
        <v>24</v>
      </c>
      <c r="F43" s="12">
        <v>75</v>
      </c>
      <c r="G43" s="13">
        <f t="shared" si="0"/>
        <v>987.8</v>
      </c>
      <c r="H43" s="14">
        <f t="shared" si="1"/>
        <v>997.78</v>
      </c>
      <c r="I43" s="9">
        <v>48</v>
      </c>
      <c r="L43" s="252">
        <v>119</v>
      </c>
      <c r="M43" s="253">
        <v>10.44</v>
      </c>
      <c r="N43" s="254">
        <v>1.1608796296296295E-3</v>
      </c>
      <c r="O43" s="253">
        <v>4.4800000000000004</v>
      </c>
      <c r="P43" s="253">
        <v>33.799999999999997</v>
      </c>
      <c r="R43" s="252">
        <v>119</v>
      </c>
      <c r="S43" s="253">
        <v>10.75</v>
      </c>
      <c r="T43" s="254">
        <v>1.2175925925925926E-3</v>
      </c>
      <c r="U43" s="253">
        <v>4.2300000000000004</v>
      </c>
      <c r="V43" s="253">
        <v>31.8</v>
      </c>
    </row>
    <row r="44" spans="1:22" ht="14.4">
      <c r="A44" s="9">
        <v>49</v>
      </c>
      <c r="B44" s="12">
        <v>12.100000000000014</v>
      </c>
      <c r="C44" s="13">
        <v>2.2100000000000084</v>
      </c>
      <c r="D44" s="13">
        <v>3.3699999999999926</v>
      </c>
      <c r="E44" s="13">
        <v>24.5</v>
      </c>
      <c r="F44" s="12">
        <v>74.5</v>
      </c>
      <c r="G44" s="13">
        <f t="shared" si="0"/>
        <v>987.9</v>
      </c>
      <c r="H44" s="14">
        <f t="shared" si="1"/>
        <v>997.79</v>
      </c>
      <c r="I44" s="9">
        <v>49</v>
      </c>
      <c r="L44" s="252">
        <v>118</v>
      </c>
      <c r="M44" s="253">
        <v>10.48</v>
      </c>
      <c r="N44" s="254">
        <v>1.1643518518518517E-3</v>
      </c>
      <c r="O44" s="253">
        <v>4.46</v>
      </c>
      <c r="P44" s="253">
        <v>33.6</v>
      </c>
      <c r="R44" s="252">
        <v>118</v>
      </c>
      <c r="S44" s="253">
        <v>10.8</v>
      </c>
      <c r="T44" s="254">
        <v>1.2199074074074074E-3</v>
      </c>
      <c r="U44" s="253">
        <v>4.21</v>
      </c>
      <c r="V44" s="253">
        <v>31.6</v>
      </c>
    </row>
    <row r="45" spans="1:22" ht="14.4">
      <c r="A45" s="9">
        <v>50</v>
      </c>
      <c r="B45" s="12">
        <v>12.000000000000014</v>
      </c>
      <c r="C45" s="13">
        <v>2.2000000000000086</v>
      </c>
      <c r="D45" s="13">
        <v>3.3999999999999924</v>
      </c>
      <c r="E45" s="13">
        <v>25</v>
      </c>
      <c r="F45" s="12">
        <v>74</v>
      </c>
      <c r="G45" s="13">
        <f t="shared" si="0"/>
        <v>988</v>
      </c>
      <c r="H45" s="14">
        <f t="shared" si="1"/>
        <v>997.8</v>
      </c>
      <c r="I45" s="9">
        <v>50</v>
      </c>
      <c r="L45" s="252">
        <v>117</v>
      </c>
      <c r="M45" s="253">
        <v>10.52</v>
      </c>
      <c r="N45" s="254">
        <v>1.1678240740740742E-3</v>
      </c>
      <c r="O45" s="253">
        <v>4.4400000000000004</v>
      </c>
      <c r="P45" s="253">
        <v>33.4</v>
      </c>
      <c r="R45" s="252">
        <v>117</v>
      </c>
      <c r="S45" s="253">
        <v>10.85</v>
      </c>
      <c r="T45" s="254">
        <v>1.2222222222222222E-3</v>
      </c>
      <c r="U45" s="253">
        <v>4.1900000000000004</v>
      </c>
      <c r="V45" s="253">
        <v>31.4</v>
      </c>
    </row>
    <row r="46" spans="1:22" ht="14.4">
      <c r="A46" s="9">
        <v>51</v>
      </c>
      <c r="B46" s="12">
        <v>11.900000000000015</v>
      </c>
      <c r="C46" s="13">
        <v>2.1900000000000088</v>
      </c>
      <c r="D46" s="13">
        <v>3.4299999999999922</v>
      </c>
      <c r="E46" s="13">
        <v>25.5</v>
      </c>
      <c r="F46" s="12">
        <v>73.5</v>
      </c>
      <c r="G46" s="13">
        <f t="shared" si="0"/>
        <v>988.1</v>
      </c>
      <c r="H46" s="14">
        <f t="shared" si="1"/>
        <v>997.81</v>
      </c>
      <c r="I46" s="9">
        <v>51</v>
      </c>
      <c r="L46" s="252">
        <v>116</v>
      </c>
      <c r="M46" s="253">
        <v>10.56</v>
      </c>
      <c r="N46" s="254">
        <v>1.1712962962962964E-3</v>
      </c>
      <c r="O46" s="253">
        <v>4.42</v>
      </c>
      <c r="R46" s="252">
        <v>116</v>
      </c>
      <c r="S46" s="253">
        <v>10.9</v>
      </c>
      <c r="T46" s="254">
        <v>1.224537037037037E-3</v>
      </c>
      <c r="U46" s="253">
        <v>4.17</v>
      </c>
      <c r="V46" s="253">
        <v>31.2</v>
      </c>
    </row>
    <row r="47" spans="1:22" ht="15.6">
      <c r="A47" s="9">
        <v>52</v>
      </c>
      <c r="B47" s="12">
        <v>11.800000000000015</v>
      </c>
      <c r="C47" s="13">
        <v>2.180000000000009</v>
      </c>
      <c r="D47" s="13">
        <v>3.459999999999992</v>
      </c>
      <c r="E47" s="13">
        <v>26</v>
      </c>
      <c r="F47" s="12">
        <v>73</v>
      </c>
      <c r="G47" s="13">
        <f t="shared" si="0"/>
        <v>988.19999999999993</v>
      </c>
      <c r="H47" s="14">
        <f t="shared" si="1"/>
        <v>997.81999999999994</v>
      </c>
      <c r="I47" s="9">
        <v>52</v>
      </c>
      <c r="L47" s="255">
        <v>115</v>
      </c>
      <c r="M47" s="256">
        <v>10.6</v>
      </c>
      <c r="N47" s="257">
        <v>1.1747685185185186E-3</v>
      </c>
      <c r="O47" s="256">
        <v>4.4000000000000004</v>
      </c>
      <c r="P47" s="256">
        <v>33</v>
      </c>
      <c r="R47" s="252">
        <v>115</v>
      </c>
      <c r="S47" s="253">
        <v>10.95</v>
      </c>
      <c r="T47" s="254">
        <v>1.2268518518518518E-3</v>
      </c>
      <c r="U47" s="253">
        <v>4.1500000000000004</v>
      </c>
      <c r="V47" s="253">
        <v>31</v>
      </c>
    </row>
    <row r="48" spans="1:22" ht="15.6">
      <c r="A48" s="9">
        <v>53</v>
      </c>
      <c r="B48" s="12">
        <v>11.700000000000015</v>
      </c>
      <c r="C48" s="13">
        <v>2.1700000000000093</v>
      </c>
      <c r="D48" s="13">
        <v>3.4899999999999918</v>
      </c>
      <c r="E48" s="13">
        <v>26.5</v>
      </c>
      <c r="F48" s="12">
        <v>72.5</v>
      </c>
      <c r="G48" s="13">
        <f t="shared" si="0"/>
        <v>988.3</v>
      </c>
      <c r="H48" s="14">
        <f t="shared" si="1"/>
        <v>997.83</v>
      </c>
      <c r="I48" s="9">
        <v>53</v>
      </c>
      <c r="L48" s="255">
        <v>114</v>
      </c>
      <c r="M48" s="256">
        <v>10.64</v>
      </c>
      <c r="N48" s="257">
        <v>1.1782407407407408E-3</v>
      </c>
      <c r="O48" s="256">
        <v>4.37</v>
      </c>
      <c r="P48" s="256">
        <v>32.799999999999997</v>
      </c>
      <c r="R48" s="252">
        <v>114</v>
      </c>
      <c r="S48" s="253">
        <v>11</v>
      </c>
      <c r="T48" s="254">
        <v>1.2291666666666666E-3</v>
      </c>
      <c r="U48" s="253">
        <v>4.12</v>
      </c>
      <c r="V48" s="253">
        <v>30.8</v>
      </c>
    </row>
    <row r="49" spans="1:22" ht="15.6">
      <c r="A49" s="9">
        <v>54</v>
      </c>
      <c r="B49" s="12">
        <v>11.600000000000016</v>
      </c>
      <c r="C49" s="13">
        <v>2.1600000000000095</v>
      </c>
      <c r="D49" s="13">
        <v>3.5199999999999916</v>
      </c>
      <c r="E49" s="13">
        <v>27</v>
      </c>
      <c r="F49" s="12">
        <v>72</v>
      </c>
      <c r="G49" s="13">
        <f t="shared" si="0"/>
        <v>988.4</v>
      </c>
      <c r="H49" s="14">
        <f t="shared" si="1"/>
        <v>997.84</v>
      </c>
      <c r="I49" s="9">
        <v>54</v>
      </c>
      <c r="L49" s="255">
        <v>113</v>
      </c>
      <c r="M49" s="256">
        <v>10.68</v>
      </c>
      <c r="N49" s="257">
        <v>1.181712962962963E-3</v>
      </c>
      <c r="O49" s="256">
        <v>4.34</v>
      </c>
      <c r="P49" s="256">
        <v>32.6</v>
      </c>
      <c r="R49" s="252">
        <v>113</v>
      </c>
      <c r="S49" s="253">
        <v>11.05</v>
      </c>
      <c r="T49" s="254">
        <v>1.2314814814814816E-3</v>
      </c>
      <c r="U49" s="253">
        <v>4.09</v>
      </c>
      <c r="V49" s="253">
        <v>30.6</v>
      </c>
    </row>
    <row r="50" spans="1:22" ht="15.6">
      <c r="A50" s="9">
        <v>55</v>
      </c>
      <c r="B50" s="12">
        <v>11.500000000000016</v>
      </c>
      <c r="C50" s="13">
        <v>2.1500000000000097</v>
      </c>
      <c r="D50" s="13">
        <v>3.5499999999999914</v>
      </c>
      <c r="E50" s="13">
        <v>27.5</v>
      </c>
      <c r="F50" s="12">
        <v>71.5</v>
      </c>
      <c r="G50" s="13">
        <f t="shared" si="0"/>
        <v>988.5</v>
      </c>
      <c r="H50" s="14">
        <f t="shared" si="1"/>
        <v>997.85</v>
      </c>
      <c r="I50" s="9">
        <v>55</v>
      </c>
      <c r="L50" s="255">
        <v>112</v>
      </c>
      <c r="M50" s="256">
        <v>10.72</v>
      </c>
      <c r="N50" s="257">
        <v>1.1851851851851852E-3</v>
      </c>
      <c r="O50" s="256">
        <v>4.3099999999999996</v>
      </c>
      <c r="P50" s="256">
        <v>32.4</v>
      </c>
      <c r="R50" s="252">
        <v>112</v>
      </c>
      <c r="S50" s="253">
        <v>11.1</v>
      </c>
      <c r="T50" s="254">
        <v>1.2337962962962962E-3</v>
      </c>
      <c r="U50" s="253">
        <v>4.0599999999999996</v>
      </c>
      <c r="V50" s="253">
        <v>30.4</v>
      </c>
    </row>
    <row r="51" spans="1:22" ht="15.6">
      <c r="A51" s="9">
        <v>56</v>
      </c>
      <c r="B51" s="12">
        <v>11.400000000000016</v>
      </c>
      <c r="C51" s="13">
        <v>2.1400000000000099</v>
      </c>
      <c r="D51" s="13">
        <v>3.5799999999999912</v>
      </c>
      <c r="E51" s="13">
        <v>28</v>
      </c>
      <c r="F51" s="12">
        <v>71</v>
      </c>
      <c r="G51" s="13">
        <f t="shared" si="0"/>
        <v>988.6</v>
      </c>
      <c r="H51" s="14">
        <f t="shared" si="1"/>
        <v>997.86</v>
      </c>
      <c r="I51" s="9">
        <v>56</v>
      </c>
      <c r="L51" s="255">
        <v>111</v>
      </c>
      <c r="M51" s="256">
        <v>10.76</v>
      </c>
      <c r="N51" s="257">
        <v>1.1886574074074074E-3</v>
      </c>
      <c r="O51" s="256">
        <v>4.28</v>
      </c>
      <c r="P51" s="256">
        <v>32.200000000000003</v>
      </c>
      <c r="R51" s="252">
        <v>111</v>
      </c>
      <c r="S51" s="253">
        <v>11.15</v>
      </c>
      <c r="T51" s="254">
        <v>1.236111111111111E-3</v>
      </c>
      <c r="U51" s="253">
        <v>4.03</v>
      </c>
      <c r="V51" s="253">
        <v>30.2</v>
      </c>
    </row>
    <row r="52" spans="1:22" ht="15.6">
      <c r="A52" s="9">
        <v>57</v>
      </c>
      <c r="B52" s="12">
        <v>11.300000000000017</v>
      </c>
      <c r="C52" s="13">
        <v>2.1300000000000101</v>
      </c>
      <c r="D52" s="13">
        <v>3.609999999999991</v>
      </c>
      <c r="E52" s="13">
        <v>28.5</v>
      </c>
      <c r="F52" s="12">
        <v>70.5</v>
      </c>
      <c r="G52" s="13">
        <f t="shared" si="0"/>
        <v>988.69999999999993</v>
      </c>
      <c r="H52" s="14">
        <f t="shared" si="1"/>
        <v>997.87</v>
      </c>
      <c r="I52" s="9">
        <v>57</v>
      </c>
      <c r="L52" s="255">
        <v>110</v>
      </c>
      <c r="M52" s="256">
        <v>10.8</v>
      </c>
      <c r="N52" s="257">
        <v>1.1921296296296296E-3</v>
      </c>
      <c r="O52" s="256">
        <v>4.25</v>
      </c>
      <c r="P52" s="256">
        <v>32</v>
      </c>
      <c r="R52" s="252">
        <v>110</v>
      </c>
      <c r="S52" s="253">
        <v>11.2</v>
      </c>
      <c r="T52" s="254">
        <v>1.238425925925926E-3</v>
      </c>
      <c r="U52" s="253">
        <v>4</v>
      </c>
      <c r="V52" s="253">
        <v>30</v>
      </c>
    </row>
    <row r="53" spans="1:22" ht="15.6">
      <c r="A53" s="9">
        <v>58</v>
      </c>
      <c r="B53" s="12">
        <v>11.200000000000017</v>
      </c>
      <c r="C53" s="13">
        <v>2.1200000000000103</v>
      </c>
      <c r="D53" s="13">
        <v>3.6399999999999908</v>
      </c>
      <c r="E53" s="13">
        <v>29</v>
      </c>
      <c r="F53" s="12">
        <v>70</v>
      </c>
      <c r="G53" s="13">
        <f t="shared" si="0"/>
        <v>988.8</v>
      </c>
      <c r="H53" s="14">
        <f t="shared" si="1"/>
        <v>997.88</v>
      </c>
      <c r="I53" s="9">
        <v>58</v>
      </c>
      <c r="L53" s="255">
        <v>109</v>
      </c>
      <c r="M53" s="256">
        <v>10.84</v>
      </c>
      <c r="N53" s="257">
        <v>1.1956018518518518E-3</v>
      </c>
      <c r="O53" s="256">
        <v>4.2300000000000004</v>
      </c>
      <c r="P53" s="256">
        <v>31.8</v>
      </c>
      <c r="R53" s="252">
        <v>109</v>
      </c>
      <c r="S53" s="253">
        <v>11.25</v>
      </c>
      <c r="T53" s="254">
        <v>1.2418981481481482E-3</v>
      </c>
      <c r="U53" s="253">
        <v>3.98</v>
      </c>
      <c r="V53" s="253">
        <v>29.8</v>
      </c>
    </row>
    <row r="54" spans="1:22" ht="15.6">
      <c r="A54" s="9">
        <v>59</v>
      </c>
      <c r="B54" s="12">
        <v>11.100000000000017</v>
      </c>
      <c r="C54" s="13">
        <v>2.1100000000000105</v>
      </c>
      <c r="D54" s="13">
        <v>3.6699999999999906</v>
      </c>
      <c r="E54" s="13">
        <v>29.5</v>
      </c>
      <c r="F54" s="12">
        <v>69.5</v>
      </c>
      <c r="G54" s="13">
        <f t="shared" si="0"/>
        <v>988.9</v>
      </c>
      <c r="H54" s="14">
        <f t="shared" si="1"/>
        <v>997.89</v>
      </c>
      <c r="I54" s="9">
        <v>59</v>
      </c>
      <c r="L54" s="255">
        <v>108</v>
      </c>
      <c r="M54" s="256">
        <v>10.88</v>
      </c>
      <c r="N54" s="257">
        <v>1.199074074074074E-3</v>
      </c>
      <c r="O54" s="256">
        <v>4.21</v>
      </c>
      <c r="P54" s="256">
        <v>31.6</v>
      </c>
      <c r="R54" s="252">
        <v>108</v>
      </c>
      <c r="S54" s="253">
        <v>11.3</v>
      </c>
      <c r="T54" s="254">
        <v>1.2453703703703702E-3</v>
      </c>
      <c r="U54" s="253">
        <v>3.96</v>
      </c>
      <c r="V54" s="253">
        <v>29.6</v>
      </c>
    </row>
    <row r="55" spans="1:22" ht="15.6">
      <c r="A55" s="9">
        <v>60</v>
      </c>
      <c r="B55" s="12">
        <v>11.000000000000018</v>
      </c>
      <c r="C55" s="13">
        <v>2.1000000000000107</v>
      </c>
      <c r="D55" s="13">
        <v>3.6999999999999904</v>
      </c>
      <c r="E55" s="13">
        <v>30</v>
      </c>
      <c r="F55" s="12">
        <v>69</v>
      </c>
      <c r="G55" s="13">
        <f t="shared" si="0"/>
        <v>989</v>
      </c>
      <c r="H55" s="14">
        <f t="shared" si="1"/>
        <v>997.9</v>
      </c>
      <c r="I55" s="9">
        <v>60</v>
      </c>
      <c r="L55" s="255">
        <v>107</v>
      </c>
      <c r="M55" s="256">
        <v>10.92</v>
      </c>
      <c r="N55" s="257">
        <v>1.2025462962962964E-3</v>
      </c>
      <c r="O55" s="256">
        <v>4.1900000000000004</v>
      </c>
      <c r="P55" s="256">
        <v>31.4</v>
      </c>
      <c r="R55" s="252">
        <v>107</v>
      </c>
      <c r="S55" s="253">
        <v>11.35</v>
      </c>
      <c r="T55" s="254">
        <v>1.2488425925925926E-3</v>
      </c>
      <c r="U55" s="253">
        <v>3.94</v>
      </c>
      <c r="V55" s="253">
        <v>29.4</v>
      </c>
    </row>
    <row r="56" spans="1:22" ht="15.6">
      <c r="A56" s="9">
        <v>61</v>
      </c>
      <c r="B56" s="12">
        <v>10.900000000000018</v>
      </c>
      <c r="C56" s="13">
        <v>2.090000000000011</v>
      </c>
      <c r="D56" s="13">
        <v>3.7299999999999902</v>
      </c>
      <c r="E56" s="13">
        <v>30.5</v>
      </c>
      <c r="F56" s="12">
        <v>68.5</v>
      </c>
      <c r="G56" s="13">
        <f t="shared" si="0"/>
        <v>989.1</v>
      </c>
      <c r="H56" s="14">
        <f t="shared" si="1"/>
        <v>997.91</v>
      </c>
      <c r="I56" s="9">
        <v>61</v>
      </c>
      <c r="L56" s="255">
        <v>106</v>
      </c>
      <c r="M56" s="256">
        <v>10.96</v>
      </c>
      <c r="N56" s="257">
        <v>1.2060185185185186E-3</v>
      </c>
      <c r="O56" s="256">
        <v>4.17</v>
      </c>
      <c r="P56" s="256">
        <v>31.2</v>
      </c>
      <c r="R56" s="252">
        <v>106</v>
      </c>
      <c r="S56" s="253">
        <v>11.4</v>
      </c>
      <c r="T56" s="254">
        <v>1.2523148148148148E-3</v>
      </c>
      <c r="U56" s="253">
        <v>3.92</v>
      </c>
      <c r="V56" s="253">
        <v>29.2</v>
      </c>
    </row>
    <row r="57" spans="1:22" ht="15.6">
      <c r="A57" s="9">
        <v>62</v>
      </c>
      <c r="B57" s="12">
        <v>10.800000000000018</v>
      </c>
      <c r="C57" s="13">
        <v>2.0800000000000112</v>
      </c>
      <c r="D57" s="13">
        <v>3.75999999999999</v>
      </c>
      <c r="E57" s="13">
        <v>31</v>
      </c>
      <c r="F57" s="12">
        <v>68</v>
      </c>
      <c r="G57" s="13">
        <f t="shared" si="0"/>
        <v>989.19999999999993</v>
      </c>
      <c r="H57" s="14">
        <f t="shared" si="1"/>
        <v>997.92</v>
      </c>
      <c r="I57" s="9">
        <v>62</v>
      </c>
      <c r="L57" s="255">
        <v>105</v>
      </c>
      <c r="M57" s="256">
        <v>11</v>
      </c>
      <c r="N57" s="257">
        <v>1.2094907407407408E-3</v>
      </c>
      <c r="O57" s="256">
        <v>4.1500000000000004</v>
      </c>
      <c r="P57" s="256">
        <v>31</v>
      </c>
      <c r="R57" s="252">
        <v>105</v>
      </c>
      <c r="S57" s="253">
        <v>11.45</v>
      </c>
      <c r="T57" s="254">
        <v>1.255787037037037E-3</v>
      </c>
      <c r="U57" s="253">
        <v>3.9</v>
      </c>
      <c r="V57" s="253">
        <v>29</v>
      </c>
    </row>
    <row r="58" spans="1:22" ht="15.6">
      <c r="A58" s="9">
        <v>63</v>
      </c>
      <c r="B58" s="12">
        <v>10.700000000000019</v>
      </c>
      <c r="C58" s="13">
        <v>2.0700000000000114</v>
      </c>
      <c r="D58" s="13">
        <v>3.7899999999999898</v>
      </c>
      <c r="E58" s="13">
        <v>31.5</v>
      </c>
      <c r="F58" s="12">
        <v>67.5</v>
      </c>
      <c r="G58" s="13">
        <f t="shared" si="0"/>
        <v>989.3</v>
      </c>
      <c r="H58" s="14">
        <f t="shared" si="1"/>
        <v>997.93</v>
      </c>
      <c r="I58" s="9">
        <v>63</v>
      </c>
      <c r="L58" s="255">
        <v>104</v>
      </c>
      <c r="M58" s="256">
        <v>11.04</v>
      </c>
      <c r="N58" s="257">
        <v>1.212962962962963E-3</v>
      </c>
      <c r="O58" s="256">
        <v>4.12</v>
      </c>
      <c r="P58" s="256">
        <v>30.8</v>
      </c>
      <c r="R58" s="252">
        <v>104</v>
      </c>
      <c r="S58" s="253">
        <v>11.5</v>
      </c>
      <c r="T58" s="254">
        <v>1.2592592592592592E-3</v>
      </c>
      <c r="U58" s="253">
        <v>3.87</v>
      </c>
      <c r="V58" s="253">
        <v>28.8</v>
      </c>
    </row>
    <row r="59" spans="1:22" ht="15.6">
      <c r="A59" s="9">
        <v>64</v>
      </c>
      <c r="B59" s="12">
        <v>10.600000000000019</v>
      </c>
      <c r="C59" s="13">
        <v>2.0600000000000116</v>
      </c>
      <c r="D59" s="13">
        <v>3.8199999999999896</v>
      </c>
      <c r="E59" s="13">
        <v>32</v>
      </c>
      <c r="F59" s="12">
        <v>67</v>
      </c>
      <c r="G59" s="13">
        <f t="shared" si="0"/>
        <v>989.4</v>
      </c>
      <c r="H59" s="14">
        <f t="shared" si="1"/>
        <v>997.93999999999994</v>
      </c>
      <c r="I59" s="9">
        <v>64</v>
      </c>
      <c r="L59" s="255">
        <v>103</v>
      </c>
      <c r="M59" s="256">
        <v>11.08</v>
      </c>
      <c r="N59" s="257">
        <v>1.2164351851851852E-3</v>
      </c>
      <c r="O59" s="256">
        <v>4.09</v>
      </c>
      <c r="P59" s="256">
        <v>30.6</v>
      </c>
      <c r="R59" s="252">
        <v>103</v>
      </c>
      <c r="S59" s="253">
        <v>11.55</v>
      </c>
      <c r="T59" s="254">
        <v>1.2627314814814814E-3</v>
      </c>
      <c r="U59" s="253">
        <v>3.84</v>
      </c>
      <c r="V59" s="253">
        <v>28.6</v>
      </c>
    </row>
    <row r="60" spans="1:22" ht="15.6">
      <c r="A60" s="9">
        <v>65</v>
      </c>
      <c r="B60" s="12">
        <v>10.50000000000002</v>
      </c>
      <c r="C60" s="13">
        <v>2.0500000000000118</v>
      </c>
      <c r="D60" s="13">
        <v>3.8499999999999894</v>
      </c>
      <c r="E60" s="13">
        <v>32.5</v>
      </c>
      <c r="F60" s="12">
        <v>66.5</v>
      </c>
      <c r="G60" s="13">
        <f t="shared" si="0"/>
        <v>989.5</v>
      </c>
      <c r="H60" s="14">
        <f t="shared" si="1"/>
        <v>997.94999999999993</v>
      </c>
      <c r="I60" s="9">
        <v>65</v>
      </c>
      <c r="L60" s="255">
        <v>102</v>
      </c>
      <c r="M60" s="256">
        <v>11.12</v>
      </c>
      <c r="N60" s="257">
        <v>1.2199074074074074E-3</v>
      </c>
      <c r="O60" s="256">
        <v>4.0599999999999996</v>
      </c>
      <c r="P60" s="256">
        <v>30.4</v>
      </c>
      <c r="R60" s="252">
        <v>102</v>
      </c>
      <c r="S60" s="253">
        <v>11.6</v>
      </c>
      <c r="T60" s="254">
        <v>1.2662037037037038E-3</v>
      </c>
      <c r="U60" s="253">
        <v>3.81</v>
      </c>
      <c r="V60" s="253">
        <v>28.4</v>
      </c>
    </row>
    <row r="61" spans="1:22" ht="15.6">
      <c r="A61" s="9">
        <v>66</v>
      </c>
      <c r="B61" s="12">
        <v>10.40000000000002</v>
      </c>
      <c r="C61" s="13">
        <v>2.040000000000012</v>
      </c>
      <c r="D61" s="13">
        <v>3.8799999999999892</v>
      </c>
      <c r="E61" s="13">
        <v>33</v>
      </c>
      <c r="F61" s="12">
        <v>66</v>
      </c>
      <c r="G61" s="13">
        <f t="shared" si="0"/>
        <v>989.6</v>
      </c>
      <c r="H61" s="14">
        <f t="shared" si="1"/>
        <v>997.96</v>
      </c>
      <c r="I61" s="9">
        <v>66</v>
      </c>
      <c r="L61" s="255">
        <v>101</v>
      </c>
      <c r="M61" s="256">
        <v>11.16</v>
      </c>
      <c r="N61" s="257">
        <v>1.2233796296296296E-3</v>
      </c>
      <c r="O61" s="256">
        <v>4.03</v>
      </c>
      <c r="P61" s="256">
        <v>30.2</v>
      </c>
      <c r="R61" s="252">
        <v>101</v>
      </c>
      <c r="S61" s="253">
        <v>11.65</v>
      </c>
      <c r="T61" s="254">
        <v>1.269675925925926E-3</v>
      </c>
      <c r="U61" s="253">
        <v>3.78</v>
      </c>
      <c r="V61" s="253">
        <v>28.2</v>
      </c>
    </row>
    <row r="62" spans="1:22" ht="15.6">
      <c r="A62" s="9">
        <v>67</v>
      </c>
      <c r="B62" s="12">
        <v>10.30000000000002</v>
      </c>
      <c r="C62" s="13">
        <v>2.0300000000000122</v>
      </c>
      <c r="D62" s="13">
        <v>3.909999999999989</v>
      </c>
      <c r="E62" s="13">
        <v>33.5</v>
      </c>
      <c r="F62" s="12">
        <v>65.5</v>
      </c>
      <c r="G62" s="13">
        <f t="shared" si="0"/>
        <v>989.69999999999993</v>
      </c>
      <c r="H62" s="14">
        <f t="shared" si="1"/>
        <v>997.97</v>
      </c>
      <c r="I62" s="9">
        <v>67</v>
      </c>
      <c r="L62" s="255">
        <v>100</v>
      </c>
      <c r="M62" s="256">
        <v>11.2</v>
      </c>
      <c r="N62" s="257">
        <v>1.2268518518518518E-3</v>
      </c>
      <c r="O62" s="256">
        <v>4</v>
      </c>
      <c r="P62" s="256">
        <v>30</v>
      </c>
      <c r="R62" s="252">
        <v>100</v>
      </c>
      <c r="S62" s="253">
        <v>11.7</v>
      </c>
      <c r="T62" s="254">
        <v>1.2731481481481483E-3</v>
      </c>
      <c r="U62" s="253">
        <v>3.75</v>
      </c>
      <c r="V62" s="253">
        <v>28</v>
      </c>
    </row>
    <row r="63" spans="1:22" ht="15.6">
      <c r="A63" s="9">
        <v>68</v>
      </c>
      <c r="B63" s="12">
        <v>10.200000000000021</v>
      </c>
      <c r="C63" s="13">
        <v>2.0200000000000125</v>
      </c>
      <c r="D63" s="13">
        <v>3.9399999999999888</v>
      </c>
      <c r="E63" s="13">
        <v>34</v>
      </c>
      <c r="F63" s="12">
        <v>65</v>
      </c>
      <c r="G63" s="13">
        <f t="shared" si="0"/>
        <v>989.8</v>
      </c>
      <c r="H63" s="14">
        <f t="shared" si="1"/>
        <v>997.98</v>
      </c>
      <c r="I63" s="9">
        <v>68</v>
      </c>
      <c r="L63" s="255">
        <v>99</v>
      </c>
      <c r="M63" s="256">
        <v>11.24</v>
      </c>
      <c r="N63" s="257">
        <v>1.230324074074074E-3</v>
      </c>
      <c r="O63" s="256">
        <v>3.98</v>
      </c>
      <c r="P63" s="256">
        <v>29.8</v>
      </c>
      <c r="R63" s="252">
        <v>99</v>
      </c>
      <c r="S63" s="253">
        <v>11.74</v>
      </c>
      <c r="T63" s="254">
        <v>1.2789351851851853E-3</v>
      </c>
      <c r="U63" s="253">
        <v>3.73</v>
      </c>
      <c r="V63" s="253">
        <v>27.8</v>
      </c>
    </row>
    <row r="64" spans="1:22" ht="15.6">
      <c r="A64" s="9">
        <v>69</v>
      </c>
      <c r="B64" s="12">
        <v>10.100000000000021</v>
      </c>
      <c r="C64" s="13">
        <v>2.0100000000000127</v>
      </c>
      <c r="D64" s="13">
        <v>3.9699999999999886</v>
      </c>
      <c r="E64" s="13">
        <v>34.5</v>
      </c>
      <c r="F64" s="12">
        <v>64.5</v>
      </c>
      <c r="G64" s="13">
        <f t="shared" si="0"/>
        <v>989.9</v>
      </c>
      <c r="H64" s="14">
        <f t="shared" si="1"/>
        <v>997.99</v>
      </c>
      <c r="I64" s="9">
        <v>69</v>
      </c>
      <c r="L64" s="255">
        <v>98</v>
      </c>
      <c r="M64" s="256">
        <v>11.28</v>
      </c>
      <c r="N64" s="257">
        <v>1.2337962962962962E-3</v>
      </c>
      <c r="O64" s="256">
        <v>3.96</v>
      </c>
      <c r="P64" s="256">
        <v>29.6</v>
      </c>
      <c r="R64" s="252">
        <v>98</v>
      </c>
      <c r="S64" s="253">
        <v>11.78</v>
      </c>
      <c r="T64" s="254">
        <v>1.2847222222222223E-3</v>
      </c>
      <c r="U64" s="253">
        <v>3.71</v>
      </c>
      <c r="V64" s="253">
        <v>27.6</v>
      </c>
    </row>
    <row r="65" spans="1:22" ht="15.6">
      <c r="A65" s="9">
        <v>70</v>
      </c>
      <c r="B65" s="12">
        <v>10.000000000000021</v>
      </c>
      <c r="C65" s="13">
        <v>2.0000000000000129</v>
      </c>
      <c r="D65" s="13">
        <v>3.9999999999999885</v>
      </c>
      <c r="E65" s="13">
        <v>35</v>
      </c>
      <c r="F65" s="12">
        <v>64</v>
      </c>
      <c r="G65" s="13">
        <f t="shared" si="0"/>
        <v>990</v>
      </c>
      <c r="H65" s="14">
        <f t="shared" si="1"/>
        <v>998</v>
      </c>
      <c r="I65" s="9">
        <v>70</v>
      </c>
      <c r="L65" s="255">
        <v>97</v>
      </c>
      <c r="M65" s="256">
        <v>11.32</v>
      </c>
      <c r="N65" s="257">
        <v>1.2372685185185186E-3</v>
      </c>
      <c r="O65" s="256">
        <v>3.94</v>
      </c>
      <c r="P65" s="256">
        <v>29.4</v>
      </c>
      <c r="R65" s="252">
        <v>97</v>
      </c>
      <c r="S65" s="253">
        <v>11.82</v>
      </c>
      <c r="T65" s="254">
        <v>1.2905092592592593E-3</v>
      </c>
      <c r="U65" s="253">
        <v>3.69</v>
      </c>
      <c r="V65" s="253">
        <v>27.4</v>
      </c>
    </row>
    <row r="66" spans="1:22" ht="15.6">
      <c r="A66" s="9">
        <v>71</v>
      </c>
      <c r="B66" s="12">
        <v>9.9000000000000217</v>
      </c>
      <c r="C66" s="13">
        <v>1.5900000000000127</v>
      </c>
      <c r="D66" s="13">
        <v>4.0299999999999887</v>
      </c>
      <c r="E66" s="13">
        <v>35.5</v>
      </c>
      <c r="F66" s="12">
        <v>63.5</v>
      </c>
      <c r="G66" s="13">
        <f t="shared" si="0"/>
        <v>990.1</v>
      </c>
      <c r="H66" s="14">
        <f t="shared" si="1"/>
        <v>998.41</v>
      </c>
      <c r="I66" s="9">
        <v>71</v>
      </c>
      <c r="L66" s="255">
        <v>96</v>
      </c>
      <c r="M66" s="256">
        <v>11.36</v>
      </c>
      <c r="N66" s="257">
        <v>1.2407407407407408E-3</v>
      </c>
      <c r="O66" s="256">
        <v>3.92</v>
      </c>
      <c r="P66" s="256">
        <v>29.2</v>
      </c>
      <c r="R66" s="252">
        <v>96</v>
      </c>
      <c r="S66" s="253">
        <v>11.86</v>
      </c>
      <c r="T66" s="254">
        <v>1.2962962962962963E-3</v>
      </c>
      <c r="U66" s="253">
        <v>3.67</v>
      </c>
      <c r="V66" s="253">
        <v>27.2</v>
      </c>
    </row>
    <row r="67" spans="1:22" ht="15.6">
      <c r="A67" s="9">
        <v>72</v>
      </c>
      <c r="B67" s="12">
        <v>9.800000000000022</v>
      </c>
      <c r="C67" s="13">
        <v>1.5800000000000127</v>
      </c>
      <c r="D67" s="13">
        <v>4.059999999999989</v>
      </c>
      <c r="E67" s="13">
        <v>36</v>
      </c>
      <c r="F67" s="12">
        <v>63</v>
      </c>
      <c r="G67" s="13">
        <f t="shared" si="0"/>
        <v>990.19999999999993</v>
      </c>
      <c r="H67" s="14">
        <f t="shared" si="1"/>
        <v>998.42</v>
      </c>
      <c r="I67" s="9">
        <v>72</v>
      </c>
      <c r="L67" s="255">
        <v>95</v>
      </c>
      <c r="M67" s="256">
        <v>11.4</v>
      </c>
      <c r="N67" s="257">
        <v>1.244212962962963E-3</v>
      </c>
      <c r="O67" s="256">
        <v>3.9</v>
      </c>
      <c r="P67" s="256">
        <v>29</v>
      </c>
      <c r="R67" s="252">
        <v>95</v>
      </c>
      <c r="S67" s="253">
        <v>11.9</v>
      </c>
      <c r="T67" s="254">
        <v>1.3020833333333333E-3</v>
      </c>
      <c r="U67" s="253">
        <v>3.65</v>
      </c>
      <c r="V67" s="253">
        <v>27</v>
      </c>
    </row>
    <row r="68" spans="1:22" ht="15.6">
      <c r="A68" s="9">
        <v>73</v>
      </c>
      <c r="B68" s="12">
        <v>9.7000000000000224</v>
      </c>
      <c r="C68" s="13">
        <v>1.5700000000000127</v>
      </c>
      <c r="D68" s="13">
        <v>4.0899999999999892</v>
      </c>
      <c r="E68" s="13">
        <v>36.5</v>
      </c>
      <c r="F68" s="12">
        <v>62.5</v>
      </c>
      <c r="G68" s="13">
        <f t="shared" si="0"/>
        <v>990.3</v>
      </c>
      <c r="H68" s="14">
        <f t="shared" si="1"/>
        <v>998.43</v>
      </c>
      <c r="I68" s="9">
        <v>73</v>
      </c>
      <c r="L68" s="255">
        <v>94</v>
      </c>
      <c r="M68" s="256">
        <v>11.44</v>
      </c>
      <c r="N68" s="257">
        <v>1.2476851851851852E-3</v>
      </c>
      <c r="O68" s="256">
        <v>3.87</v>
      </c>
      <c r="P68" s="256">
        <v>28.8</v>
      </c>
      <c r="R68" s="252">
        <v>94</v>
      </c>
      <c r="S68" s="253">
        <v>11.94</v>
      </c>
      <c r="T68" s="254">
        <v>1.3078703703703703E-3</v>
      </c>
      <c r="U68" s="253">
        <v>3.62</v>
      </c>
      <c r="V68" s="253">
        <v>26.8</v>
      </c>
    </row>
    <row r="69" spans="1:22" ht="15.6">
      <c r="A69" s="9">
        <v>74</v>
      </c>
      <c r="B69" s="12">
        <v>9.6000000000000227</v>
      </c>
      <c r="C69" s="13">
        <v>1.5600000000000127</v>
      </c>
      <c r="D69" s="13">
        <v>4.1199999999999894</v>
      </c>
      <c r="E69" s="13">
        <v>37</v>
      </c>
      <c r="F69" s="12">
        <v>62</v>
      </c>
      <c r="G69" s="13">
        <f t="shared" si="0"/>
        <v>990.4</v>
      </c>
      <c r="H69" s="14">
        <f t="shared" si="1"/>
        <v>998.43999999999994</v>
      </c>
      <c r="I69" s="9">
        <v>74</v>
      </c>
      <c r="L69" s="255">
        <v>93</v>
      </c>
      <c r="M69" s="256">
        <v>11.48</v>
      </c>
      <c r="N69" s="257">
        <v>1.2511574074074074E-3</v>
      </c>
      <c r="O69" s="256">
        <v>3.84</v>
      </c>
      <c r="P69" s="256">
        <v>28.6</v>
      </c>
      <c r="R69" s="252">
        <v>93</v>
      </c>
      <c r="S69" s="253">
        <v>11.98</v>
      </c>
      <c r="T69" s="254">
        <v>1.3136574074074075E-3</v>
      </c>
      <c r="U69" s="253">
        <v>3.59</v>
      </c>
      <c r="V69" s="253">
        <v>26.6</v>
      </c>
    </row>
    <row r="70" spans="1:22" ht="15.6">
      <c r="A70" s="9">
        <v>75</v>
      </c>
      <c r="B70" s="12">
        <v>9.5000000000000231</v>
      </c>
      <c r="C70" s="13">
        <v>1.5500000000000127</v>
      </c>
      <c r="D70" s="13">
        <v>4.1499999999999897</v>
      </c>
      <c r="E70" s="13">
        <v>37.5</v>
      </c>
      <c r="F70" s="12">
        <v>61.5</v>
      </c>
      <c r="G70" s="13">
        <f t="shared" ref="G70:G95" si="2">1000-B70</f>
        <v>990.5</v>
      </c>
      <c r="H70" s="14">
        <f t="shared" ref="H70:H95" si="3">1000-C70</f>
        <v>998.44999999999993</v>
      </c>
      <c r="I70" s="9">
        <v>75</v>
      </c>
      <c r="L70" s="255">
        <v>92</v>
      </c>
      <c r="M70" s="256">
        <v>11.52</v>
      </c>
      <c r="N70" s="257">
        <v>1.2546296296296296E-3</v>
      </c>
      <c r="O70" s="256">
        <v>3.81</v>
      </c>
      <c r="P70" s="256">
        <v>28.4</v>
      </c>
      <c r="R70" s="252">
        <v>92</v>
      </c>
      <c r="S70" s="253">
        <v>12.02</v>
      </c>
      <c r="T70" s="254">
        <v>1.3194444444444445E-3</v>
      </c>
      <c r="U70" s="253">
        <v>3.56</v>
      </c>
      <c r="V70" s="253">
        <v>26.4</v>
      </c>
    </row>
    <row r="71" spans="1:22" ht="15.6">
      <c r="A71" s="9">
        <v>76</v>
      </c>
      <c r="B71" s="12">
        <v>9.4000000000000234</v>
      </c>
      <c r="C71" s="13">
        <v>1.5400000000000127</v>
      </c>
      <c r="D71" s="13">
        <v>4.1799999999999899</v>
      </c>
      <c r="E71" s="13">
        <v>38</v>
      </c>
      <c r="F71" s="12">
        <v>61</v>
      </c>
      <c r="G71" s="13">
        <f t="shared" si="2"/>
        <v>990.6</v>
      </c>
      <c r="H71" s="14">
        <f t="shared" si="3"/>
        <v>998.46</v>
      </c>
      <c r="I71" s="9">
        <v>76</v>
      </c>
      <c r="L71" s="255">
        <v>91</v>
      </c>
      <c r="M71" s="256">
        <v>11.56</v>
      </c>
      <c r="N71" s="257">
        <v>1.2581018518518518E-3</v>
      </c>
      <c r="O71" s="256">
        <v>3.78</v>
      </c>
      <c r="P71" s="256">
        <v>28.2</v>
      </c>
      <c r="R71" s="252">
        <v>91</v>
      </c>
      <c r="S71" s="253">
        <v>12.06</v>
      </c>
      <c r="T71" s="254">
        <v>1.3252314814814815E-3</v>
      </c>
      <c r="U71" s="253">
        <v>3.53</v>
      </c>
      <c r="V71" s="253">
        <v>26.2</v>
      </c>
    </row>
    <row r="72" spans="1:22" ht="15.6">
      <c r="A72" s="9">
        <v>77</v>
      </c>
      <c r="B72" s="12">
        <v>9.3000000000000238</v>
      </c>
      <c r="C72" s="13">
        <v>1.5300000000000127</v>
      </c>
      <c r="D72" s="13">
        <v>4.2099999999999902</v>
      </c>
      <c r="E72" s="13">
        <v>38.5</v>
      </c>
      <c r="F72" s="12">
        <v>60.5</v>
      </c>
      <c r="G72" s="13">
        <f t="shared" si="2"/>
        <v>990.69999999999993</v>
      </c>
      <c r="H72" s="14">
        <f t="shared" si="3"/>
        <v>998.47</v>
      </c>
      <c r="I72" s="9">
        <v>77</v>
      </c>
      <c r="L72" s="255">
        <v>90</v>
      </c>
      <c r="M72" s="256">
        <v>11.6</v>
      </c>
      <c r="N72" s="257">
        <v>1.261574074074074E-3</v>
      </c>
      <c r="O72" s="256">
        <v>3.75</v>
      </c>
      <c r="P72" s="256">
        <v>28</v>
      </c>
      <c r="R72" s="252">
        <v>90</v>
      </c>
      <c r="S72" s="253">
        <v>12.1</v>
      </c>
      <c r="T72" s="254">
        <v>1.3310185185185185E-3</v>
      </c>
      <c r="U72" s="253">
        <v>3.5</v>
      </c>
      <c r="V72" s="253">
        <v>26</v>
      </c>
    </row>
    <row r="73" spans="1:22" ht="15.6">
      <c r="A73" s="9">
        <v>78</v>
      </c>
      <c r="B73" s="12">
        <v>9.2000000000000242</v>
      </c>
      <c r="C73" s="13">
        <v>1.5200000000000127</v>
      </c>
      <c r="D73" s="13">
        <v>4.2399999999999904</v>
      </c>
      <c r="E73" s="13">
        <v>39</v>
      </c>
      <c r="F73" s="12">
        <v>60</v>
      </c>
      <c r="G73" s="13">
        <f t="shared" si="2"/>
        <v>990.8</v>
      </c>
      <c r="H73" s="14">
        <f t="shared" si="3"/>
        <v>998.48</v>
      </c>
      <c r="I73" s="9">
        <v>78</v>
      </c>
      <c r="L73" s="255">
        <v>89</v>
      </c>
      <c r="M73" s="256">
        <v>11.64</v>
      </c>
      <c r="N73" s="257">
        <v>1.2650462962962962E-3</v>
      </c>
      <c r="O73" s="256">
        <v>3.73</v>
      </c>
      <c r="P73" s="256">
        <v>27.8</v>
      </c>
      <c r="R73" s="252">
        <v>89</v>
      </c>
      <c r="S73" s="253">
        <v>12.14</v>
      </c>
      <c r="T73" s="254">
        <v>1.3368055555555555E-3</v>
      </c>
      <c r="U73" s="253">
        <v>3.48</v>
      </c>
      <c r="V73" s="253">
        <v>25.8</v>
      </c>
    </row>
    <row r="74" spans="1:22" ht="15.6">
      <c r="A74" s="9">
        <v>79</v>
      </c>
      <c r="B74" s="12">
        <v>9.1000000000000245</v>
      </c>
      <c r="C74" s="13">
        <v>1.5100000000000127</v>
      </c>
      <c r="D74" s="13">
        <v>4.2699999999999907</v>
      </c>
      <c r="E74" s="13">
        <v>39.5</v>
      </c>
      <c r="F74" s="12">
        <v>59.5</v>
      </c>
      <c r="G74" s="13">
        <f t="shared" si="2"/>
        <v>990.9</v>
      </c>
      <c r="H74" s="14">
        <f t="shared" si="3"/>
        <v>998.49</v>
      </c>
      <c r="I74" s="9">
        <v>79</v>
      </c>
      <c r="L74" s="255">
        <v>88</v>
      </c>
      <c r="M74" s="256">
        <v>11.68</v>
      </c>
      <c r="N74" s="257">
        <v>1.2685185185185184E-3</v>
      </c>
      <c r="O74" s="256">
        <v>3.71</v>
      </c>
      <c r="P74" s="256">
        <v>27.6</v>
      </c>
      <c r="R74" s="252">
        <v>88</v>
      </c>
      <c r="S74" s="253">
        <v>12.18</v>
      </c>
      <c r="T74" s="254">
        <v>1.3425925925925925E-3</v>
      </c>
      <c r="U74" s="253">
        <v>3.46</v>
      </c>
      <c r="V74" s="253">
        <v>25.6</v>
      </c>
    </row>
    <row r="75" spans="1:22" ht="15.6">
      <c r="A75" s="9">
        <v>80</v>
      </c>
      <c r="B75" s="12">
        <v>9.0000000000000249</v>
      </c>
      <c r="C75" s="13">
        <v>1.5000000000000127</v>
      </c>
      <c r="D75" s="13">
        <v>4.2999999999999909</v>
      </c>
      <c r="E75" s="13">
        <v>40</v>
      </c>
      <c r="F75" s="12">
        <v>59</v>
      </c>
      <c r="G75" s="13">
        <f t="shared" si="2"/>
        <v>991</v>
      </c>
      <c r="H75" s="14">
        <f t="shared" si="3"/>
        <v>998.5</v>
      </c>
      <c r="I75" s="9">
        <v>80</v>
      </c>
      <c r="L75" s="255">
        <v>87</v>
      </c>
      <c r="M75" s="256">
        <v>11.72</v>
      </c>
      <c r="N75" s="257">
        <v>1.2719907407407409E-3</v>
      </c>
      <c r="O75" s="256">
        <v>3.69</v>
      </c>
      <c r="P75" s="256">
        <v>27.4</v>
      </c>
      <c r="R75" s="252">
        <v>87</v>
      </c>
      <c r="S75" s="253">
        <v>12.22</v>
      </c>
      <c r="T75" s="254">
        <v>1.3483796296296297E-3</v>
      </c>
      <c r="U75" s="253">
        <v>3.44</v>
      </c>
      <c r="V75" s="253">
        <v>25.4</v>
      </c>
    </row>
    <row r="76" spans="1:22" ht="15.6">
      <c r="A76" s="9">
        <v>81</v>
      </c>
      <c r="B76" s="12">
        <v>8.9000000000000252</v>
      </c>
      <c r="C76" s="13">
        <v>1.4900000000000126</v>
      </c>
      <c r="D76" s="13">
        <v>4.3299999999999912</v>
      </c>
      <c r="E76" s="13">
        <v>40.5</v>
      </c>
      <c r="F76" s="12">
        <v>58.5</v>
      </c>
      <c r="G76" s="13">
        <f t="shared" si="2"/>
        <v>991.1</v>
      </c>
      <c r="H76" s="14">
        <f t="shared" si="3"/>
        <v>998.51</v>
      </c>
      <c r="I76" s="9">
        <v>81</v>
      </c>
      <c r="L76" s="255">
        <v>86</v>
      </c>
      <c r="M76" s="256">
        <v>11.76</v>
      </c>
      <c r="N76" s="257">
        <v>1.2754629629629631E-3</v>
      </c>
      <c r="O76" s="256">
        <v>3.67</v>
      </c>
      <c r="P76" s="256">
        <v>27.2</v>
      </c>
      <c r="R76" s="252">
        <v>86</v>
      </c>
      <c r="S76" s="253">
        <v>12.26</v>
      </c>
      <c r="T76" s="254">
        <v>1.3541666666666667E-3</v>
      </c>
      <c r="U76" s="253">
        <v>3.42</v>
      </c>
      <c r="V76" s="253">
        <v>25.2</v>
      </c>
    </row>
    <row r="77" spans="1:22" ht="15.6">
      <c r="A77" s="9">
        <v>82</v>
      </c>
      <c r="B77" s="12">
        <v>8.8000000000000256</v>
      </c>
      <c r="C77" s="13">
        <v>1.4800000000000126</v>
      </c>
      <c r="D77" s="13">
        <v>4.3599999999999914</v>
      </c>
      <c r="E77" s="13">
        <v>41</v>
      </c>
      <c r="F77" s="12">
        <v>58</v>
      </c>
      <c r="G77" s="13">
        <f t="shared" si="2"/>
        <v>991.19999999999993</v>
      </c>
      <c r="H77" s="14">
        <f t="shared" si="3"/>
        <v>998.52</v>
      </c>
      <c r="I77" s="9">
        <v>82</v>
      </c>
      <c r="L77" s="255">
        <v>85</v>
      </c>
      <c r="M77" s="256">
        <v>11.8</v>
      </c>
      <c r="N77" s="257">
        <v>1.2789351851851853E-3</v>
      </c>
      <c r="O77" s="256">
        <v>3.65</v>
      </c>
      <c r="P77" s="256">
        <v>27</v>
      </c>
      <c r="R77" s="252">
        <v>85</v>
      </c>
      <c r="S77" s="253">
        <v>12.3</v>
      </c>
      <c r="T77" s="254">
        <v>1.3599537037037037E-3</v>
      </c>
      <c r="U77" s="253">
        <v>3.4</v>
      </c>
      <c r="V77" s="253">
        <v>25</v>
      </c>
    </row>
    <row r="78" spans="1:22" ht="15.6">
      <c r="A78" s="9">
        <v>83</v>
      </c>
      <c r="B78" s="12">
        <v>8.7000000000000259</v>
      </c>
      <c r="C78" s="13">
        <v>1.4700000000000126</v>
      </c>
      <c r="D78" s="13">
        <v>4.3899999999999917</v>
      </c>
      <c r="E78" s="13">
        <v>41.5</v>
      </c>
      <c r="F78" s="12">
        <v>57.5</v>
      </c>
      <c r="G78" s="13">
        <f t="shared" si="2"/>
        <v>991.3</v>
      </c>
      <c r="H78" s="14">
        <f t="shared" si="3"/>
        <v>998.53</v>
      </c>
      <c r="I78" s="9">
        <v>83</v>
      </c>
      <c r="L78" s="255">
        <v>84</v>
      </c>
      <c r="M78" s="256">
        <v>11.84</v>
      </c>
      <c r="N78" s="257">
        <v>1.2824074074074075E-3</v>
      </c>
      <c r="O78" s="256">
        <v>3.62</v>
      </c>
      <c r="P78" s="256">
        <v>26.8</v>
      </c>
      <c r="R78" s="252">
        <v>84</v>
      </c>
      <c r="S78" s="253">
        <v>12.34</v>
      </c>
      <c r="T78" s="254">
        <v>1.3657407407407407E-3</v>
      </c>
      <c r="U78" s="253">
        <v>3.37</v>
      </c>
      <c r="V78" s="253">
        <v>24.8</v>
      </c>
    </row>
    <row r="79" spans="1:22" ht="15.6">
      <c r="A79" s="9">
        <v>84</v>
      </c>
      <c r="B79" s="12">
        <v>8.6000000000000263</v>
      </c>
      <c r="C79" s="13">
        <v>1.4600000000000126</v>
      </c>
      <c r="D79" s="13">
        <v>4.4199999999999919</v>
      </c>
      <c r="E79" s="13">
        <v>42</v>
      </c>
      <c r="F79" s="12">
        <v>57</v>
      </c>
      <c r="G79" s="13">
        <f t="shared" si="2"/>
        <v>991.4</v>
      </c>
      <c r="H79" s="14">
        <f t="shared" si="3"/>
        <v>998.54</v>
      </c>
      <c r="I79" s="9">
        <v>84</v>
      </c>
      <c r="L79" s="255">
        <v>83</v>
      </c>
      <c r="M79" s="256">
        <v>11.88</v>
      </c>
      <c r="N79" s="257">
        <v>1.2858796296296297E-3</v>
      </c>
      <c r="O79" s="256">
        <v>3.59</v>
      </c>
      <c r="P79" s="256">
        <v>26.6</v>
      </c>
      <c r="R79" s="252">
        <v>83</v>
      </c>
      <c r="S79" s="253">
        <v>12.38</v>
      </c>
      <c r="T79" s="254">
        <v>1.3715277777777777E-3</v>
      </c>
      <c r="U79" s="253">
        <v>3.34</v>
      </c>
      <c r="V79" s="253">
        <v>24.6</v>
      </c>
    </row>
    <row r="80" spans="1:22" ht="15.6">
      <c r="A80" s="9">
        <v>85</v>
      </c>
      <c r="B80" s="12">
        <v>8.5000000000000266</v>
      </c>
      <c r="C80" s="13">
        <v>1.4500000000000126</v>
      </c>
      <c r="D80" s="13">
        <v>4.4499999999999922</v>
      </c>
      <c r="E80" s="13">
        <v>42.5</v>
      </c>
      <c r="F80" s="12">
        <v>56.5</v>
      </c>
      <c r="G80" s="13">
        <f t="shared" si="2"/>
        <v>991.5</v>
      </c>
      <c r="H80" s="14">
        <f t="shared" si="3"/>
        <v>998.55</v>
      </c>
      <c r="I80" s="9">
        <v>85</v>
      </c>
      <c r="L80" s="255">
        <v>82</v>
      </c>
      <c r="M80" s="256">
        <v>11.92</v>
      </c>
      <c r="N80" s="257">
        <v>1.2893518518518519E-3</v>
      </c>
      <c r="O80" s="256">
        <v>3.56</v>
      </c>
      <c r="P80" s="256">
        <v>26.4</v>
      </c>
      <c r="R80" s="252">
        <v>82</v>
      </c>
      <c r="S80" s="253">
        <v>12.42</v>
      </c>
      <c r="T80" s="254">
        <v>1.3773148148148147E-3</v>
      </c>
      <c r="U80" s="253">
        <v>3.31</v>
      </c>
      <c r="V80" s="253">
        <v>24.4</v>
      </c>
    </row>
    <row r="81" spans="1:22" ht="15.6">
      <c r="A81" s="9">
        <v>86</v>
      </c>
      <c r="B81" s="12">
        <v>8.400000000000027</v>
      </c>
      <c r="C81" s="13">
        <v>1.4400000000000126</v>
      </c>
      <c r="D81" s="13">
        <v>4.4799999999999924</v>
      </c>
      <c r="E81" s="13">
        <v>43</v>
      </c>
      <c r="F81" s="12">
        <v>56</v>
      </c>
      <c r="G81" s="13">
        <f t="shared" si="2"/>
        <v>991.6</v>
      </c>
      <c r="H81" s="14">
        <f t="shared" si="3"/>
        <v>998.56</v>
      </c>
      <c r="I81" s="9">
        <v>86</v>
      </c>
      <c r="L81" s="255">
        <v>81</v>
      </c>
      <c r="M81" s="256">
        <v>11.96</v>
      </c>
      <c r="N81" s="257">
        <v>1.2928240740740741E-3</v>
      </c>
      <c r="O81" s="256">
        <v>3.53</v>
      </c>
      <c r="P81" s="256">
        <v>26.2</v>
      </c>
      <c r="R81" s="252">
        <v>81</v>
      </c>
      <c r="S81" s="253">
        <v>12.46</v>
      </c>
      <c r="T81" s="254">
        <v>1.3831018518518519E-3</v>
      </c>
      <c r="U81" s="253">
        <v>3.28</v>
      </c>
      <c r="V81" s="253">
        <v>24.2</v>
      </c>
    </row>
    <row r="82" spans="1:22" ht="15.6">
      <c r="A82" s="9">
        <v>87</v>
      </c>
      <c r="B82" s="12">
        <v>8.3000000000000274</v>
      </c>
      <c r="C82" s="13">
        <v>1.4300000000000126</v>
      </c>
      <c r="D82" s="13">
        <v>4.5099999999999927</v>
      </c>
      <c r="E82" s="13">
        <v>43.5</v>
      </c>
      <c r="F82" s="12">
        <v>55.5</v>
      </c>
      <c r="G82" s="13">
        <f t="shared" si="2"/>
        <v>991.69999999999993</v>
      </c>
      <c r="H82" s="14">
        <f t="shared" si="3"/>
        <v>998.56999999999994</v>
      </c>
      <c r="I82" s="9">
        <v>87</v>
      </c>
      <c r="L82" s="255">
        <v>80</v>
      </c>
      <c r="M82" s="256">
        <v>12</v>
      </c>
      <c r="N82" s="257">
        <v>1.2962962962962963E-3</v>
      </c>
      <c r="O82" s="256">
        <v>3.5</v>
      </c>
      <c r="P82" s="256">
        <v>26</v>
      </c>
      <c r="R82" s="252">
        <v>80</v>
      </c>
      <c r="S82" s="253">
        <v>12.5</v>
      </c>
      <c r="T82" s="254">
        <v>1.3888888888888889E-3</v>
      </c>
      <c r="U82" s="253">
        <v>3.25</v>
      </c>
      <c r="V82" s="253">
        <v>24</v>
      </c>
    </row>
    <row r="83" spans="1:22" ht="15.6">
      <c r="A83" s="9">
        <v>88</v>
      </c>
      <c r="B83" s="12">
        <v>8.2000000000000277</v>
      </c>
      <c r="C83" s="13">
        <v>1.4200000000000126</v>
      </c>
      <c r="D83" s="13">
        <v>4.5399999999999929</v>
      </c>
      <c r="E83" s="13">
        <v>44</v>
      </c>
      <c r="F83" s="12">
        <v>55</v>
      </c>
      <c r="G83" s="13">
        <f t="shared" si="2"/>
        <v>991.8</v>
      </c>
      <c r="H83" s="14">
        <f t="shared" si="3"/>
        <v>998.58</v>
      </c>
      <c r="I83" s="9">
        <v>88</v>
      </c>
      <c r="L83" s="255">
        <v>79</v>
      </c>
      <c r="M83" s="256">
        <v>12.05</v>
      </c>
      <c r="N83" s="257">
        <v>1.2997685185185185E-3</v>
      </c>
      <c r="O83" s="256">
        <v>3.48</v>
      </c>
      <c r="P83" s="256">
        <v>25.8</v>
      </c>
      <c r="R83" s="252">
        <v>79</v>
      </c>
      <c r="S83" s="253">
        <v>12.55</v>
      </c>
      <c r="T83" s="254">
        <v>1.3946759259259259E-3</v>
      </c>
      <c r="U83" s="253">
        <v>3.23</v>
      </c>
      <c r="V83" s="253">
        <v>23.8</v>
      </c>
    </row>
    <row r="84" spans="1:22" ht="15.6">
      <c r="A84" s="9">
        <v>89</v>
      </c>
      <c r="B84" s="12">
        <v>8.1000000000000281</v>
      </c>
      <c r="C84" s="13">
        <v>1.4100000000000126</v>
      </c>
      <c r="D84" s="13">
        <v>4.5699999999999932</v>
      </c>
      <c r="E84" s="13">
        <v>44.5</v>
      </c>
      <c r="F84" s="12">
        <v>54.5</v>
      </c>
      <c r="G84" s="13">
        <f t="shared" si="2"/>
        <v>991.9</v>
      </c>
      <c r="H84" s="14">
        <f t="shared" si="3"/>
        <v>998.59</v>
      </c>
      <c r="I84" s="9">
        <v>89</v>
      </c>
      <c r="L84" s="255">
        <v>78</v>
      </c>
      <c r="M84" s="256">
        <v>12.1</v>
      </c>
      <c r="N84" s="257">
        <v>1.3032407407407407E-3</v>
      </c>
      <c r="O84" s="256">
        <v>3.46</v>
      </c>
      <c r="P84" s="256">
        <v>25.6</v>
      </c>
      <c r="R84" s="252">
        <v>78</v>
      </c>
      <c r="S84" s="253">
        <v>12.6</v>
      </c>
      <c r="T84" s="254">
        <v>1.4004629629629629E-3</v>
      </c>
      <c r="U84" s="253">
        <v>3.21</v>
      </c>
      <c r="V84" s="253">
        <v>23.6</v>
      </c>
    </row>
    <row r="85" spans="1:22" ht="14.4">
      <c r="A85" s="9">
        <v>90</v>
      </c>
      <c r="B85" s="12">
        <v>8.0000000000000284</v>
      </c>
      <c r="C85" s="13">
        <v>1.4000000000000126</v>
      </c>
      <c r="D85" s="13">
        <v>4.5999999999999934</v>
      </c>
      <c r="E85" s="13">
        <v>45</v>
      </c>
      <c r="F85" s="12">
        <v>54</v>
      </c>
      <c r="G85" s="13">
        <f t="shared" si="2"/>
        <v>992</v>
      </c>
      <c r="H85" s="14">
        <f t="shared" si="3"/>
        <v>998.6</v>
      </c>
      <c r="I85" s="9">
        <v>90</v>
      </c>
      <c r="L85" s="252">
        <v>77</v>
      </c>
      <c r="M85" s="253">
        <v>12.15</v>
      </c>
      <c r="N85" s="254">
        <v>1.3067129629629631E-3</v>
      </c>
      <c r="O85" s="253">
        <v>3.44</v>
      </c>
      <c r="P85" s="253">
        <v>25.4</v>
      </c>
      <c r="R85" s="252">
        <v>77</v>
      </c>
      <c r="S85" s="253">
        <v>12.65</v>
      </c>
      <c r="T85" s="254">
        <v>1.4062499999999999E-3</v>
      </c>
      <c r="U85" s="253">
        <v>3.19</v>
      </c>
      <c r="V85" s="253">
        <v>23.4</v>
      </c>
    </row>
    <row r="86" spans="1:22" ht="14.4">
      <c r="A86" s="9">
        <v>91</v>
      </c>
      <c r="B86" s="12">
        <v>7.9000000000000288</v>
      </c>
      <c r="C86" s="13">
        <v>1.3900000000000126</v>
      </c>
      <c r="D86" s="13">
        <v>4.6299999999999937</v>
      </c>
      <c r="E86" s="13">
        <v>45.5</v>
      </c>
      <c r="F86" s="12">
        <v>53.5</v>
      </c>
      <c r="G86" s="13">
        <f t="shared" si="2"/>
        <v>992.1</v>
      </c>
      <c r="H86" s="14">
        <f t="shared" si="3"/>
        <v>998.61</v>
      </c>
      <c r="I86" s="9">
        <v>91</v>
      </c>
      <c r="L86" s="252">
        <v>76</v>
      </c>
      <c r="M86" s="253">
        <v>12.2</v>
      </c>
      <c r="N86" s="254">
        <v>1.3101851851851853E-3</v>
      </c>
      <c r="O86" s="253">
        <v>3.42</v>
      </c>
      <c r="P86" s="253">
        <v>25.2</v>
      </c>
      <c r="R86" s="252">
        <v>76</v>
      </c>
      <c r="S86" s="253">
        <v>12.7</v>
      </c>
      <c r="T86" s="254">
        <v>1.4120370370370369E-3</v>
      </c>
      <c r="U86" s="253">
        <v>3.17</v>
      </c>
      <c r="V86" s="253">
        <v>23.2</v>
      </c>
    </row>
    <row r="87" spans="1:22" ht="14.4">
      <c r="A87" s="9">
        <v>92</v>
      </c>
      <c r="B87" s="12">
        <v>7.8000000000000291</v>
      </c>
      <c r="C87" s="13">
        <v>1.3800000000000125</v>
      </c>
      <c r="D87" s="13">
        <v>4.6599999999999939</v>
      </c>
      <c r="E87" s="13">
        <v>46</v>
      </c>
      <c r="F87" s="12">
        <v>53</v>
      </c>
      <c r="G87" s="13">
        <f t="shared" si="2"/>
        <v>992.19999999999993</v>
      </c>
      <c r="H87" s="14">
        <f t="shared" si="3"/>
        <v>998.62</v>
      </c>
      <c r="I87" s="9">
        <v>92</v>
      </c>
      <c r="L87" s="252">
        <v>75</v>
      </c>
      <c r="M87" s="253">
        <v>12.25</v>
      </c>
      <c r="N87" s="254">
        <v>1.3136574074074075E-3</v>
      </c>
      <c r="O87" s="253">
        <v>3.4</v>
      </c>
      <c r="P87" s="253">
        <v>25</v>
      </c>
      <c r="R87" s="252">
        <v>75</v>
      </c>
      <c r="S87" s="253">
        <v>12.75</v>
      </c>
      <c r="T87" s="254">
        <v>1.4178240740740742E-3</v>
      </c>
      <c r="U87" s="253">
        <v>3.15</v>
      </c>
      <c r="V87" s="253">
        <v>23</v>
      </c>
    </row>
    <row r="88" spans="1:22" ht="14.4">
      <c r="A88" s="9">
        <v>93</v>
      </c>
      <c r="B88" s="12">
        <v>7.7000000000000295</v>
      </c>
      <c r="C88" s="13">
        <v>1.3700000000000125</v>
      </c>
      <c r="D88" s="13">
        <v>4.6899999999999942</v>
      </c>
      <c r="E88" s="13">
        <v>46.5</v>
      </c>
      <c r="F88" s="12">
        <v>52.5</v>
      </c>
      <c r="G88" s="13">
        <f t="shared" si="2"/>
        <v>992.3</v>
      </c>
      <c r="H88" s="14">
        <f t="shared" si="3"/>
        <v>998.63</v>
      </c>
      <c r="I88" s="9">
        <v>93</v>
      </c>
      <c r="L88" s="252">
        <v>74</v>
      </c>
      <c r="M88" s="253">
        <v>12.3</v>
      </c>
      <c r="N88" s="254">
        <v>1.3171296296296297E-3</v>
      </c>
      <c r="O88" s="253">
        <v>3.37</v>
      </c>
      <c r="P88" s="253">
        <v>24.8</v>
      </c>
      <c r="R88" s="252">
        <v>74</v>
      </c>
      <c r="S88" s="253">
        <v>12.8</v>
      </c>
      <c r="T88" s="254">
        <v>1.4236111111111112E-3</v>
      </c>
      <c r="U88" s="253">
        <v>3.12</v>
      </c>
      <c r="V88" s="253">
        <v>22.8</v>
      </c>
    </row>
    <row r="89" spans="1:22" ht="14.4">
      <c r="A89" s="9">
        <v>94</v>
      </c>
      <c r="B89" s="12">
        <v>7.6000000000000298</v>
      </c>
      <c r="C89" s="13">
        <v>1.3600000000000125</v>
      </c>
      <c r="D89" s="13">
        <v>4.7199999999999944</v>
      </c>
      <c r="E89" s="13">
        <v>47</v>
      </c>
      <c r="F89" s="12">
        <v>52</v>
      </c>
      <c r="G89" s="13">
        <f t="shared" si="2"/>
        <v>992.4</v>
      </c>
      <c r="H89" s="14">
        <f t="shared" si="3"/>
        <v>998.64</v>
      </c>
      <c r="I89" s="9">
        <v>94</v>
      </c>
      <c r="L89" s="252">
        <v>73</v>
      </c>
      <c r="M89" s="253">
        <v>12.35</v>
      </c>
      <c r="N89" s="254">
        <v>1.3206018518518519E-3</v>
      </c>
      <c r="O89" s="253">
        <v>3.34</v>
      </c>
      <c r="P89" s="253">
        <v>24.6</v>
      </c>
      <c r="R89" s="252">
        <v>73</v>
      </c>
      <c r="S89" s="253">
        <v>12.85</v>
      </c>
      <c r="T89" s="254">
        <v>1.4293981481481482E-3</v>
      </c>
      <c r="U89" s="253">
        <v>3.09</v>
      </c>
      <c r="V89" s="253">
        <v>22.6</v>
      </c>
    </row>
    <row r="90" spans="1:22" ht="14.4">
      <c r="A90" s="9">
        <v>95</v>
      </c>
      <c r="B90" s="12">
        <v>7.5000000000000302</v>
      </c>
      <c r="C90" s="13">
        <v>1.3500000000000125</v>
      </c>
      <c r="D90" s="13">
        <v>4.7499999999999947</v>
      </c>
      <c r="E90" s="13">
        <v>47.5</v>
      </c>
      <c r="F90" s="12">
        <v>51.5</v>
      </c>
      <c r="G90" s="13">
        <f t="shared" si="2"/>
        <v>992.5</v>
      </c>
      <c r="H90" s="14">
        <f t="shared" si="3"/>
        <v>998.65</v>
      </c>
      <c r="I90" s="9">
        <v>95</v>
      </c>
      <c r="L90" s="252">
        <v>72</v>
      </c>
      <c r="M90" s="253">
        <v>12.4</v>
      </c>
      <c r="N90" s="254">
        <v>1.3240740740740741E-3</v>
      </c>
      <c r="O90" s="253">
        <v>3.31</v>
      </c>
      <c r="P90" s="253">
        <v>24.4</v>
      </c>
      <c r="R90" s="252">
        <v>72</v>
      </c>
      <c r="S90" s="253">
        <v>12.9</v>
      </c>
      <c r="T90" s="254">
        <v>1.4351851851851852E-3</v>
      </c>
      <c r="U90" s="253">
        <v>3.06</v>
      </c>
      <c r="V90" s="253">
        <v>22.4</v>
      </c>
    </row>
    <row r="91" spans="1:22" ht="14.4">
      <c r="A91" s="9">
        <v>96</v>
      </c>
      <c r="B91" s="12">
        <v>7.4000000000000306</v>
      </c>
      <c r="C91" s="13">
        <v>1.3400000000000125</v>
      </c>
      <c r="D91" s="13">
        <v>4.7799999999999949</v>
      </c>
      <c r="E91" s="13">
        <v>48</v>
      </c>
      <c r="F91" s="12">
        <v>51</v>
      </c>
      <c r="G91" s="13">
        <f t="shared" si="2"/>
        <v>992.6</v>
      </c>
      <c r="H91" s="14">
        <f t="shared" si="3"/>
        <v>998.66</v>
      </c>
      <c r="I91" s="9">
        <v>96</v>
      </c>
      <c r="L91" s="252">
        <v>71</v>
      </c>
      <c r="M91" s="253">
        <v>12.45</v>
      </c>
      <c r="N91" s="254">
        <v>1.3275462962962963E-3</v>
      </c>
      <c r="O91" s="253">
        <v>3.28</v>
      </c>
      <c r="P91" s="253">
        <v>24.2</v>
      </c>
      <c r="R91" s="252">
        <v>71</v>
      </c>
      <c r="S91" s="253">
        <v>12.95</v>
      </c>
      <c r="T91" s="254">
        <v>1.4409722222222222E-3</v>
      </c>
      <c r="U91" s="253">
        <v>3.03</v>
      </c>
      <c r="V91" s="253">
        <v>22.2</v>
      </c>
    </row>
    <row r="92" spans="1:22" ht="14.4">
      <c r="A92" s="9">
        <v>97</v>
      </c>
      <c r="B92" s="12">
        <v>7.3000000000000309</v>
      </c>
      <c r="C92" s="13">
        <v>1.3300000000000125</v>
      </c>
      <c r="D92" s="13">
        <v>4.8099999999999952</v>
      </c>
      <c r="E92" s="13">
        <v>48.5</v>
      </c>
      <c r="F92" s="12">
        <v>50.5</v>
      </c>
      <c r="G92" s="13">
        <f t="shared" si="2"/>
        <v>992.69999999999993</v>
      </c>
      <c r="H92" s="14">
        <f t="shared" si="3"/>
        <v>998.67</v>
      </c>
      <c r="I92" s="9">
        <v>97</v>
      </c>
      <c r="L92" s="252">
        <v>70</v>
      </c>
      <c r="M92" s="253">
        <v>12.5</v>
      </c>
      <c r="N92" s="254">
        <v>1.3310185185185185E-3</v>
      </c>
      <c r="O92" s="253">
        <v>3.25</v>
      </c>
      <c r="P92" s="253">
        <v>24</v>
      </c>
      <c r="R92" s="252">
        <v>70</v>
      </c>
      <c r="S92" s="253">
        <v>13</v>
      </c>
      <c r="T92" s="254">
        <v>1.4467592592592592E-3</v>
      </c>
      <c r="U92" s="253">
        <v>3</v>
      </c>
      <c r="V92" s="253">
        <v>22</v>
      </c>
    </row>
    <row r="93" spans="1:22" ht="14.4">
      <c r="A93" s="9">
        <v>98</v>
      </c>
      <c r="B93" s="12">
        <v>7.2000000000000313</v>
      </c>
      <c r="C93" s="13">
        <v>1.3200000000000125</v>
      </c>
      <c r="D93" s="13">
        <v>4.8399999999999954</v>
      </c>
      <c r="E93" s="13">
        <v>49</v>
      </c>
      <c r="F93" s="12">
        <v>50</v>
      </c>
      <c r="G93" s="13">
        <f t="shared" si="2"/>
        <v>992.8</v>
      </c>
      <c r="H93" s="14">
        <f t="shared" si="3"/>
        <v>998.68</v>
      </c>
      <c r="I93" s="9">
        <v>98</v>
      </c>
      <c r="L93" s="252">
        <v>69</v>
      </c>
      <c r="M93" s="253">
        <v>12.55</v>
      </c>
      <c r="N93" s="254">
        <v>1.3368055555555555E-3</v>
      </c>
      <c r="O93" s="253">
        <v>3.23</v>
      </c>
      <c r="P93" s="253">
        <v>23.8</v>
      </c>
      <c r="R93" s="252">
        <v>69</v>
      </c>
      <c r="S93" s="253">
        <v>13.05</v>
      </c>
      <c r="T93" s="254">
        <v>1.4525462962962964E-3</v>
      </c>
      <c r="U93" s="253">
        <v>2.98</v>
      </c>
      <c r="V93" s="253">
        <v>21.8</v>
      </c>
    </row>
    <row r="94" spans="1:22" ht="14.4">
      <c r="A94" s="9">
        <v>99</v>
      </c>
      <c r="B94" s="12">
        <v>7.1000000000000316</v>
      </c>
      <c r="C94" s="13">
        <v>1.3100000000000125</v>
      </c>
      <c r="D94" s="13">
        <v>4.8699999999999957</v>
      </c>
      <c r="E94" s="13">
        <v>49.5</v>
      </c>
      <c r="F94" s="12">
        <v>49.5</v>
      </c>
      <c r="G94" s="13">
        <f t="shared" si="2"/>
        <v>992.9</v>
      </c>
      <c r="H94" s="14">
        <f t="shared" si="3"/>
        <v>998.68999999999994</v>
      </c>
      <c r="I94" s="9">
        <v>99</v>
      </c>
      <c r="L94" s="252">
        <v>68</v>
      </c>
      <c r="M94" s="253">
        <v>12.6</v>
      </c>
      <c r="N94" s="254">
        <v>1.3425925925925925E-3</v>
      </c>
      <c r="O94" s="253">
        <v>3.21</v>
      </c>
      <c r="P94" s="253">
        <v>23.6</v>
      </c>
      <c r="R94" s="252">
        <v>68</v>
      </c>
      <c r="S94" s="253">
        <v>13.1</v>
      </c>
      <c r="T94" s="254">
        <v>1.4583333333333334E-3</v>
      </c>
      <c r="U94" s="253">
        <v>2.96</v>
      </c>
      <c r="V94" s="253">
        <v>21.6</v>
      </c>
    </row>
    <row r="95" spans="1:22" ht="14.4">
      <c r="A95" s="9">
        <v>100</v>
      </c>
      <c r="B95" s="12">
        <v>7.000000000000032</v>
      </c>
      <c r="C95" s="13">
        <v>1.3000000000000125</v>
      </c>
      <c r="D95" s="13">
        <v>4.8999999999999959</v>
      </c>
      <c r="E95" s="13">
        <v>50</v>
      </c>
      <c r="F95" s="12">
        <v>50</v>
      </c>
      <c r="G95" s="13">
        <f t="shared" si="2"/>
        <v>993</v>
      </c>
      <c r="H95" s="14">
        <f t="shared" si="3"/>
        <v>998.69999999999993</v>
      </c>
      <c r="I95" s="9">
        <v>100</v>
      </c>
      <c r="L95" s="252">
        <v>67</v>
      </c>
      <c r="M95" s="253">
        <v>12.65</v>
      </c>
      <c r="N95" s="254">
        <v>1.3483796296296297E-3</v>
      </c>
      <c r="O95" s="253">
        <v>3.19</v>
      </c>
      <c r="P95" s="253">
        <v>23.4</v>
      </c>
      <c r="R95" s="252">
        <v>67</v>
      </c>
      <c r="S95" s="253">
        <v>13.15</v>
      </c>
      <c r="T95" s="254">
        <v>1.4641203703703704E-3</v>
      </c>
      <c r="U95" s="253">
        <v>2.94</v>
      </c>
      <c r="V95" s="253">
        <v>21.4</v>
      </c>
    </row>
    <row r="96" spans="1:22" ht="14.4">
      <c r="L96" s="252">
        <v>66</v>
      </c>
      <c r="M96" s="253">
        <v>12.7</v>
      </c>
      <c r="N96" s="254">
        <v>1.3541666666666667E-3</v>
      </c>
      <c r="O96" s="253">
        <v>3.17</v>
      </c>
      <c r="P96" s="253">
        <v>23.2</v>
      </c>
      <c r="R96" s="252">
        <v>66</v>
      </c>
      <c r="S96" s="253">
        <v>13.2</v>
      </c>
      <c r="T96" s="254">
        <v>1.4699074074074074E-3</v>
      </c>
      <c r="U96" s="253">
        <v>2.92</v>
      </c>
      <c r="V96" s="253">
        <v>21.2</v>
      </c>
    </row>
    <row r="97" spans="12:22" ht="14.4">
      <c r="L97" s="252">
        <v>65</v>
      </c>
      <c r="M97" s="253">
        <v>12.75</v>
      </c>
      <c r="N97" s="254">
        <v>1.3599537037037037E-3</v>
      </c>
      <c r="O97" s="253">
        <v>3.15</v>
      </c>
      <c r="P97" s="253">
        <v>23</v>
      </c>
      <c r="R97" s="252">
        <v>65</v>
      </c>
      <c r="S97" s="253">
        <v>13.25</v>
      </c>
      <c r="T97" s="254">
        <v>1.4756944444444444E-3</v>
      </c>
      <c r="U97" s="253">
        <v>2.9</v>
      </c>
      <c r="V97" s="253">
        <v>21</v>
      </c>
    </row>
    <row r="98" spans="12:22" ht="14.4">
      <c r="L98" s="252">
        <v>64</v>
      </c>
      <c r="M98" s="253">
        <v>12.8</v>
      </c>
      <c r="N98" s="254">
        <v>1.3657407407407407E-3</v>
      </c>
      <c r="O98" s="253">
        <v>3.12</v>
      </c>
      <c r="P98" s="253">
        <v>22.8</v>
      </c>
      <c r="R98" s="252">
        <v>64</v>
      </c>
      <c r="S98" s="253">
        <v>13.3</v>
      </c>
      <c r="T98" s="254">
        <v>1.4814814814814814E-3</v>
      </c>
      <c r="U98" s="253">
        <v>2.87</v>
      </c>
      <c r="V98" s="253">
        <v>20.8</v>
      </c>
    </row>
    <row r="99" spans="12:22" ht="14.4">
      <c r="L99" s="252">
        <v>63</v>
      </c>
      <c r="M99" s="253">
        <v>12.85</v>
      </c>
      <c r="N99" s="254">
        <v>1.3715277777777777E-3</v>
      </c>
      <c r="O99" s="253">
        <v>3.09</v>
      </c>
      <c r="P99" s="253">
        <v>22.6</v>
      </c>
      <c r="R99" s="252">
        <v>63</v>
      </c>
      <c r="S99" s="253">
        <v>13.35</v>
      </c>
      <c r="T99" s="254">
        <v>1.4872685185185186E-3</v>
      </c>
      <c r="U99" s="253">
        <v>2.84</v>
      </c>
      <c r="V99" s="253">
        <v>20.6</v>
      </c>
    </row>
    <row r="100" spans="12:22" ht="14.4">
      <c r="L100" s="252">
        <v>62</v>
      </c>
      <c r="M100" s="253">
        <v>12.9</v>
      </c>
      <c r="N100" s="254">
        <v>1.3773148148148147E-3</v>
      </c>
      <c r="O100" s="253">
        <v>3.06</v>
      </c>
      <c r="P100" s="253">
        <v>22.4</v>
      </c>
      <c r="R100" s="252">
        <v>62</v>
      </c>
      <c r="S100" s="253">
        <v>13.4</v>
      </c>
      <c r="T100" s="254">
        <v>1.4930555555555556E-3</v>
      </c>
      <c r="U100" s="253">
        <v>2.81</v>
      </c>
      <c r="V100" s="253">
        <v>20.399999999999999</v>
      </c>
    </row>
    <row r="101" spans="12:22" ht="14.4">
      <c r="L101" s="252">
        <v>61</v>
      </c>
      <c r="M101" s="253">
        <v>12.95</v>
      </c>
      <c r="N101" s="254">
        <v>1.3831018518518519E-3</v>
      </c>
      <c r="O101" s="253">
        <v>3.03</v>
      </c>
      <c r="P101" s="253">
        <v>22.2</v>
      </c>
      <c r="R101" s="252">
        <v>61</v>
      </c>
      <c r="S101" s="253">
        <v>13.45</v>
      </c>
      <c r="T101" s="254">
        <v>1.4988425925925926E-3</v>
      </c>
      <c r="U101" s="253">
        <v>2.78</v>
      </c>
      <c r="V101" s="253">
        <v>20.2</v>
      </c>
    </row>
    <row r="102" spans="12:22" ht="14.4">
      <c r="L102" s="252">
        <v>60</v>
      </c>
      <c r="M102" s="253">
        <v>13</v>
      </c>
      <c r="N102" s="254">
        <v>1.3888888888888889E-3</v>
      </c>
      <c r="O102" s="253">
        <v>3</v>
      </c>
      <c r="P102" s="253">
        <v>22</v>
      </c>
      <c r="R102" s="252">
        <v>60</v>
      </c>
      <c r="S102" s="253">
        <v>13.5</v>
      </c>
      <c r="T102" s="254">
        <v>1.5046296296296296E-3</v>
      </c>
      <c r="U102" s="253">
        <v>2.75</v>
      </c>
      <c r="V102" s="253">
        <v>20</v>
      </c>
    </row>
    <row r="103" spans="12:22" ht="14.4">
      <c r="L103" s="252">
        <v>59</v>
      </c>
      <c r="M103" s="253">
        <v>13.05</v>
      </c>
      <c r="N103" s="254">
        <v>1.3946759259259259E-3</v>
      </c>
      <c r="O103" s="253">
        <v>2.98</v>
      </c>
      <c r="P103" s="253">
        <v>21.8</v>
      </c>
      <c r="R103" s="252">
        <v>59</v>
      </c>
      <c r="S103" s="253">
        <v>13.55</v>
      </c>
      <c r="T103" s="254">
        <v>1.5104166666666666E-3</v>
      </c>
      <c r="U103" s="253">
        <v>2.73</v>
      </c>
      <c r="V103" s="253">
        <v>19.8</v>
      </c>
    </row>
    <row r="104" spans="12:22" ht="14.4">
      <c r="L104" s="252">
        <v>58</v>
      </c>
      <c r="M104" s="253">
        <v>13.1</v>
      </c>
      <c r="N104" s="254">
        <v>1.4004629629629629E-3</v>
      </c>
      <c r="O104" s="253">
        <v>2.96</v>
      </c>
      <c r="P104" s="253">
        <v>21.6</v>
      </c>
      <c r="R104" s="252">
        <v>58</v>
      </c>
      <c r="S104" s="253">
        <v>13.6</v>
      </c>
      <c r="T104" s="254">
        <v>1.5162037037037036E-3</v>
      </c>
      <c r="U104" s="253">
        <v>2.71</v>
      </c>
      <c r="V104" s="253">
        <v>19.600000000000001</v>
      </c>
    </row>
    <row r="105" spans="12:22" ht="14.4">
      <c r="L105" s="252">
        <v>57</v>
      </c>
      <c r="M105" s="253">
        <v>13.15</v>
      </c>
      <c r="N105" s="254">
        <v>1.4062499999999999E-3</v>
      </c>
      <c r="O105" s="253">
        <v>2.94</v>
      </c>
      <c r="P105" s="253">
        <v>21.4</v>
      </c>
      <c r="R105" s="252">
        <v>57</v>
      </c>
      <c r="S105" s="253">
        <v>13.65</v>
      </c>
      <c r="T105" s="254">
        <v>1.5219907407407406E-3</v>
      </c>
      <c r="U105" s="253">
        <v>2.69</v>
      </c>
      <c r="V105" s="253">
        <v>19.399999999999999</v>
      </c>
    </row>
    <row r="106" spans="12:22" ht="14.4">
      <c r="L106" s="252">
        <v>56</v>
      </c>
      <c r="M106" s="253">
        <v>13.2</v>
      </c>
      <c r="N106" s="254">
        <v>1.4120370370370369E-3</v>
      </c>
      <c r="O106" s="253">
        <v>2.92</v>
      </c>
      <c r="P106" s="253">
        <v>21.2</v>
      </c>
      <c r="R106" s="252">
        <v>56</v>
      </c>
      <c r="S106" s="253">
        <v>13.7</v>
      </c>
      <c r="T106" s="254">
        <v>1.5277777777777779E-3</v>
      </c>
      <c r="U106" s="253">
        <v>2.67</v>
      </c>
      <c r="V106" s="253">
        <v>19.2</v>
      </c>
    </row>
    <row r="107" spans="12:22" ht="14.4">
      <c r="L107" s="252">
        <v>55</v>
      </c>
      <c r="M107" s="253">
        <v>13.25</v>
      </c>
      <c r="N107" s="254">
        <v>1.4178240740740742E-3</v>
      </c>
      <c r="O107" s="253">
        <v>2.9</v>
      </c>
      <c r="P107" s="253">
        <v>21</v>
      </c>
      <c r="R107" s="252">
        <v>55</v>
      </c>
      <c r="S107" s="253">
        <v>13.75</v>
      </c>
      <c r="T107" s="254">
        <v>1.5335648148148149E-3</v>
      </c>
      <c r="U107" s="253">
        <v>2.65</v>
      </c>
      <c r="V107" s="253">
        <v>19</v>
      </c>
    </row>
    <row r="108" spans="12:22" ht="14.4">
      <c r="L108" s="252">
        <v>54</v>
      </c>
      <c r="M108" s="253">
        <v>13.3</v>
      </c>
      <c r="N108" s="254">
        <v>1.4236111111111112E-3</v>
      </c>
      <c r="O108" s="253">
        <v>2.87</v>
      </c>
      <c r="P108" s="253">
        <v>20.8</v>
      </c>
      <c r="R108" s="252">
        <v>54</v>
      </c>
      <c r="S108" s="253">
        <v>13.8</v>
      </c>
      <c r="T108" s="254">
        <v>1.5393518518518519E-3</v>
      </c>
      <c r="U108" s="253">
        <v>2.62</v>
      </c>
      <c r="V108" s="253">
        <v>18.8</v>
      </c>
    </row>
    <row r="109" spans="12:22" ht="14.4">
      <c r="L109" s="252">
        <v>53</v>
      </c>
      <c r="M109" s="253">
        <v>13.35</v>
      </c>
      <c r="N109" s="254">
        <v>1.4293981481481482E-3</v>
      </c>
      <c r="O109" s="253">
        <v>2.84</v>
      </c>
      <c r="P109" s="253">
        <v>20.6</v>
      </c>
      <c r="R109" s="252">
        <v>53</v>
      </c>
      <c r="S109" s="253">
        <v>13.85</v>
      </c>
      <c r="T109" s="254">
        <v>1.5451388888888889E-3</v>
      </c>
      <c r="U109" s="253">
        <v>2.59</v>
      </c>
      <c r="V109" s="253">
        <v>18.600000000000001</v>
      </c>
    </row>
    <row r="110" spans="12:22" ht="14.4">
      <c r="L110" s="252">
        <v>52</v>
      </c>
      <c r="M110" s="253">
        <v>13.4</v>
      </c>
      <c r="N110" s="254">
        <v>1.4351851851851852E-3</v>
      </c>
      <c r="O110" s="253">
        <v>2.81</v>
      </c>
      <c r="P110" s="253">
        <v>20.399999999999999</v>
      </c>
      <c r="R110" s="252">
        <v>52</v>
      </c>
      <c r="S110" s="253">
        <v>13.9</v>
      </c>
      <c r="T110" s="254">
        <v>1.5509259259259259E-3</v>
      </c>
      <c r="U110" s="253">
        <v>2.56</v>
      </c>
      <c r="V110" s="253">
        <v>18.399999999999999</v>
      </c>
    </row>
    <row r="111" spans="12:22" ht="14.4">
      <c r="L111" s="252">
        <v>51</v>
      </c>
      <c r="M111" s="253">
        <v>13.45</v>
      </c>
      <c r="N111" s="254">
        <v>1.4409722222222222E-3</v>
      </c>
      <c r="O111" s="253">
        <v>2.78</v>
      </c>
      <c r="P111" s="253">
        <v>20.2</v>
      </c>
      <c r="R111" s="252">
        <v>51</v>
      </c>
      <c r="S111" s="253">
        <v>13.95</v>
      </c>
      <c r="T111" s="254">
        <v>1.5567129629629629E-3</v>
      </c>
      <c r="U111" s="253">
        <v>2.5299999999999998</v>
      </c>
      <c r="V111" s="253">
        <v>18.2</v>
      </c>
    </row>
    <row r="112" spans="12:22" ht="14.4">
      <c r="L112" s="252">
        <v>50</v>
      </c>
      <c r="M112" s="253">
        <v>13.5</v>
      </c>
      <c r="N112" s="254">
        <v>1.4467592592592592E-3</v>
      </c>
      <c r="O112" s="253">
        <v>2.75</v>
      </c>
      <c r="P112" s="253">
        <v>20</v>
      </c>
      <c r="R112" s="252">
        <v>50</v>
      </c>
      <c r="S112" s="253">
        <v>14</v>
      </c>
      <c r="T112" s="254">
        <v>1.5625000000000001E-3</v>
      </c>
      <c r="U112" s="253">
        <v>2.5</v>
      </c>
      <c r="V112" s="253">
        <v>18</v>
      </c>
    </row>
    <row r="113" spans="12:22" ht="14.4">
      <c r="L113" s="252">
        <v>49</v>
      </c>
      <c r="M113" s="253">
        <v>13.55</v>
      </c>
      <c r="N113" s="254">
        <v>1.4525462962962964E-3</v>
      </c>
      <c r="O113" s="253">
        <v>2.73</v>
      </c>
      <c r="P113" s="253">
        <v>19.8</v>
      </c>
      <c r="R113" s="252">
        <v>49</v>
      </c>
      <c r="S113" s="253">
        <v>14.05</v>
      </c>
      <c r="T113" s="254">
        <v>1.5682870370370371E-3</v>
      </c>
      <c r="U113" s="253">
        <v>2.48</v>
      </c>
      <c r="V113" s="253">
        <v>17.8</v>
      </c>
    </row>
    <row r="114" spans="12:22" ht="14.4">
      <c r="L114" s="252">
        <v>48</v>
      </c>
      <c r="M114" s="253">
        <v>13.6</v>
      </c>
      <c r="N114" s="254">
        <v>1.4583333333333334E-3</v>
      </c>
      <c r="O114" s="253">
        <v>2.71</v>
      </c>
      <c r="P114" s="253">
        <v>19.600000000000001</v>
      </c>
      <c r="R114" s="252">
        <v>48</v>
      </c>
      <c r="S114" s="253">
        <v>14.1</v>
      </c>
      <c r="T114" s="254">
        <v>1.5740740740740741E-3</v>
      </c>
      <c r="U114" s="253">
        <v>2.46</v>
      </c>
      <c r="V114" s="253">
        <v>17.600000000000001</v>
      </c>
    </row>
    <row r="115" spans="12:22" ht="14.4">
      <c r="L115" s="252">
        <v>47</v>
      </c>
      <c r="M115" s="253">
        <v>13.65</v>
      </c>
      <c r="N115" s="254">
        <v>1.4641203703703704E-3</v>
      </c>
      <c r="O115" s="253">
        <v>2.69</v>
      </c>
      <c r="P115" s="253">
        <v>19.399999999999999</v>
      </c>
      <c r="R115" s="252">
        <v>47</v>
      </c>
      <c r="S115" s="253">
        <v>14.15</v>
      </c>
      <c r="T115" s="254">
        <v>1.5798611111111111E-3</v>
      </c>
      <c r="U115" s="253">
        <v>2.44</v>
      </c>
      <c r="V115" s="253">
        <v>17.399999999999999</v>
      </c>
    </row>
    <row r="116" spans="12:22" ht="14.4">
      <c r="L116" s="252">
        <v>46</v>
      </c>
      <c r="M116" s="253">
        <v>13.7</v>
      </c>
      <c r="N116" s="254">
        <v>1.4699074074074074E-3</v>
      </c>
      <c r="O116" s="253">
        <v>2.67</v>
      </c>
      <c r="P116" s="253">
        <v>19.2</v>
      </c>
      <c r="R116" s="252">
        <v>46</v>
      </c>
      <c r="S116" s="253">
        <v>14.2</v>
      </c>
      <c r="T116" s="254">
        <v>1.5856481481481481E-3</v>
      </c>
      <c r="U116" s="253">
        <v>2.42</v>
      </c>
      <c r="V116" s="253">
        <v>17.2</v>
      </c>
    </row>
    <row r="117" spans="12:22" ht="14.4">
      <c r="L117" s="252">
        <v>45</v>
      </c>
      <c r="M117" s="253">
        <v>13.75</v>
      </c>
      <c r="N117" s="254">
        <v>1.4756944444444444E-3</v>
      </c>
      <c r="O117" s="253">
        <v>2.65</v>
      </c>
      <c r="P117" s="253">
        <v>19</v>
      </c>
      <c r="R117" s="252">
        <v>45</v>
      </c>
      <c r="S117" s="253">
        <v>14.25</v>
      </c>
      <c r="T117" s="254">
        <v>1.5914351851851851E-3</v>
      </c>
      <c r="U117" s="253">
        <v>2.4</v>
      </c>
      <c r="V117" s="253">
        <v>17</v>
      </c>
    </row>
    <row r="118" spans="12:22" ht="14.4">
      <c r="L118" s="252">
        <v>44</v>
      </c>
      <c r="M118" s="253">
        <v>13.8</v>
      </c>
      <c r="N118" s="254">
        <v>1.4814814814814814E-3</v>
      </c>
      <c r="O118" s="253">
        <v>2.62</v>
      </c>
      <c r="P118" s="253">
        <v>18.8</v>
      </c>
      <c r="R118" s="252">
        <v>44</v>
      </c>
      <c r="S118" s="253">
        <v>14.3</v>
      </c>
      <c r="T118" s="254">
        <v>1.5972222222222223E-3</v>
      </c>
      <c r="U118" s="253">
        <v>2.37</v>
      </c>
      <c r="V118" s="253">
        <v>16.8</v>
      </c>
    </row>
    <row r="119" spans="12:22" ht="14.4">
      <c r="L119" s="252">
        <v>43</v>
      </c>
      <c r="M119" s="253">
        <v>13.85</v>
      </c>
      <c r="N119" s="254">
        <v>1.4872685185185186E-3</v>
      </c>
      <c r="O119" s="253">
        <v>2.59</v>
      </c>
      <c r="P119" s="253">
        <v>18.600000000000001</v>
      </c>
      <c r="R119" s="252">
        <v>43</v>
      </c>
      <c r="S119" s="253">
        <v>14.35</v>
      </c>
      <c r="T119" s="254">
        <v>1.6030092592592593E-3</v>
      </c>
      <c r="U119" s="253">
        <v>2.34</v>
      </c>
      <c r="V119" s="253">
        <v>16.600000000000001</v>
      </c>
    </row>
    <row r="120" spans="12:22" ht="14.4">
      <c r="L120" s="252">
        <v>42</v>
      </c>
      <c r="M120" s="253">
        <v>13.9</v>
      </c>
      <c r="N120" s="254">
        <v>1.4930555555555556E-3</v>
      </c>
      <c r="O120" s="253">
        <v>2.56</v>
      </c>
      <c r="P120" s="253">
        <v>18.399999999999999</v>
      </c>
      <c r="R120" s="252">
        <v>42</v>
      </c>
      <c r="S120" s="253">
        <v>14.4</v>
      </c>
      <c r="T120" s="254">
        <v>1.6087962962962963E-3</v>
      </c>
      <c r="U120" s="253">
        <v>2.31</v>
      </c>
      <c r="V120" s="253">
        <v>16.399999999999999</v>
      </c>
    </row>
    <row r="121" spans="12:22" ht="14.4">
      <c r="L121" s="252">
        <v>41</v>
      </c>
      <c r="M121" s="253">
        <v>13.95</v>
      </c>
      <c r="N121" s="254">
        <v>1.4988425925925926E-3</v>
      </c>
      <c r="O121" s="253">
        <v>2.5299999999999998</v>
      </c>
      <c r="P121" s="253">
        <v>18.2</v>
      </c>
      <c r="R121" s="252">
        <v>41</v>
      </c>
      <c r="S121" s="253">
        <v>14.45</v>
      </c>
      <c r="T121" s="254">
        <v>1.6145833333333333E-3</v>
      </c>
      <c r="U121" s="253">
        <v>2.2799999999999998</v>
      </c>
      <c r="V121" s="253">
        <v>16.2</v>
      </c>
    </row>
    <row r="122" spans="12:22" ht="14.4">
      <c r="L122" s="252">
        <v>40</v>
      </c>
      <c r="M122" s="253">
        <v>14</v>
      </c>
      <c r="N122" s="254">
        <v>1.5046296296296296E-3</v>
      </c>
      <c r="O122" s="253">
        <v>2.5</v>
      </c>
      <c r="P122" s="253">
        <v>18</v>
      </c>
      <c r="R122" s="252">
        <v>40</v>
      </c>
      <c r="S122" s="253">
        <v>14.5</v>
      </c>
      <c r="T122" s="254">
        <v>1.6203703703703703E-3</v>
      </c>
      <c r="U122" s="253">
        <v>2.25</v>
      </c>
      <c r="V122" s="253">
        <v>16</v>
      </c>
    </row>
    <row r="123" spans="12:22" ht="14.4">
      <c r="L123" s="252">
        <v>39</v>
      </c>
      <c r="M123" s="253">
        <v>14.05</v>
      </c>
      <c r="N123" s="254">
        <v>1.5162037037037036E-3</v>
      </c>
      <c r="O123" s="253">
        <v>2.48</v>
      </c>
      <c r="P123" s="253">
        <v>17.8</v>
      </c>
      <c r="R123" s="252">
        <v>39</v>
      </c>
      <c r="S123" s="253">
        <v>14.55</v>
      </c>
      <c r="T123" s="254">
        <v>1.6261574074074073E-3</v>
      </c>
      <c r="U123" s="253">
        <v>2.23</v>
      </c>
      <c r="V123" s="253">
        <v>15.8</v>
      </c>
    </row>
    <row r="124" spans="12:22" ht="14.4">
      <c r="L124" s="252">
        <v>38</v>
      </c>
      <c r="M124" s="253">
        <v>14.1</v>
      </c>
      <c r="N124" s="254">
        <v>1.5277777777777779E-3</v>
      </c>
      <c r="O124" s="253">
        <v>2.46</v>
      </c>
      <c r="P124" s="253">
        <v>17.600000000000001</v>
      </c>
      <c r="R124" s="252">
        <v>38</v>
      </c>
      <c r="S124" s="253">
        <v>14.6</v>
      </c>
      <c r="T124" s="254">
        <v>1.6319444444444445E-3</v>
      </c>
      <c r="U124" s="253">
        <v>2.21</v>
      </c>
      <c r="V124" s="253">
        <v>15.6</v>
      </c>
    </row>
    <row r="125" spans="12:22" ht="14.4">
      <c r="L125" s="252">
        <v>37</v>
      </c>
      <c r="M125" s="253">
        <v>14.15</v>
      </c>
      <c r="N125" s="254">
        <v>1.5393518518518519E-3</v>
      </c>
      <c r="O125" s="253">
        <v>2.44</v>
      </c>
      <c r="P125" s="253">
        <v>17.399999999999999</v>
      </c>
      <c r="R125" s="252">
        <v>37</v>
      </c>
      <c r="S125" s="253">
        <v>14.65</v>
      </c>
      <c r="T125" s="254">
        <v>1.6377314814814815E-3</v>
      </c>
      <c r="U125" s="253">
        <v>2.19</v>
      </c>
      <c r="V125" s="253">
        <v>15.4</v>
      </c>
    </row>
    <row r="126" spans="12:22" ht="14.4">
      <c r="L126" s="252">
        <v>36</v>
      </c>
      <c r="M126" s="253">
        <v>14.2</v>
      </c>
      <c r="N126" s="254">
        <v>1.5509259259259259E-3</v>
      </c>
      <c r="O126" s="253">
        <v>2.42</v>
      </c>
      <c r="P126" s="253">
        <v>17.2</v>
      </c>
      <c r="R126" s="252">
        <v>36</v>
      </c>
      <c r="S126" s="253">
        <v>14.7</v>
      </c>
      <c r="T126" s="254">
        <v>1.6435185185185185E-3</v>
      </c>
      <c r="U126" s="253">
        <v>2.17</v>
      </c>
      <c r="V126" s="253">
        <v>15.2</v>
      </c>
    </row>
    <row r="127" spans="12:22" ht="14.4">
      <c r="L127" s="252">
        <v>35</v>
      </c>
      <c r="M127" s="253">
        <v>14.25</v>
      </c>
      <c r="N127" s="254">
        <v>1.5625000000000001E-3</v>
      </c>
      <c r="O127" s="253">
        <v>2.4</v>
      </c>
      <c r="P127" s="253">
        <v>17</v>
      </c>
      <c r="R127" s="252">
        <v>35</v>
      </c>
      <c r="S127" s="253">
        <v>14.75</v>
      </c>
      <c r="T127" s="254">
        <v>1.6493055555555556E-3</v>
      </c>
      <c r="U127" s="253">
        <v>2.15</v>
      </c>
      <c r="V127" s="253">
        <v>15</v>
      </c>
    </row>
    <row r="128" spans="12:22" ht="14.4">
      <c r="L128" s="252">
        <v>34</v>
      </c>
      <c r="M128" s="253">
        <v>14.3</v>
      </c>
      <c r="N128" s="254">
        <v>1.5740740740740741E-3</v>
      </c>
      <c r="O128" s="253">
        <v>2.37</v>
      </c>
      <c r="P128" s="253">
        <v>16.8</v>
      </c>
      <c r="R128" s="252">
        <v>34</v>
      </c>
      <c r="S128" s="253">
        <v>14.8</v>
      </c>
      <c r="T128" s="254">
        <v>1.6550925925925926E-3</v>
      </c>
      <c r="U128" s="253">
        <v>2.12</v>
      </c>
      <c r="V128" s="253">
        <v>14.8</v>
      </c>
    </row>
    <row r="129" spans="12:22" ht="14.4">
      <c r="L129" s="252">
        <v>33</v>
      </c>
      <c r="M129" s="253">
        <v>14.35</v>
      </c>
      <c r="N129" s="254">
        <v>1.5856481481481481E-3</v>
      </c>
      <c r="O129" s="253">
        <v>2.34</v>
      </c>
      <c r="P129" s="253">
        <v>16.600000000000001</v>
      </c>
      <c r="R129" s="252">
        <v>33</v>
      </c>
      <c r="S129" s="253">
        <v>14.85</v>
      </c>
      <c r="T129" s="254">
        <v>1.6608796296296296E-3</v>
      </c>
      <c r="U129" s="253">
        <v>2.09</v>
      </c>
      <c r="V129" s="253">
        <v>14.6</v>
      </c>
    </row>
    <row r="130" spans="12:22" ht="14.4">
      <c r="L130" s="252">
        <v>32</v>
      </c>
      <c r="M130" s="253">
        <v>14.4</v>
      </c>
      <c r="N130" s="254">
        <v>1.5972222222222223E-3</v>
      </c>
      <c r="O130" s="253">
        <v>2.31</v>
      </c>
      <c r="P130" s="253">
        <v>16.399999999999999</v>
      </c>
      <c r="R130" s="252">
        <v>32</v>
      </c>
      <c r="S130" s="253">
        <v>14.9</v>
      </c>
      <c r="T130" s="254">
        <v>1.6666666666666668E-3</v>
      </c>
      <c r="U130" s="253">
        <v>2.06</v>
      </c>
      <c r="V130" s="253">
        <v>14.4</v>
      </c>
    </row>
    <row r="131" spans="12:22" ht="14.4">
      <c r="L131" s="252">
        <v>31</v>
      </c>
      <c r="M131" s="253">
        <v>14.45</v>
      </c>
      <c r="N131" s="254">
        <v>1.6087962962962963E-3</v>
      </c>
      <c r="O131" s="253">
        <v>2.2799999999999998</v>
      </c>
      <c r="P131" s="253">
        <v>16.2</v>
      </c>
      <c r="R131" s="252">
        <v>31</v>
      </c>
      <c r="S131" s="253">
        <v>14.95</v>
      </c>
      <c r="T131" s="254">
        <v>1.6724537037037038E-3</v>
      </c>
      <c r="U131" s="253">
        <v>2.0299999999999998</v>
      </c>
      <c r="V131" s="253">
        <v>14.2</v>
      </c>
    </row>
    <row r="132" spans="12:22" ht="14.4">
      <c r="L132" s="252">
        <v>30</v>
      </c>
      <c r="M132" s="253">
        <v>14.5</v>
      </c>
      <c r="N132" s="254">
        <v>1.6203703703703703E-3</v>
      </c>
      <c r="O132" s="253">
        <v>2.25</v>
      </c>
      <c r="P132" s="253">
        <v>16</v>
      </c>
      <c r="R132" s="252">
        <v>30</v>
      </c>
      <c r="S132" s="253">
        <v>15</v>
      </c>
      <c r="T132" s="254">
        <v>1.6782407407407408E-3</v>
      </c>
      <c r="U132" s="253">
        <v>2</v>
      </c>
      <c r="V132" s="253">
        <v>14</v>
      </c>
    </row>
    <row r="133" spans="12:22" ht="14.4">
      <c r="L133" s="252">
        <v>29</v>
      </c>
      <c r="M133" s="253">
        <v>14.55</v>
      </c>
      <c r="N133" s="254">
        <v>1.6319444444444445E-3</v>
      </c>
      <c r="O133" s="253">
        <v>2.23</v>
      </c>
      <c r="P133" s="253">
        <v>15.8</v>
      </c>
      <c r="R133" s="252">
        <v>29</v>
      </c>
      <c r="S133" s="253">
        <v>15.1</v>
      </c>
      <c r="T133" s="254">
        <v>1.6898148148148148E-3</v>
      </c>
      <c r="U133" s="253">
        <v>1.99</v>
      </c>
      <c r="V133" s="253">
        <v>13.8</v>
      </c>
    </row>
    <row r="134" spans="12:22" ht="14.4">
      <c r="L134" s="252">
        <v>28</v>
      </c>
      <c r="M134" s="253">
        <v>14.6</v>
      </c>
      <c r="N134" s="254">
        <v>1.6435185185185185E-3</v>
      </c>
      <c r="O134" s="253">
        <v>2.21</v>
      </c>
      <c r="P134" s="253">
        <v>15.6</v>
      </c>
      <c r="R134" s="252">
        <v>28</v>
      </c>
      <c r="S134" s="253">
        <v>15.2</v>
      </c>
      <c r="T134" s="254">
        <v>1.7013888888888888E-3</v>
      </c>
      <c r="U134" s="253">
        <v>1.98</v>
      </c>
      <c r="V134" s="253">
        <v>13.6</v>
      </c>
    </row>
    <row r="135" spans="12:22" ht="14.4">
      <c r="L135" s="252">
        <v>27</v>
      </c>
      <c r="M135" s="253">
        <v>14.65</v>
      </c>
      <c r="N135" s="254">
        <v>1.6550925925925926E-3</v>
      </c>
      <c r="O135" s="253">
        <v>2.19</v>
      </c>
      <c r="P135" s="253">
        <v>15.4</v>
      </c>
      <c r="R135" s="252">
        <v>27</v>
      </c>
      <c r="S135" s="253">
        <v>15.3</v>
      </c>
      <c r="T135" s="254">
        <v>1.712962962962963E-3</v>
      </c>
      <c r="U135" s="253">
        <v>1.97</v>
      </c>
      <c r="V135" s="253">
        <v>13.4</v>
      </c>
    </row>
    <row r="136" spans="12:22" ht="14.4">
      <c r="L136" s="252">
        <v>26</v>
      </c>
      <c r="M136" s="253">
        <v>14.7</v>
      </c>
      <c r="N136" s="254">
        <v>1.6666666666666668E-3</v>
      </c>
      <c r="O136" s="253">
        <v>2.17</v>
      </c>
      <c r="P136" s="253">
        <v>15.2</v>
      </c>
      <c r="R136" s="252">
        <v>26</v>
      </c>
      <c r="S136" s="253">
        <v>15.4</v>
      </c>
      <c r="T136" s="254">
        <v>1.724537037037037E-3</v>
      </c>
      <c r="U136" s="253">
        <v>1.96</v>
      </c>
      <c r="V136" s="253">
        <v>13.2</v>
      </c>
    </row>
    <row r="137" spans="12:22" ht="14.4">
      <c r="L137" s="252">
        <v>25</v>
      </c>
      <c r="M137" s="253">
        <v>14.75</v>
      </c>
      <c r="N137" s="254">
        <v>1.6782407407407408E-3</v>
      </c>
      <c r="O137" s="253">
        <v>2.15</v>
      </c>
      <c r="P137" s="253">
        <v>15</v>
      </c>
      <c r="R137" s="252">
        <v>25</v>
      </c>
      <c r="S137" s="253">
        <v>15.5</v>
      </c>
      <c r="T137" s="254">
        <v>1.736111111111111E-3</v>
      </c>
      <c r="U137" s="253">
        <v>1.95</v>
      </c>
      <c r="V137" s="253">
        <v>13</v>
      </c>
    </row>
    <row r="138" spans="12:22" ht="14.4">
      <c r="L138" s="252">
        <v>24</v>
      </c>
      <c r="M138" s="253">
        <v>14.8</v>
      </c>
      <c r="N138" s="254">
        <v>1.6898148148148148E-3</v>
      </c>
      <c r="O138" s="253">
        <v>2.12</v>
      </c>
      <c r="P138" s="253">
        <v>14.8</v>
      </c>
      <c r="R138" s="252">
        <v>24</v>
      </c>
      <c r="S138" s="253">
        <v>15.6</v>
      </c>
      <c r="T138" s="254">
        <v>1.7476851851851852E-3</v>
      </c>
      <c r="U138" s="253">
        <v>1.94</v>
      </c>
      <c r="V138" s="253">
        <v>12.8</v>
      </c>
    </row>
    <row r="139" spans="12:22" ht="14.4">
      <c r="L139" s="252">
        <v>23</v>
      </c>
      <c r="M139" s="253">
        <v>14.85</v>
      </c>
      <c r="N139" s="254">
        <v>1.7013888888888888E-3</v>
      </c>
      <c r="O139" s="253">
        <v>2.09</v>
      </c>
      <c r="P139" s="253">
        <v>14.6</v>
      </c>
      <c r="R139" s="252">
        <v>23</v>
      </c>
      <c r="S139" s="253">
        <v>15.7</v>
      </c>
      <c r="T139" s="254">
        <v>1.7592592592592592E-3</v>
      </c>
      <c r="U139" s="253">
        <v>1.93</v>
      </c>
      <c r="V139" s="253">
        <v>12.6</v>
      </c>
    </row>
    <row r="140" spans="12:22" ht="14.4">
      <c r="L140" s="252">
        <v>22</v>
      </c>
      <c r="M140" s="253">
        <v>14.9</v>
      </c>
      <c r="N140" s="254">
        <v>1.712962962962963E-3</v>
      </c>
      <c r="O140" s="253">
        <v>2.06</v>
      </c>
      <c r="P140" s="253">
        <v>14.4</v>
      </c>
      <c r="R140" s="252">
        <v>22</v>
      </c>
      <c r="S140" s="253">
        <v>15.8</v>
      </c>
      <c r="T140" s="254">
        <v>1.7708333333333332E-3</v>
      </c>
      <c r="U140" s="253">
        <v>1.92</v>
      </c>
      <c r="V140" s="253">
        <v>12.4</v>
      </c>
    </row>
    <row r="141" spans="12:22" ht="14.4">
      <c r="L141" s="252">
        <v>21</v>
      </c>
      <c r="M141" s="253">
        <v>14.95</v>
      </c>
      <c r="N141" s="254">
        <v>1.724537037037037E-3</v>
      </c>
      <c r="O141" s="253">
        <v>2.0299999999999998</v>
      </c>
      <c r="P141" s="253">
        <v>14.2</v>
      </c>
      <c r="R141" s="252">
        <v>21</v>
      </c>
      <c r="S141" s="253">
        <v>15.9</v>
      </c>
      <c r="T141" s="254">
        <v>1.7824074074074075E-3</v>
      </c>
      <c r="U141" s="253">
        <v>1.91</v>
      </c>
      <c r="V141" s="253">
        <v>12.2</v>
      </c>
    </row>
    <row r="142" spans="12:22" ht="14.4">
      <c r="L142" s="252">
        <v>20</v>
      </c>
      <c r="M142" s="253">
        <v>15</v>
      </c>
      <c r="N142" s="254">
        <v>1.736111111111111E-3</v>
      </c>
      <c r="O142" s="253">
        <v>2</v>
      </c>
      <c r="P142" s="253">
        <v>14</v>
      </c>
      <c r="R142" s="252">
        <v>20</v>
      </c>
      <c r="S142" s="253">
        <v>16</v>
      </c>
      <c r="T142" s="254">
        <v>1.7939814814814815E-3</v>
      </c>
      <c r="U142" s="253">
        <v>1.9</v>
      </c>
      <c r="V142" s="253">
        <v>12</v>
      </c>
    </row>
    <row r="143" spans="12:22" ht="14.4">
      <c r="L143" s="252">
        <v>19</v>
      </c>
      <c r="M143" s="253">
        <v>15.05</v>
      </c>
      <c r="N143" s="254">
        <v>1.7708333333333332E-3</v>
      </c>
      <c r="O143" s="253">
        <v>1.97</v>
      </c>
      <c r="P143" s="253">
        <v>13.5</v>
      </c>
      <c r="R143" s="252">
        <v>19</v>
      </c>
      <c r="S143" s="253">
        <v>16.05</v>
      </c>
      <c r="T143" s="254">
        <v>1.8287037037037037E-3</v>
      </c>
      <c r="U143" s="253">
        <v>1.87</v>
      </c>
      <c r="V143" s="253">
        <v>11.5</v>
      </c>
    </row>
    <row r="144" spans="12:22" ht="14.4">
      <c r="L144" s="252">
        <v>18</v>
      </c>
      <c r="M144" s="253">
        <v>15.1</v>
      </c>
      <c r="N144" s="254">
        <v>1.8055555555555555E-3</v>
      </c>
      <c r="O144" s="253">
        <v>1.94</v>
      </c>
      <c r="P144" s="253">
        <v>13</v>
      </c>
      <c r="R144" s="252">
        <v>18</v>
      </c>
      <c r="S144" s="253">
        <v>16.100000000000001</v>
      </c>
      <c r="T144" s="254">
        <v>1.8634259259259259E-3</v>
      </c>
      <c r="U144" s="253">
        <v>1.84</v>
      </c>
      <c r="V144" s="253">
        <v>11</v>
      </c>
    </row>
    <row r="145" spans="12:22" ht="14.4">
      <c r="L145" s="252">
        <v>17</v>
      </c>
      <c r="M145" s="253">
        <v>15.15</v>
      </c>
      <c r="N145" s="254">
        <v>1.8402777777777777E-3</v>
      </c>
      <c r="O145" s="253">
        <v>1.91</v>
      </c>
      <c r="P145" s="253">
        <v>12.5</v>
      </c>
      <c r="R145" s="252">
        <v>17</v>
      </c>
      <c r="S145" s="253">
        <v>16.149999999999999</v>
      </c>
      <c r="T145" s="254">
        <v>1.8981481481481482E-3</v>
      </c>
      <c r="U145" s="253">
        <v>1.81</v>
      </c>
      <c r="V145" s="253">
        <v>10.5</v>
      </c>
    </row>
    <row r="146" spans="12:22" ht="14.4">
      <c r="L146" s="252">
        <v>16</v>
      </c>
      <c r="M146" s="253">
        <v>15.2</v>
      </c>
      <c r="N146" s="254">
        <v>1.8749999999999999E-3</v>
      </c>
      <c r="O146" s="253">
        <v>1.88</v>
      </c>
      <c r="P146" s="253">
        <v>12</v>
      </c>
      <c r="R146" s="252">
        <v>16</v>
      </c>
      <c r="S146" s="253">
        <v>16.2</v>
      </c>
      <c r="T146" s="254">
        <v>1.9328703703703704E-3</v>
      </c>
      <c r="U146" s="253">
        <v>1.78</v>
      </c>
      <c r="V146" s="253">
        <v>10</v>
      </c>
    </row>
    <row r="147" spans="12:22" ht="14.4">
      <c r="L147" s="252">
        <v>15</v>
      </c>
      <c r="M147" s="253">
        <v>15.25</v>
      </c>
      <c r="N147" s="254">
        <v>1.9097222222222222E-3</v>
      </c>
      <c r="O147" s="253">
        <v>1.85</v>
      </c>
      <c r="P147" s="253">
        <v>11.5</v>
      </c>
      <c r="R147" s="252">
        <v>15</v>
      </c>
      <c r="S147" s="253">
        <v>16.25</v>
      </c>
      <c r="T147" s="254">
        <v>1.9675925925925924E-3</v>
      </c>
      <c r="U147" s="253">
        <v>1.75</v>
      </c>
      <c r="V147" s="253">
        <v>9.5</v>
      </c>
    </row>
    <row r="148" spans="12:22" ht="14.4">
      <c r="L148" s="252">
        <v>14</v>
      </c>
      <c r="M148" s="253">
        <v>15.3</v>
      </c>
      <c r="N148" s="254">
        <v>1.9444444444444444E-3</v>
      </c>
      <c r="O148" s="253">
        <v>1.82</v>
      </c>
      <c r="P148" s="253">
        <v>11</v>
      </c>
      <c r="R148" s="252">
        <v>14</v>
      </c>
      <c r="S148" s="253">
        <v>16.3</v>
      </c>
      <c r="T148" s="254">
        <v>2.0023148148148148E-3</v>
      </c>
      <c r="U148" s="253">
        <v>1.72</v>
      </c>
      <c r="V148" s="253">
        <v>9</v>
      </c>
    </row>
    <row r="149" spans="12:22" ht="14.4">
      <c r="L149" s="252">
        <v>13</v>
      </c>
      <c r="M149" s="253">
        <v>15.35</v>
      </c>
      <c r="N149" s="254">
        <v>1.9791666666666668E-3</v>
      </c>
      <c r="O149" s="253">
        <v>1.79</v>
      </c>
      <c r="P149" s="253">
        <v>10.5</v>
      </c>
      <c r="R149" s="252">
        <v>13</v>
      </c>
      <c r="S149" s="253">
        <v>16.350000000000001</v>
      </c>
      <c r="T149" s="254">
        <v>2.0370370370370369E-3</v>
      </c>
      <c r="U149" s="253">
        <v>1.69</v>
      </c>
      <c r="V149" s="253">
        <v>8.5</v>
      </c>
    </row>
    <row r="150" spans="12:22" ht="14.4">
      <c r="L150" s="252">
        <v>12</v>
      </c>
      <c r="M150" s="253">
        <v>15.4</v>
      </c>
      <c r="N150" s="254">
        <v>2.0138888888888888E-3</v>
      </c>
      <c r="O150" s="253">
        <v>1.76</v>
      </c>
      <c r="P150" s="253">
        <v>10</v>
      </c>
      <c r="R150" s="252">
        <v>12</v>
      </c>
      <c r="S150" s="253">
        <v>16.399999999999999</v>
      </c>
      <c r="T150" s="254">
        <v>2.0717592592592593E-3</v>
      </c>
      <c r="U150" s="253">
        <v>1.66</v>
      </c>
      <c r="V150" s="253">
        <v>8</v>
      </c>
    </row>
    <row r="151" spans="12:22" ht="14.4">
      <c r="L151" s="252">
        <v>11</v>
      </c>
      <c r="M151" s="253">
        <v>15.45</v>
      </c>
      <c r="N151" s="254">
        <v>2.0486111111111113E-3</v>
      </c>
      <c r="O151" s="253">
        <v>1.73</v>
      </c>
      <c r="P151" s="253">
        <v>9.5</v>
      </c>
      <c r="R151" s="252">
        <v>11</v>
      </c>
      <c r="S151" s="253">
        <v>16.45</v>
      </c>
      <c r="T151" s="254">
        <v>2.1064814814814813E-3</v>
      </c>
      <c r="U151" s="253">
        <v>1.63</v>
      </c>
      <c r="V151" s="253">
        <v>7.5</v>
      </c>
    </row>
    <row r="152" spans="12:22" ht="14.4">
      <c r="L152" s="252">
        <v>10</v>
      </c>
      <c r="M152" s="253">
        <v>15.5</v>
      </c>
      <c r="N152" s="254">
        <v>2.0833333333333333E-3</v>
      </c>
      <c r="O152" s="253">
        <v>1.7</v>
      </c>
      <c r="P152" s="253">
        <v>9</v>
      </c>
      <c r="R152" s="252">
        <v>10</v>
      </c>
      <c r="S152" s="253">
        <v>16.5</v>
      </c>
      <c r="T152" s="254">
        <v>2.1412037037037038E-3</v>
      </c>
      <c r="U152" s="253">
        <v>1.6</v>
      </c>
      <c r="V152" s="253">
        <v>7</v>
      </c>
    </row>
    <row r="153" spans="12:22" ht="14.4">
      <c r="L153" s="252">
        <v>9</v>
      </c>
      <c r="M153" s="253">
        <v>16</v>
      </c>
      <c r="N153" s="254">
        <v>2.1412037037037038E-3</v>
      </c>
      <c r="O153" s="253">
        <v>1.65</v>
      </c>
      <c r="P153" s="253">
        <v>8.25</v>
      </c>
      <c r="R153" s="252">
        <v>9</v>
      </c>
      <c r="S153" s="253">
        <v>17</v>
      </c>
      <c r="T153" s="254">
        <v>2.1990740740740742E-3</v>
      </c>
      <c r="U153" s="253">
        <v>1.5</v>
      </c>
      <c r="V153" s="253">
        <v>6.5</v>
      </c>
    </row>
    <row r="154" spans="12:22" ht="14.4">
      <c r="L154" s="252">
        <v>8</v>
      </c>
      <c r="M154" s="253">
        <v>17</v>
      </c>
      <c r="N154" s="254">
        <v>2.1990740740740742E-3</v>
      </c>
      <c r="O154" s="253">
        <v>1.6</v>
      </c>
      <c r="P154" s="253">
        <v>7.5</v>
      </c>
      <c r="R154" s="252">
        <v>8</v>
      </c>
      <c r="S154" s="253">
        <v>18</v>
      </c>
      <c r="T154" s="254">
        <v>2.2569444444444442E-3</v>
      </c>
      <c r="U154" s="253">
        <v>1.45</v>
      </c>
      <c r="V154" s="253">
        <v>6</v>
      </c>
    </row>
    <row r="155" spans="12:22" ht="14.4">
      <c r="L155" s="252">
        <v>7</v>
      </c>
      <c r="M155" s="253">
        <v>18</v>
      </c>
      <c r="N155" s="254">
        <v>2.2569444444444442E-3</v>
      </c>
      <c r="O155" s="253">
        <v>1.55</v>
      </c>
      <c r="P155" s="253">
        <v>6.75</v>
      </c>
      <c r="R155" s="252">
        <v>7</v>
      </c>
      <c r="S155" s="253">
        <v>19</v>
      </c>
      <c r="T155" s="254">
        <v>2.3148148148148147E-3</v>
      </c>
      <c r="U155" s="253">
        <v>1.4</v>
      </c>
      <c r="V155" s="253">
        <v>5.25</v>
      </c>
    </row>
    <row r="156" spans="12:22" ht="14.4">
      <c r="L156" s="252">
        <v>6</v>
      </c>
      <c r="M156" s="253">
        <v>19</v>
      </c>
      <c r="N156" s="254">
        <v>2.3148148148148147E-3</v>
      </c>
      <c r="O156" s="253">
        <v>1.5</v>
      </c>
      <c r="P156" s="253">
        <v>6</v>
      </c>
      <c r="R156" s="252">
        <v>6</v>
      </c>
      <c r="S156" s="253">
        <v>20</v>
      </c>
      <c r="T156" s="254">
        <v>2.3726851851851851E-3</v>
      </c>
      <c r="U156" s="253">
        <v>1.35</v>
      </c>
      <c r="V156" s="253">
        <v>4.5</v>
      </c>
    </row>
    <row r="157" spans="12:22" ht="14.4">
      <c r="L157" s="252">
        <v>5</v>
      </c>
      <c r="M157" s="253">
        <v>20</v>
      </c>
      <c r="N157" s="254">
        <v>2.3726851851851851E-3</v>
      </c>
      <c r="O157" s="253">
        <v>1.45</v>
      </c>
      <c r="P157" s="253">
        <v>5.25</v>
      </c>
      <c r="R157" s="252">
        <v>5</v>
      </c>
      <c r="S157" s="253">
        <v>21</v>
      </c>
      <c r="T157" s="254">
        <v>2.4305555555555556E-3</v>
      </c>
      <c r="U157" s="253">
        <v>1.3</v>
      </c>
      <c r="V157" s="253">
        <v>3.75</v>
      </c>
    </row>
    <row r="158" spans="12:22" ht="14.4">
      <c r="L158" s="252">
        <v>4</v>
      </c>
      <c r="M158" s="253">
        <v>21</v>
      </c>
      <c r="N158" s="254">
        <v>2.4305555555555556E-3</v>
      </c>
      <c r="O158" s="253">
        <v>1.4</v>
      </c>
      <c r="P158" s="253">
        <v>4.5</v>
      </c>
      <c r="R158" s="252">
        <v>4</v>
      </c>
      <c r="S158" s="253">
        <v>22</v>
      </c>
      <c r="T158" s="254">
        <v>2.488425925925926E-3</v>
      </c>
      <c r="U158" s="253">
        <v>1.25</v>
      </c>
      <c r="V158" s="253">
        <v>3</v>
      </c>
    </row>
    <row r="159" spans="12:22" ht="14.4">
      <c r="L159" s="252">
        <v>3</v>
      </c>
      <c r="M159" s="253">
        <v>22</v>
      </c>
      <c r="N159" s="254">
        <v>2.488425925925926E-3</v>
      </c>
      <c r="O159" s="253">
        <v>1.35</v>
      </c>
      <c r="P159" s="253">
        <v>3.75</v>
      </c>
      <c r="R159" s="252">
        <v>3</v>
      </c>
      <c r="S159" s="253">
        <v>23</v>
      </c>
      <c r="T159" s="254">
        <v>2.5462962962962965E-3</v>
      </c>
      <c r="U159" s="253">
        <v>1.2</v>
      </c>
      <c r="V159" s="253">
        <v>2.25</v>
      </c>
    </row>
    <row r="160" spans="12:22" ht="14.4">
      <c r="L160" s="252">
        <v>2</v>
      </c>
      <c r="M160" s="253">
        <v>23</v>
      </c>
      <c r="N160" s="254">
        <v>2.5462962962962965E-3</v>
      </c>
      <c r="O160" s="253">
        <v>1.3</v>
      </c>
      <c r="P160" s="253">
        <v>3</v>
      </c>
      <c r="R160" s="252">
        <v>2</v>
      </c>
      <c r="S160" s="253">
        <v>24</v>
      </c>
      <c r="T160" s="254">
        <v>2.6041666666666665E-3</v>
      </c>
      <c r="U160" s="253">
        <v>1.1499999999999999</v>
      </c>
      <c r="V160" s="253">
        <v>1.5</v>
      </c>
    </row>
    <row r="161" spans="12:22" ht="14.4">
      <c r="L161" s="252">
        <v>1</v>
      </c>
      <c r="M161" s="253">
        <v>24</v>
      </c>
      <c r="N161" s="254">
        <v>2.7777777777777779E-3</v>
      </c>
      <c r="O161" s="253">
        <v>1</v>
      </c>
      <c r="P161" s="253">
        <v>1</v>
      </c>
      <c r="R161" s="252">
        <v>1</v>
      </c>
      <c r="S161" s="253">
        <v>25</v>
      </c>
      <c r="T161" s="254">
        <v>2.7777777777777779E-3</v>
      </c>
      <c r="U161" s="253">
        <v>1</v>
      </c>
      <c r="V161" s="253">
        <v>1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CD3F4-1B5B-CE41-A0DC-87DE99CFC523}">
  <sheetPr codeName="Sheet1">
    <tabColor theme="0" tint="-0.249977111117893"/>
    <pageSetUpPr fitToPage="1"/>
  </sheetPr>
  <dimension ref="A2:J27"/>
  <sheetViews>
    <sheetView zoomScale="120" zoomScaleNormal="120" workbookViewId="0">
      <selection activeCell="H21" sqref="H21"/>
    </sheetView>
  </sheetViews>
  <sheetFormatPr defaultColWidth="10.77734375" defaultRowHeight="13.2"/>
  <cols>
    <col min="1" max="1" width="18.77734375" customWidth="1"/>
    <col min="2" max="2" width="8.6640625" customWidth="1"/>
    <col min="3" max="3" width="7" customWidth="1"/>
    <col min="4" max="4" width="17.44140625" customWidth="1"/>
    <col min="5" max="5" width="13.33203125" bestFit="1" customWidth="1"/>
    <col min="6" max="6" width="9.109375" customWidth="1"/>
    <col min="7" max="7" width="18.77734375" customWidth="1"/>
    <col min="9" max="9" width="72.6640625" customWidth="1"/>
    <col min="10" max="10" width="18" customWidth="1"/>
  </cols>
  <sheetData>
    <row r="2" spans="1:10">
      <c r="A2" s="64" t="s">
        <v>75</v>
      </c>
      <c r="B2" s="64"/>
      <c r="C2" s="64"/>
      <c r="D2" s="64" t="s">
        <v>175</v>
      </c>
      <c r="E2" s="64" t="s">
        <v>176</v>
      </c>
      <c r="J2" s="1"/>
    </row>
    <row r="3" spans="1:10">
      <c r="A3" s="63" t="str">
        <f>'Read Me First'!C11</f>
        <v>Camberley &amp; District AC</v>
      </c>
      <c r="B3" s="525" cm="1">
        <f t="array" ref="B3">SUM(_xlfn._xlws.FILTER(D$3:D$20,A$3:A$20=A3))</f>
        <v>16</v>
      </c>
      <c r="C3" s="17" t="s">
        <v>134</v>
      </c>
      <c r="D3" s="63" cm="1">
        <f t="array" ref="D3">IFERROR(ROWS(_xlfn._xlws.FILTER(Declarations!C$6:C$25,(Declarations!E$6:E$25=C3)*(Declarations!C$6:C$25&lt;&gt;""))), 0)</f>
        <v>8</v>
      </c>
      <c r="E3" s="72" t="s">
        <v>177</v>
      </c>
      <c r="F3" s="73" t="str" cm="1">
        <f t="array" ref="F3">IFERROR(_xlfn.TEXTJOIN(",",TRUE,_xlfn._xlws.FILTER(Declarations!$B$6:$B$193,(Declarations!$F$6:$F$193&amp;Declarations!$E$6:$E$193=A3&amp;C3)*(NOT(ISBLANK(Declarations!$C$6:$C$193))))), "")</f>
        <v>1,2,3,4,5,6,7,8</v>
      </c>
      <c r="G3" s="17" t="s">
        <v>178</v>
      </c>
      <c r="H3" s="17" t="s">
        <v>106</v>
      </c>
      <c r="I3" s="17" t="s">
        <v>179</v>
      </c>
    </row>
    <row r="4" spans="1:10">
      <c r="A4" s="63" t="str">
        <f>'Read Me First'!C11</f>
        <v>Camberley &amp; District AC</v>
      </c>
      <c r="B4" s="526"/>
      <c r="C4" s="17" t="s">
        <v>133</v>
      </c>
      <c r="D4" s="63" cm="1">
        <f t="array" ref="D4">IFERROR(ROWS(_xlfn._xlws.FILTER(Declarations!C$6:C$25,(Declarations!E$6:E$25=C4)*(Declarations!C$6:C$25&lt;&gt;""))), 0)</f>
        <v>8</v>
      </c>
      <c r="E4" s="72" t="s">
        <v>180</v>
      </c>
      <c r="F4" s="73" t="str" cm="1">
        <f t="array" ref="F4">IFERROR(_xlfn.TEXTJOIN(",",TRUE,_xlfn._xlws.FILTER(Declarations!$B$6:$B$193,(Declarations!$F$6:$F$193&amp;Declarations!$E$6:$E$193=A4&amp;C4)*(NOT(ISBLANK(Declarations!$C$6:$C$193))))), "")</f>
        <v>11,12,13,14,15,16,17,18</v>
      </c>
      <c r="G4" s="73"/>
      <c r="H4" s="73"/>
      <c r="I4" s="73"/>
    </row>
    <row r="5" spans="1:10">
      <c r="A5" s="63" t="str">
        <f>'Read Me First'!C12</f>
        <v>Woking AC</v>
      </c>
      <c r="B5" s="525" cm="1">
        <f t="array" ref="B5">SUM(_xlfn._xlws.FILTER(D$3:D$20,A$3:A$20=A5))</f>
        <v>19</v>
      </c>
      <c r="C5" s="17" t="s">
        <v>134</v>
      </c>
      <c r="D5" s="63" cm="1">
        <f t="array" ref="D5">IFERROR(ROWS(_xlfn._xlws.FILTER(Declarations!C$26:C$45,(Declarations!E$26:E$45=C5)*(Declarations!C$26:C$45&lt;&gt;""))), 0)</f>
        <v>9</v>
      </c>
      <c r="E5" s="72" t="s">
        <v>177</v>
      </c>
      <c r="F5" s="73" t="str" cm="1">
        <f t="array" ref="F5">IFERROR(_xlfn.TEXTJOIN(",",TRUE,_xlfn._xlws.FILTER(Declarations!$B$6:$B$193,(Declarations!$F$6:$F$193&amp;Declarations!$E$6:$E$193=A5&amp;C5)*(NOT(ISBLANK(Declarations!$C$6:$C$193))))), "")</f>
        <v>21,22,23,24,25,26,27,28,29</v>
      </c>
    </row>
    <row r="6" spans="1:10">
      <c r="A6" s="63" t="str">
        <f>'Read Me First'!C12</f>
        <v>Woking AC</v>
      </c>
      <c r="B6" s="526"/>
      <c r="C6" s="17" t="s">
        <v>133</v>
      </c>
      <c r="D6" s="63" cm="1">
        <f t="array" ref="D6">IFERROR(ROWS(_xlfn._xlws.FILTER(Declarations!C$26:C$45,(Declarations!E$26:E$45=C6)*(Declarations!C$26:C$45&lt;&gt;""))), 0)</f>
        <v>10</v>
      </c>
      <c r="E6" s="72" t="s">
        <v>180</v>
      </c>
      <c r="F6" s="73" t="str" cm="1">
        <f t="array" ref="F6">IFERROR(_xlfn.TEXTJOIN(",",TRUE,_xlfn._xlws.FILTER(Declarations!$B$6:$B$193,(Declarations!$F$6:$F$193&amp;Declarations!$E$6:$E$193=A6&amp;C6)*(NOT(ISBLANK(Declarations!$C$6:$C$193))))), "")</f>
        <v>31,32,33,34,35,36,37,38,39,40</v>
      </c>
      <c r="G6" s="17" t="s">
        <v>180</v>
      </c>
      <c r="H6" s="63" cm="1">
        <f t="array" ref="H6">IFERROR(SUM(_xlfn._xlws.FILTER(D$3:D$20,E$3:E$20=G6)),0)</f>
        <v>26</v>
      </c>
      <c r="I6" s="63" t="str" cm="1">
        <f t="array" ref="I6">IFERROR(_xlfn.TEXTJOIN(", ",TRUE,_xlfn._xlws.FILTER($A$3:$A$20&amp;" "&amp;$C$3:$C$20,$E$3:$E$20=$G6)),"")</f>
        <v>Camberley &amp; District AC Boys, Woking AC Boys, Poole Runners Boys</v>
      </c>
    </row>
    <row r="7" spans="1:10">
      <c r="A7" s="63" t="str">
        <f>'Read Me First'!C13</f>
        <v>Poole Runners</v>
      </c>
      <c r="B7" s="525" cm="1">
        <f t="array" ref="B7">SUM(_xlfn._xlws.FILTER(D$3:D$20,A$3:A$20=A7))</f>
        <v>18</v>
      </c>
      <c r="C7" s="17" t="s">
        <v>134</v>
      </c>
      <c r="D7" s="63" cm="1">
        <f t="array" ref="D7">IFERROR(ROWS(_xlfn._xlws.FILTER(Declarations!C$46:C$65,(Declarations!E$46:E$65=C7)*(Declarations!C$46:C$65&lt;&gt;""))), 0)</f>
        <v>10</v>
      </c>
      <c r="E7" s="72" t="s">
        <v>177</v>
      </c>
      <c r="F7" s="73" t="str" cm="1">
        <f t="array" ref="F7">IFERROR(_xlfn.TEXTJOIN(",",TRUE,_xlfn._xlws.FILTER(Declarations!$B$6:$B$193,(Declarations!$F$6:$F$193&amp;Declarations!$E$6:$E$193=A7&amp;C7)*(NOT(ISBLANK(Declarations!$C$6:$C$193))))), "")</f>
        <v>41,42,43,44,45,46,47,48,49,50</v>
      </c>
      <c r="G7" s="291" t="s">
        <v>181</v>
      </c>
      <c r="H7" s="292" cm="1">
        <f t="array" ref="H7">IFERROR(SUM(_xlfn._xlws.FILTER(D$3:D$20,E$3:E$20=G7)),0)</f>
        <v>23</v>
      </c>
      <c r="I7" s="292" t="str" cm="1">
        <f t="array" ref="I7">IFERROR(_xlfn.TEXTJOIN(", ",TRUE,_xlfn._xlws.FILTER($A$3:$A$20&amp;" "&amp;$C$3:$C$20,$E$3:$E$20=$G7)),"")</f>
        <v>Fleet &amp; Crookham AC Boys, Waverley Athletics Club Boys, Basingstoke &amp; Mid Hants AC Boys</v>
      </c>
    </row>
    <row r="8" spans="1:10">
      <c r="A8" s="63" t="str">
        <f>'Read Me First'!C13</f>
        <v>Poole Runners</v>
      </c>
      <c r="B8" s="526"/>
      <c r="C8" s="17" t="s">
        <v>133</v>
      </c>
      <c r="D8" s="63" cm="1">
        <f t="array" ref="D8">IFERROR(ROWS(_xlfn._xlws.FILTER(Declarations!C$46:C$65,(Declarations!E$46:E$65=C8)*(Declarations!C$46:C$65&lt;&gt;""))), 0)</f>
        <v>8</v>
      </c>
      <c r="E8" s="72" t="s">
        <v>180</v>
      </c>
      <c r="F8" s="73" t="str" cm="1">
        <f t="array" ref="F8">IFERROR(_xlfn.TEXTJOIN(",",TRUE,_xlfn._xlws.FILTER(Declarations!$B$6:$B$193,(Declarations!$F$6:$F$193&amp;Declarations!$E$6:$E$193=A8&amp;C8)*(NOT(ISBLANK(Declarations!$C$6:$C$193))))), "")</f>
        <v>51,52,53,54,55,56,57,58</v>
      </c>
      <c r="G8" s="17" t="s">
        <v>182</v>
      </c>
      <c r="H8" s="63" cm="1">
        <f t="array" ref="H8">IFERROR(SUM(_xlfn._xlws.FILTER(D$3:D$20,E$3:E$20=G8)),0)</f>
        <v>0</v>
      </c>
      <c r="I8" s="63" t="str" cm="1">
        <f t="array" ref="I8">IFERROR(_xlfn.TEXTJOIN(", ",TRUE,_xlfn._xlws.FILTER($A$3:$A$20&amp;" "&amp;$C$3:$C$20,$E$3:$E$20=$G8)),"")</f>
        <v xml:space="preserve"> Boys,  Boys,  Boys</v>
      </c>
    </row>
    <row r="9" spans="1:10">
      <c r="A9" s="63" t="str">
        <f>'Read Me First'!C14</f>
        <v>Fleet &amp; Crookham AC</v>
      </c>
      <c r="B9" s="525" cm="1">
        <f t="array" ref="B9">SUM(_xlfn._xlws.FILTER(D$3:D$20,A$3:A$20=A9))</f>
        <v>16</v>
      </c>
      <c r="C9" s="17" t="s">
        <v>134</v>
      </c>
      <c r="D9" s="63" cm="1">
        <f t="array" ref="D9">IFERROR(ROWS(_xlfn._xlws.FILTER(Declarations!C$66:C$85,(Declarations!E$66:E$85=C9)*(Declarations!C$66:C$85&lt;&gt;""))), 0)</f>
        <v>10</v>
      </c>
      <c r="E9" s="72" t="s">
        <v>183</v>
      </c>
      <c r="F9" s="73" t="str" cm="1">
        <f t="array" ref="F9">IFERROR(_xlfn.TEXTJOIN(",",TRUE,_xlfn._xlws.FILTER(Declarations!$B$6:$B$193,(Declarations!$F$6:$F$193&amp;Declarations!$E$6:$E$193=A9&amp;C9)*(NOT(ISBLANK(Declarations!$C$6:$C$193))))), "")</f>
        <v>61,62,63,64,65,66,67,68,69,70</v>
      </c>
      <c r="G9" s="1"/>
      <c r="I9" t="str" cm="1">
        <f t="array" ref="I9">IFERROR(_xlfn.TEXTJOIN(", ",TRUE,_xlfn._xlws.FILTER($A$3:$A$20&amp;" "&amp;$C$3:$C$20,$E$3:$E$20=$G9)),"")</f>
        <v/>
      </c>
    </row>
    <row r="10" spans="1:10">
      <c r="A10" s="63" t="str">
        <f>'Read Me First'!C14</f>
        <v>Fleet &amp; Crookham AC</v>
      </c>
      <c r="B10" s="526"/>
      <c r="C10" s="17" t="s">
        <v>133</v>
      </c>
      <c r="D10" s="63" cm="1">
        <f t="array" ref="D10">IFERROR(ROWS(_xlfn._xlws.FILTER(Declarations!C$66:C$85,(Declarations!E$66:E$85=C10)*(Declarations!C$66:C$85&lt;&gt;""))), 0)</f>
        <v>6</v>
      </c>
      <c r="E10" s="72" t="s">
        <v>181</v>
      </c>
      <c r="F10" s="73" t="str" cm="1">
        <f t="array" ref="F10">IFERROR(_xlfn.TEXTJOIN(",",TRUE,_xlfn._xlws.FILTER(Declarations!$B$6:$B$193,(Declarations!$F$6:$F$193&amp;Declarations!$E$6:$E$193=A10&amp;C10)*(NOT(ISBLANK(Declarations!$C$6:$C$193))))), "")</f>
        <v>71,72,73,74,75,76</v>
      </c>
      <c r="G10" s="17" t="s">
        <v>177</v>
      </c>
      <c r="H10" s="63" cm="1">
        <f t="array" ref="H10">IFERROR(SUM(_xlfn._xlws.FILTER(D$3:D$20,E$3:E$20=G10)),0)</f>
        <v>27</v>
      </c>
      <c r="I10" s="63" t="str" cm="1">
        <f t="array" ref="I10">IFERROR(_xlfn.TEXTJOIN(", ",TRUE,_xlfn._xlws.FILTER($A$3:$A$20&amp;" "&amp;$C$3:$C$20,$E$3:$E$20=$G10)),"")</f>
        <v>Camberley &amp; District AC Girls, Woking AC Girls, Poole Runners Girls</v>
      </c>
    </row>
    <row r="11" spans="1:10">
      <c r="A11" s="63" t="str">
        <f>'Read Me First'!C15</f>
        <v>Waverley Athletics Club</v>
      </c>
      <c r="B11" s="525" cm="1">
        <f t="array" ref="B11">SUM(_xlfn._xlws.FILTER(D$3:D$20,A$3:A$20=A11))</f>
        <v>13</v>
      </c>
      <c r="C11" s="17" t="s">
        <v>134</v>
      </c>
      <c r="D11" s="63" cm="1">
        <f t="array" ref="D11">IFERROR(ROWS(_xlfn._xlws.FILTER(Declarations!C$86:C$105,(Declarations!E$86:E$105=C11)*(Declarations!C$86:C$105&lt;&gt;""))), 0)</f>
        <v>6</v>
      </c>
      <c r="E11" s="72" t="s">
        <v>183</v>
      </c>
      <c r="F11" s="73" t="str" cm="1">
        <f t="array" ref="F11">IFERROR(_xlfn.TEXTJOIN(",",TRUE,_xlfn._xlws.FILTER(Declarations!$B$6:$B$193,(Declarations!$F$6:$F$193&amp;Declarations!$E$6:$E$193=A11&amp;C11)*(NOT(ISBLANK(Declarations!$C$6:$C$193))))), "")</f>
        <v>81,82,83,84,85,86</v>
      </c>
      <c r="G11" s="17" t="s">
        <v>183</v>
      </c>
      <c r="H11" s="63" cm="1">
        <f t="array" ref="H11">IFERROR(SUM(_xlfn._xlws.FILTER(D$3:D$20,E$3:E$20=G11)),0)</f>
        <v>22</v>
      </c>
      <c r="I11" s="63" t="str" cm="1">
        <f t="array" ref="I11">IFERROR(_xlfn.TEXTJOIN(", ",TRUE,_xlfn._xlws.FILTER($A$3:$A$20&amp;" "&amp;$C$3:$C$20,$E$3:$E$20=$G11)),"")</f>
        <v>Fleet &amp; Crookham AC Girls, Waverley Athletics Club Girls, Basingstoke &amp; Mid Hants AC Girls</v>
      </c>
    </row>
    <row r="12" spans="1:10">
      <c r="A12" s="63" t="str">
        <f>'Read Me First'!C15</f>
        <v>Waverley Athletics Club</v>
      </c>
      <c r="B12" s="526"/>
      <c r="C12" s="17" t="s">
        <v>133</v>
      </c>
      <c r="D12" s="63" cm="1">
        <f t="array" ref="D12">IFERROR(ROWS(_xlfn._xlws.FILTER(Declarations!C$86:C$105,(Declarations!E$86:E$105=C12)*(Declarations!C$86:C$105&lt;&gt;""))), 0)</f>
        <v>7</v>
      </c>
      <c r="E12" s="72" t="s">
        <v>181</v>
      </c>
      <c r="F12" s="73" t="str" cm="1">
        <f t="array" ref="F12">IFERROR(_xlfn.TEXTJOIN(",",TRUE,_xlfn._xlws.FILTER(Declarations!$B$6:$B$193,(Declarations!$F$6:$F$193&amp;Declarations!$E$6:$E$193=A12&amp;C12)*(NOT(ISBLANK(Declarations!$C$6:$C$193))))), "")</f>
        <v>91,92,93,94,95,96,97</v>
      </c>
      <c r="G12" s="17" t="s">
        <v>184</v>
      </c>
      <c r="H12" s="63" cm="1">
        <f t="array" ref="H12">IFERROR(SUM(_xlfn._xlws.FILTER(D$3:D$20,E$3:E$20=G12)),0)</f>
        <v>0</v>
      </c>
      <c r="I12" s="63" t="str" cm="1">
        <f t="array" ref="I12">IFERROR(_xlfn.TEXTJOIN(", ",TRUE,_xlfn._xlws.FILTER($A$3:$A$20&amp;" "&amp;$C$3:$C$20,$E$3:$E$20=$G12)),"")</f>
        <v xml:space="preserve"> Girls,  Girls,  Girls</v>
      </c>
    </row>
    <row r="13" spans="1:10">
      <c r="A13" s="63" t="str">
        <f>'Read Me First'!C16</f>
        <v>Basingstoke &amp; Mid Hants AC</v>
      </c>
      <c r="B13" s="525" cm="1">
        <f t="array" ref="B13">SUM(_xlfn._xlws.FILTER(D$3:D$20,A$3:A$20=A13))</f>
        <v>16</v>
      </c>
      <c r="C13" s="17" t="s">
        <v>134</v>
      </c>
      <c r="D13" s="63" cm="1">
        <f t="array" ref="D13">IFERROR(ROWS(_xlfn._xlws.FILTER(Declarations!C$106:C$125,(Declarations!E$106:E$125=C13)*(Declarations!C$106:C$125&lt;&gt;""))), 0)</f>
        <v>6</v>
      </c>
      <c r="E13" s="72" t="s">
        <v>183</v>
      </c>
      <c r="F13" s="73" t="str" cm="1">
        <f t="array" ref="F13">IFERROR(_xlfn.TEXTJOIN(",",TRUE,_xlfn._xlws.FILTER(Declarations!$B$6:$B$193,(Declarations!$F$6:$F$193&amp;Declarations!$E$6:$E$193=A13&amp;C13)*(NOT(ISBLANK(Declarations!$C$6:$C$193))))), "")</f>
        <v>101,102,103,104,105,106</v>
      </c>
      <c r="G13" s="1"/>
    </row>
    <row r="14" spans="1:10">
      <c r="A14" s="63" t="str">
        <f>'Read Me First'!C16</f>
        <v>Basingstoke &amp; Mid Hants AC</v>
      </c>
      <c r="B14" s="526"/>
      <c r="C14" s="17" t="s">
        <v>133</v>
      </c>
      <c r="D14" s="63" cm="1">
        <f t="array" ref="D14">IFERROR(ROWS(_xlfn._xlws.FILTER(Declarations!C$106:C$125,(Declarations!E$106:E$125=C14)*(Declarations!C$106:C$125&lt;&gt;""))), 0)</f>
        <v>10</v>
      </c>
      <c r="E14" s="72" t="s">
        <v>181</v>
      </c>
      <c r="F14" s="73" t="str" cm="1">
        <f t="array" ref="F14">IFERROR(_xlfn.TEXTJOIN(",",TRUE,_xlfn._xlws.FILTER(Declarations!$B$6:$B$193,(Declarations!$F$6:$F$193&amp;Declarations!$E$6:$E$193=A14&amp;C14)*(NOT(ISBLANK(Declarations!$C$6:$C$193))))), "")</f>
        <v>111,112,113,114,115,116,117,118,119,120</v>
      </c>
      <c r="G14" s="1"/>
    </row>
    <row r="15" spans="1:10">
      <c r="A15" s="63" t="str">
        <f>'Read Me First'!C17</f>
        <v/>
      </c>
      <c r="B15" s="525" cm="1">
        <f t="array" ref="B15">SUM(_xlfn._xlws.FILTER(D$3:D$20,A$3:A$20=A15))</f>
        <v>0</v>
      </c>
      <c r="C15" s="17" t="s">
        <v>134</v>
      </c>
      <c r="D15" s="63" cm="1">
        <f t="array" ref="D15">IFERROR(ROWS(_xlfn._xlws.FILTER(Declarations!C$126:C$145,(Declarations!E$126:E$145=C15)*(Declarations!C$126:C$145&lt;&gt;""))), 0)</f>
        <v>0</v>
      </c>
      <c r="E15" s="72" t="s">
        <v>184</v>
      </c>
      <c r="F15" s="73" t="str" cm="1">
        <f t="array" ref="F15">IFERROR(_xlfn.TEXTJOIN(",",TRUE,_xlfn._xlws.FILTER(Declarations!$B$6:$B$193,(Declarations!$F$6:$F$193&amp;Declarations!$E$6:$E$193=A15&amp;C15)*(NOT(ISBLANK(Declarations!$C$6:$C$193))))), "")</f>
        <v/>
      </c>
      <c r="G15" s="1"/>
    </row>
    <row r="16" spans="1:10">
      <c r="A16" s="63" t="str">
        <f>'Read Me First'!C17</f>
        <v/>
      </c>
      <c r="B16" s="526"/>
      <c r="C16" s="17" t="s">
        <v>133</v>
      </c>
      <c r="D16" s="63" cm="1">
        <f t="array" ref="D16">IFERROR(ROWS(_xlfn._xlws.FILTER(Declarations!C$126:C$145,(Declarations!E$126:E$145=C16)*(Declarations!C$126:C$145&lt;&gt;""))), 0)</f>
        <v>0</v>
      </c>
      <c r="E16" s="72" t="s">
        <v>182</v>
      </c>
      <c r="F16" s="73" t="str" cm="1">
        <f t="array" ref="F16">IFERROR(_xlfn.TEXTJOIN(",",TRUE,_xlfn._xlws.FILTER(Declarations!$B$6:$B$193,(Declarations!$F$6:$F$193&amp;Declarations!$E$6:$E$193=A16&amp;C16)*(NOT(ISBLANK(Declarations!$C$6:$C$193))))), "")</f>
        <v/>
      </c>
    </row>
    <row r="17" spans="1:8">
      <c r="A17" s="63" t="str">
        <f>'Read Me First'!C18</f>
        <v/>
      </c>
      <c r="B17" s="525" cm="1">
        <f t="array" ref="B17">SUM(_xlfn._xlws.FILTER(D$3:D$20,A$3:A$20=A17))</f>
        <v>0</v>
      </c>
      <c r="C17" s="17" t="s">
        <v>134</v>
      </c>
      <c r="D17" s="63" cm="1">
        <f t="array" ref="D17">IFERROR(ROWS(_xlfn._xlws.FILTER(Declarations!C$146:C$165,(Declarations!E$146:E$165=C17)*(Declarations!C$146:C$165&lt;&gt;""))), 0)</f>
        <v>0</v>
      </c>
      <c r="E17" s="72" t="s">
        <v>184</v>
      </c>
      <c r="F17" s="73" t="str" cm="1">
        <f t="array" ref="F17">IFERROR(_xlfn.TEXTJOIN(",",TRUE,_xlfn._xlws.FILTER(Declarations!$B$6:$B$193,(Declarations!$F$6:$F$193&amp;Declarations!$E$6:$E$193=A17&amp;C17)*(NOT(ISBLANK(Declarations!$C$6:$C$193))))), "")</f>
        <v/>
      </c>
      <c r="G17" s="17" t="s">
        <v>185</v>
      </c>
      <c r="H17" s="63">
        <f>SUM(H6:H15)</f>
        <v>98</v>
      </c>
    </row>
    <row r="18" spans="1:8">
      <c r="A18" s="63" t="str">
        <f>'Read Me First'!C18</f>
        <v/>
      </c>
      <c r="B18" s="526"/>
      <c r="C18" s="17" t="s">
        <v>133</v>
      </c>
      <c r="D18" s="63" cm="1">
        <f t="array" ref="D18">IFERROR(ROWS(_xlfn._xlws.FILTER(Declarations!C$146:C$165,(Declarations!E$146:E$165=C18)*(Declarations!C$146:C$165&lt;&gt;""))), 0)</f>
        <v>0</v>
      </c>
      <c r="E18" s="72" t="s">
        <v>182</v>
      </c>
      <c r="F18" s="73" t="str" cm="1">
        <f t="array" ref="F18">IFERROR(_xlfn.TEXTJOIN(",",TRUE,_xlfn._xlws.FILTER(Declarations!$B$6:$B$193,(Declarations!$F$6:$F$193&amp;Declarations!$E$6:$E$193=A18&amp;C18)*(NOT(ISBLANK(Declarations!$C$6:$C$193))))), "")</f>
        <v/>
      </c>
    </row>
    <row r="19" spans="1:8">
      <c r="A19" s="63" t="str">
        <f>'Read Me First'!C19</f>
        <v/>
      </c>
      <c r="B19" s="525" cm="1">
        <f t="array" ref="B19">SUM(_xlfn._xlws.FILTER(D$3:D$20,A$3:A$20=A19))</f>
        <v>0</v>
      </c>
      <c r="C19" s="17" t="s">
        <v>134</v>
      </c>
      <c r="D19" s="63" cm="1">
        <f t="array" ref="D19">IFERROR(ROWS(_xlfn._xlws.FILTER(Declarations!C$166:C$185,(Declarations!E$166:E$185=C19)*(Declarations!C$166:C$185&lt;&gt;""))), 0)</f>
        <v>0</v>
      </c>
      <c r="E19" s="72" t="s">
        <v>184</v>
      </c>
      <c r="F19" s="73" t="str" cm="1">
        <f t="array" ref="F19">IFERROR(_xlfn.TEXTJOIN(",",TRUE,_xlfn._xlws.FILTER(Declarations!$B$6:$B$193,(Declarations!$F$6:$F$193&amp;Declarations!$E$6:$E$193=A19&amp;C19)*(NOT(ISBLANK(Declarations!$C$6:$C$193))))), "")</f>
        <v/>
      </c>
    </row>
    <row r="20" spans="1:8">
      <c r="A20" s="63" t="str">
        <f>'Read Me First'!C19</f>
        <v/>
      </c>
      <c r="B20" s="526"/>
      <c r="C20" s="17" t="s">
        <v>133</v>
      </c>
      <c r="D20" s="63" cm="1">
        <f t="array" ref="D20">IFERROR(ROWS(_xlfn._xlws.FILTER(Declarations!C$166:C$185,(Declarations!E$166:E$185=C20)*(Declarations!C$166:C$185&lt;&gt;""))), 0)</f>
        <v>0</v>
      </c>
      <c r="E20" s="72" t="s">
        <v>182</v>
      </c>
      <c r="F20" s="73" t="str" cm="1">
        <f t="array" ref="F20">IFERROR(_xlfn.TEXTJOIN(",",TRUE,_xlfn._xlws.FILTER(Declarations!$B$6:$B$193,(Declarations!$F$6:$F$193&amp;Declarations!$E$6:$E$193=A20&amp;C20)*(NOT(ISBLANK(Declarations!$C$6:$C$193))))), "")</f>
        <v/>
      </c>
    </row>
    <row r="23" spans="1:8">
      <c r="C23" s="17" t="s">
        <v>185</v>
      </c>
      <c r="D23" s="63">
        <f>SUM(D3:D20)</f>
        <v>98</v>
      </c>
    </row>
    <row r="25" spans="1:8" ht="13.05" customHeight="1"/>
    <row r="26" spans="1:8" ht="13.05" customHeight="1"/>
    <row r="27" spans="1:8" ht="13.05" customHeight="1"/>
  </sheetData>
  <sheetProtection sheet="1" objects="1" scenarios="1"/>
  <mergeCells count="9">
    <mergeCell ref="B13:B14"/>
    <mergeCell ref="B15:B16"/>
    <mergeCell ref="B17:B18"/>
    <mergeCell ref="B19:B20"/>
    <mergeCell ref="B3:B4"/>
    <mergeCell ref="B5:B6"/>
    <mergeCell ref="B7:B8"/>
    <mergeCell ref="B9:B10"/>
    <mergeCell ref="B11:B12"/>
  </mergeCells>
  <conditionalFormatting sqref="H6:H15">
    <cfRule type="cellIs" dxfId="1" priority="1" operator="greaterThan">
      <formula>30</formula>
    </cfRule>
  </conditionalFormatting>
  <pageMargins left="0.7" right="0.7" top="0.75" bottom="0.75" header="0.3" footer="0.3"/>
  <pageSetup paperSize="9" scale="6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A8CB6-BAA7-0E45-8F70-A174AA26F8A6}">
  <sheetPr>
    <tabColor theme="0" tint="-0.249977111117893"/>
    <pageSetUpPr fitToPage="1"/>
  </sheetPr>
  <dimension ref="A1:W467"/>
  <sheetViews>
    <sheetView zoomScale="70" zoomScaleNormal="70" zoomScaleSheetLayoutView="75" workbookViewId="0">
      <pane ySplit="5" topLeftCell="A103" activePane="bottomLeft" state="frozen"/>
      <selection activeCell="F147" sqref="F147"/>
      <selection pane="bottomLeft" activeCell="S108" sqref="S108"/>
    </sheetView>
  </sheetViews>
  <sheetFormatPr defaultColWidth="8.77734375" defaultRowHeight="13.2"/>
  <cols>
    <col min="1" max="1" width="13.33203125" style="9" customWidth="1"/>
    <col min="2" max="2" width="13.33203125" style="4" customWidth="1"/>
    <col min="3" max="4" width="33.33203125" style="4" customWidth="1"/>
    <col min="5" max="6" width="13.33203125" style="4" customWidth="1"/>
    <col min="7" max="7" width="13.33203125" style="5" customWidth="1"/>
    <col min="8" max="9" width="13.33203125" style="4" customWidth="1"/>
    <col min="10" max="10" width="13.33203125" style="6" customWidth="1"/>
    <col min="11" max="12" width="13.33203125" customWidth="1"/>
    <col min="13" max="13" width="13.33203125" style="15" customWidth="1"/>
    <col min="14" max="15" width="13.33203125" customWidth="1"/>
    <col min="16" max="16" width="13.33203125" style="6" customWidth="1"/>
    <col min="17" max="17" width="13.33203125" customWidth="1"/>
    <col min="18" max="22" width="13.33203125" style="4" customWidth="1"/>
    <col min="23" max="23" width="18.44140625" style="4" customWidth="1"/>
  </cols>
  <sheetData>
    <row r="1" spans="1:23" s="9" customFormat="1" ht="37.950000000000003" customHeight="1">
      <c r="A1" s="345" t="str">
        <f>'Read Me First'!A1:F1</f>
        <v>Wessex Young Athletes Track and Field League 2026</v>
      </c>
      <c r="B1" s="345"/>
      <c r="C1" s="345"/>
      <c r="D1" s="345"/>
      <c r="E1" s="345"/>
      <c r="F1" s="345"/>
      <c r="G1" s="367" t="s">
        <v>10</v>
      </c>
      <c r="H1" s="367"/>
      <c r="I1" s="367"/>
      <c r="J1" s="367"/>
      <c r="K1" s="347" t="s">
        <v>70</v>
      </c>
      <c r="L1" s="347"/>
      <c r="M1" s="347"/>
      <c r="N1" s="347"/>
      <c r="O1" s="347"/>
      <c r="P1" s="347"/>
      <c r="Q1" s="347"/>
      <c r="R1" s="347" t="s">
        <v>13</v>
      </c>
      <c r="S1" s="347"/>
      <c r="T1" s="347"/>
      <c r="U1" s="347"/>
      <c r="V1" s="347"/>
      <c r="W1" s="52"/>
    </row>
    <row r="2" spans="1:23" s="9" customFormat="1" ht="37.950000000000003" customHeight="1">
      <c r="A2" s="345" t="str">
        <f>'Read Me First'!A2:F2</f>
        <v>QuadKids</v>
      </c>
      <c r="B2" s="345"/>
      <c r="C2" s="345"/>
      <c r="D2" s="345"/>
      <c r="E2" s="345"/>
      <c r="F2" s="345"/>
      <c r="G2" s="346">
        <f>'Read Me First'!C9</f>
        <v>9</v>
      </c>
      <c r="H2" s="346"/>
      <c r="I2" s="346"/>
      <c r="J2" s="346"/>
      <c r="K2" s="347" t="str">
        <f>(VLOOKUP('Read Me First'!F4,'Read Me First'!A22:D37,4,FALSE))</f>
        <v>Camberley &amp; District AC @ Woking</v>
      </c>
      <c r="L2" s="347"/>
      <c r="M2" s="347"/>
      <c r="N2" s="347"/>
      <c r="O2" s="347"/>
      <c r="P2" s="347"/>
      <c r="Q2" s="347"/>
      <c r="R2" s="527">
        <f ca="1">IF(TEXT('Read Me First'!C10,"dd/mm/yy")=TEXT(NOW(),"dd/mm/yy"), TEXT(NOW(),"dd mmmm yyyy") &amp; " (Printed " &amp; TEXT(NOW(),"hh:mm") &amp; ")",'Read Me First'!C10)</f>
        <v>46201</v>
      </c>
      <c r="S2" s="527"/>
      <c r="T2" s="527"/>
      <c r="U2" s="527"/>
      <c r="V2" s="527"/>
      <c r="W2" s="53"/>
    </row>
    <row r="3" spans="1:23" s="4" customFormat="1" ht="10.5" customHeight="1">
      <c r="A3" s="528"/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528"/>
      <c r="S3" s="528"/>
      <c r="T3" s="528"/>
      <c r="U3" s="528"/>
      <c r="V3" s="528"/>
      <c r="W3" s="25"/>
    </row>
    <row r="4" spans="1:23" s="4" customFormat="1" ht="19.95" customHeight="1">
      <c r="A4" s="363"/>
      <c r="B4" s="363" t="s">
        <v>106</v>
      </c>
      <c r="C4" s="365" t="s">
        <v>107</v>
      </c>
      <c r="D4" s="365" t="s">
        <v>108</v>
      </c>
      <c r="E4" s="365" t="s">
        <v>14</v>
      </c>
      <c r="F4" s="371" t="s">
        <v>186</v>
      </c>
      <c r="G4" s="373" t="s">
        <v>85</v>
      </c>
      <c r="H4" s="374"/>
      <c r="I4" s="375"/>
      <c r="J4" s="373" t="s">
        <v>95</v>
      </c>
      <c r="K4" s="374"/>
      <c r="L4" s="375"/>
      <c r="M4" s="373" t="s">
        <v>110</v>
      </c>
      <c r="N4" s="374"/>
      <c r="O4" s="375"/>
      <c r="P4" s="376" t="s">
        <v>104</v>
      </c>
      <c r="Q4" s="377"/>
      <c r="R4" s="78" t="s">
        <v>81</v>
      </c>
      <c r="S4" s="529" t="s">
        <v>111</v>
      </c>
      <c r="T4" s="530"/>
      <c r="U4" s="529" t="s">
        <v>112</v>
      </c>
      <c r="V4" s="530"/>
      <c r="W4" s="54"/>
    </row>
    <row r="5" spans="1:23" s="4" customFormat="1" ht="19.95" customHeight="1" thickBot="1">
      <c r="A5" s="364"/>
      <c r="B5" s="364"/>
      <c r="C5" s="366"/>
      <c r="D5" s="366"/>
      <c r="E5" s="366"/>
      <c r="F5" s="372"/>
      <c r="G5" s="130" t="s">
        <v>113</v>
      </c>
      <c r="H5" s="131" t="s">
        <v>81</v>
      </c>
      <c r="I5" s="131" t="s">
        <v>82</v>
      </c>
      <c r="J5" s="132" t="s">
        <v>113</v>
      </c>
      <c r="K5" s="131" t="s">
        <v>81</v>
      </c>
      <c r="L5" s="131" t="s">
        <v>82</v>
      </c>
      <c r="M5" s="130" t="s">
        <v>114</v>
      </c>
      <c r="N5" s="131" t="s">
        <v>81</v>
      </c>
      <c r="O5" s="131" t="s">
        <v>82</v>
      </c>
      <c r="P5" s="130" t="s">
        <v>114</v>
      </c>
      <c r="Q5" s="131" t="s">
        <v>81</v>
      </c>
      <c r="R5" s="318" t="s">
        <v>115</v>
      </c>
      <c r="S5" s="318" t="s">
        <v>169</v>
      </c>
      <c r="T5" s="318" t="s">
        <v>116</v>
      </c>
      <c r="U5" s="318" t="s">
        <v>169</v>
      </c>
      <c r="V5" s="318" t="s">
        <v>116</v>
      </c>
      <c r="W5" s="54"/>
    </row>
    <row r="6" spans="1:23" s="4" customFormat="1" ht="19.95" customHeight="1">
      <c r="A6" s="368" t="str">
        <f>'Read Me First'!C11</f>
        <v>Camberley &amp; District AC</v>
      </c>
      <c r="B6" s="133" cm="1">
        <f t="array" ref="B6:V15">_xlfn.LET(_xlpm.x, _xlfn._xlws.SORT(_xlfn._xlws.FILTER(Data!$A$249:$U$536,(Data!$C$249:$C$536=$A6)*(Data!$D$249:$D$536=$E$4)*(Data!$E$249:$E$536="U10")),18),_xlpm.y,_xlfn._xlws.SORT(_xlfn._xlws.FILTER(Data!$A$249:$U$536,(Data!$C$249:$C$536=$A6)*(Data!$D$249:$D$536=$E$4)*(Data!$E$249:$E$536="U12")),19), IFERROR(_xlfn.VSTACK(_xlpm.x,_xlpm.y), IFERROR(_xlpm.y,IFERROR(_xlpm.x, ""))))</f>
        <v>1</v>
      </c>
      <c r="C6" s="134" t="str">
        <v>EVNI DUNUSINGHE</v>
      </c>
      <c r="D6" s="134" t="str">
        <v>Camberley &amp; District AC</v>
      </c>
      <c r="E6" s="134" t="str">
        <v>GIRLS</v>
      </c>
      <c r="F6" s="134" t="str">
        <v>U12</v>
      </c>
      <c r="G6" s="135">
        <v>11.4</v>
      </c>
      <c r="H6" s="134">
        <v>106</v>
      </c>
      <c r="I6" s="134" t="str">
        <v>PB9</v>
      </c>
      <c r="J6" s="136">
        <v>1.5162037037037036E-3</v>
      </c>
      <c r="K6" s="134">
        <v>58</v>
      </c>
      <c r="L6" s="134" t="str">
        <v>PB3</v>
      </c>
      <c r="M6" s="137">
        <v>3.42</v>
      </c>
      <c r="N6" s="134">
        <v>86</v>
      </c>
      <c r="O6" s="134" t="str">
        <v>PB7</v>
      </c>
      <c r="P6" s="137">
        <v>28.79</v>
      </c>
      <c r="Q6" s="134">
        <v>103</v>
      </c>
      <c r="R6" s="134">
        <v>353</v>
      </c>
      <c r="S6" s="134" t="str">
        <v/>
      </c>
      <c r="T6" s="134">
        <v>1</v>
      </c>
      <c r="U6" s="134" t="str">
        <v/>
      </c>
      <c r="V6" s="138">
        <v>2</v>
      </c>
      <c r="W6" s="129"/>
    </row>
    <row r="7" spans="1:23" ht="19.95" customHeight="1">
      <c r="A7" s="369"/>
      <c r="B7" s="145">
        <v>7</v>
      </c>
      <c r="C7" s="126" t="str">
        <v>LEA MIZEN</v>
      </c>
      <c r="D7" s="126" t="str">
        <v>Camberley &amp; District AC</v>
      </c>
      <c r="E7" s="126" t="str">
        <v>GIRLS</v>
      </c>
      <c r="F7" s="126" t="str">
        <v>U12</v>
      </c>
      <c r="G7" s="125">
        <v>11.1</v>
      </c>
      <c r="H7" s="126">
        <v>112</v>
      </c>
      <c r="I7" s="126" t="str">
        <v>PB9</v>
      </c>
      <c r="J7" s="127">
        <v>1.3993055555555555E-3</v>
      </c>
      <c r="K7" s="126">
        <v>78</v>
      </c>
      <c r="L7" s="126" t="str">
        <v>PB5</v>
      </c>
      <c r="M7" s="128">
        <v>3.4</v>
      </c>
      <c r="N7" s="126">
        <v>85</v>
      </c>
      <c r="O7" s="126" t="str">
        <v>PB7</v>
      </c>
      <c r="P7" s="128">
        <v>18.399999999999999</v>
      </c>
      <c r="Q7" s="126">
        <v>52</v>
      </c>
      <c r="R7" s="126">
        <v>327</v>
      </c>
      <c r="S7" s="126" t="str">
        <v/>
      </c>
      <c r="T7" s="126">
        <v>2</v>
      </c>
      <c r="U7" s="126" t="str">
        <v/>
      </c>
      <c r="V7" s="139">
        <v>6</v>
      </c>
      <c r="W7" s="25"/>
    </row>
    <row r="8" spans="1:23" ht="19.95" customHeight="1">
      <c r="A8" s="369"/>
      <c r="B8" s="145">
        <v>3</v>
      </c>
      <c r="C8" s="126" t="str">
        <v>CHARLOTTE SHEPPARD</v>
      </c>
      <c r="D8" s="126" t="str">
        <v>Camberley &amp; District AC</v>
      </c>
      <c r="E8" s="126" t="str">
        <v>GIRLS</v>
      </c>
      <c r="F8" s="126" t="str">
        <v>U12</v>
      </c>
      <c r="G8" s="125">
        <v>11</v>
      </c>
      <c r="H8" s="126">
        <v>114</v>
      </c>
      <c r="I8" s="126" t="str">
        <v>PB9</v>
      </c>
      <c r="J8" s="127">
        <v>1.431712962962963E-3</v>
      </c>
      <c r="K8" s="126">
        <v>72</v>
      </c>
      <c r="L8" s="126" t="str">
        <v>PB5</v>
      </c>
      <c r="M8" s="128">
        <v>3.37</v>
      </c>
      <c r="N8" s="126">
        <v>84</v>
      </c>
      <c r="O8" s="126" t="str">
        <v>PB7</v>
      </c>
      <c r="P8" s="128">
        <v>14.98</v>
      </c>
      <c r="Q8" s="126">
        <v>34</v>
      </c>
      <c r="R8" s="126">
        <v>304</v>
      </c>
      <c r="S8" s="126" t="str">
        <v/>
      </c>
      <c r="T8" s="126">
        <v>3</v>
      </c>
      <c r="U8" s="126" t="str">
        <v/>
      </c>
      <c r="V8" s="139">
        <v>11</v>
      </c>
      <c r="W8" s="25"/>
    </row>
    <row r="9" spans="1:23" ht="19.95" customHeight="1">
      <c r="A9" s="369"/>
      <c r="B9" s="145">
        <v>6</v>
      </c>
      <c r="C9" s="126" t="str">
        <v>RUBY WILLIAMS</v>
      </c>
      <c r="D9" s="126" t="str">
        <v>Camberley &amp; District AC</v>
      </c>
      <c r="E9" s="126" t="str">
        <v>GIRLS</v>
      </c>
      <c r="F9" s="126" t="str">
        <v>U12</v>
      </c>
      <c r="G9" s="125">
        <v>12.6</v>
      </c>
      <c r="H9" s="126">
        <v>78</v>
      </c>
      <c r="I9" s="126" t="str">
        <v>PB6</v>
      </c>
      <c r="J9" s="127">
        <v>1.5081018518518521E-3</v>
      </c>
      <c r="K9" s="126">
        <v>59</v>
      </c>
      <c r="L9" s="126" t="str">
        <v>PB3</v>
      </c>
      <c r="M9" s="128">
        <v>3.16</v>
      </c>
      <c r="N9" s="126">
        <v>75</v>
      </c>
      <c r="O9" s="126" t="str">
        <v>PB6</v>
      </c>
      <c r="P9" s="128">
        <v>21.37</v>
      </c>
      <c r="Q9" s="126">
        <v>66</v>
      </c>
      <c r="R9" s="126">
        <v>278</v>
      </c>
      <c r="S9" s="126" t="str">
        <v/>
      </c>
      <c r="T9" s="126">
        <v>4</v>
      </c>
      <c r="U9" s="126" t="str">
        <v/>
      </c>
      <c r="V9" s="139">
        <v>15</v>
      </c>
      <c r="W9" s="25"/>
    </row>
    <row r="10" spans="1:23" ht="19.95" customHeight="1">
      <c r="A10" s="369"/>
      <c r="B10" s="145">
        <v>5</v>
      </c>
      <c r="C10" s="126" t="str">
        <v>EMILIA-MAE O'DWYER</v>
      </c>
      <c r="D10" s="126" t="str">
        <v>Camberley &amp; District AC</v>
      </c>
      <c r="E10" s="126" t="str">
        <v>GIRLS</v>
      </c>
      <c r="F10" s="126" t="str">
        <v>U12</v>
      </c>
      <c r="G10" s="125">
        <v>11.8</v>
      </c>
      <c r="H10" s="126">
        <v>97</v>
      </c>
      <c r="I10" s="126" t="str">
        <v>PB8</v>
      </c>
      <c r="J10" s="127">
        <v>1.5520833333333333E-3</v>
      </c>
      <c r="K10" s="126">
        <v>51</v>
      </c>
      <c r="L10" s="126" t="str">
        <v>PB3</v>
      </c>
      <c r="M10" s="128">
        <v>3.49</v>
      </c>
      <c r="N10" s="126">
        <v>89</v>
      </c>
      <c r="O10" s="126" t="str">
        <v>PB7</v>
      </c>
      <c r="P10" s="128">
        <v>15.49</v>
      </c>
      <c r="Q10" s="126">
        <v>37</v>
      </c>
      <c r="R10" s="126">
        <v>274</v>
      </c>
      <c r="S10" s="126" t="str">
        <v/>
      </c>
      <c r="T10" s="126">
        <v>5</v>
      </c>
      <c r="U10" s="126" t="str">
        <v/>
      </c>
      <c r="V10" s="139">
        <v>16</v>
      </c>
      <c r="W10" s="25"/>
    </row>
    <row r="11" spans="1:23" ht="19.95" customHeight="1">
      <c r="A11" s="369"/>
      <c r="B11" s="145">
        <v>2</v>
      </c>
      <c r="C11" s="126" t="str">
        <v>POPPY READ</v>
      </c>
      <c r="D11" s="126" t="str">
        <v>Camberley &amp; District AC</v>
      </c>
      <c r="E11" s="126" t="str">
        <v>GIRLS</v>
      </c>
      <c r="F11" s="126" t="str">
        <v>U12</v>
      </c>
      <c r="G11" s="125">
        <v>11.8</v>
      </c>
      <c r="H11" s="126">
        <v>97</v>
      </c>
      <c r="I11" s="126" t="str">
        <v>PB8</v>
      </c>
      <c r="J11" s="127">
        <v>1.6909722222222222E-3</v>
      </c>
      <c r="K11" s="126">
        <v>28</v>
      </c>
      <c r="L11" s="126" t="str">
        <v>PB1</v>
      </c>
      <c r="M11" s="128">
        <v>3.35</v>
      </c>
      <c r="N11" s="126">
        <v>83</v>
      </c>
      <c r="O11" s="126" t="str">
        <v>PB7</v>
      </c>
      <c r="P11" s="128">
        <v>15.8</v>
      </c>
      <c r="Q11" s="126">
        <v>39</v>
      </c>
      <c r="R11" s="126">
        <v>247</v>
      </c>
      <c r="S11" s="126" t="str">
        <v/>
      </c>
      <c r="T11" s="126">
        <v>6</v>
      </c>
      <c r="U11" s="126" t="str">
        <v/>
      </c>
      <c r="V11" s="139">
        <v>25</v>
      </c>
      <c r="W11" s="25"/>
    </row>
    <row r="12" spans="1:23" ht="19.95" customHeight="1">
      <c r="A12" s="369"/>
      <c r="B12" s="145">
        <v>4</v>
      </c>
      <c r="C12" s="126" t="str">
        <v>AVA WANLESS</v>
      </c>
      <c r="D12" s="126" t="str">
        <v>Camberley &amp; District AC</v>
      </c>
      <c r="E12" s="126" t="str">
        <v>GIRLS</v>
      </c>
      <c r="F12" s="126" t="str">
        <v>U12</v>
      </c>
      <c r="G12" s="125">
        <v>12.3</v>
      </c>
      <c r="H12" s="126">
        <v>85</v>
      </c>
      <c r="I12" s="126" t="str">
        <v>PB7</v>
      </c>
      <c r="J12" s="127">
        <v>1.7719907407407406E-3</v>
      </c>
      <c r="K12" s="126">
        <v>21</v>
      </c>
      <c r="L12" s="126" t="str">
        <v>PB1</v>
      </c>
      <c r="M12" s="128">
        <v>2.99</v>
      </c>
      <c r="N12" s="126">
        <v>69</v>
      </c>
      <c r="O12" s="126" t="str">
        <v>PB5</v>
      </c>
      <c r="P12" s="128">
        <v>14.76</v>
      </c>
      <c r="Q12" s="126">
        <v>33</v>
      </c>
      <c r="R12" s="126">
        <v>208</v>
      </c>
      <c r="S12" s="126" t="str">
        <v/>
      </c>
      <c r="T12" s="126">
        <v>7</v>
      </c>
      <c r="U12" s="126" t="str">
        <v/>
      </c>
      <c r="V12" s="139">
        <v>34</v>
      </c>
      <c r="W12" s="25"/>
    </row>
    <row r="13" spans="1:23" ht="19.95" customHeight="1">
      <c r="A13" s="369"/>
      <c r="B13" s="145">
        <v>8</v>
      </c>
      <c r="C13" s="126" t="str">
        <v>CHLOE HARRISON</v>
      </c>
      <c r="D13" s="126" t="str">
        <v>Camberley &amp; District AC</v>
      </c>
      <c r="E13" s="126" t="str">
        <v>GIRLS</v>
      </c>
      <c r="F13" s="126" t="str">
        <v>U12</v>
      </c>
      <c r="G13" s="125">
        <v>12.1</v>
      </c>
      <c r="H13" s="126">
        <v>90</v>
      </c>
      <c r="I13" s="126" t="str">
        <v>PB8</v>
      </c>
      <c r="J13" s="127">
        <v>1.6111111111111109E-3</v>
      </c>
      <c r="K13" s="126">
        <v>41</v>
      </c>
      <c r="L13" s="126" t="str">
        <v>PB2</v>
      </c>
      <c r="M13" s="128" t="str">
        <v/>
      </c>
      <c r="N13" s="126">
        <v>0</v>
      </c>
      <c r="O13" s="126">
        <v>0</v>
      </c>
      <c r="P13" s="128">
        <v>21.6</v>
      </c>
      <c r="Q13" s="126">
        <v>68</v>
      </c>
      <c r="R13" s="126">
        <v>199</v>
      </c>
      <c r="S13" s="126" t="str">
        <v/>
      </c>
      <c r="T13" s="126">
        <v>8</v>
      </c>
      <c r="U13" s="126" t="str">
        <v/>
      </c>
      <c r="V13" s="139">
        <v>39</v>
      </c>
      <c r="W13" s="25"/>
    </row>
    <row r="14" spans="1:23" ht="19.95" customHeight="1">
      <c r="A14" s="369"/>
      <c r="B14" s="145">
        <v>9</v>
      </c>
      <c r="C14" s="126" t="str">
        <v/>
      </c>
      <c r="D14" s="126" t="str">
        <v>Camberley &amp; District AC</v>
      </c>
      <c r="E14" s="126" t="str">
        <v>GIRLS</v>
      </c>
      <c r="F14" s="126" t="str">
        <v>U12</v>
      </c>
      <c r="G14" s="125" t="str">
        <v/>
      </c>
      <c r="H14" s="126">
        <v>0</v>
      </c>
      <c r="I14" s="126" t="str">
        <v/>
      </c>
      <c r="J14" s="127">
        <v>0</v>
      </c>
      <c r="K14" s="126">
        <v>0</v>
      </c>
      <c r="L14" s="126" t="str">
        <v/>
      </c>
      <c r="M14" s="128" t="str">
        <v/>
      </c>
      <c r="N14" s="126">
        <v>0</v>
      </c>
      <c r="O14" s="126" t="str">
        <v/>
      </c>
      <c r="P14" s="128" t="str">
        <v/>
      </c>
      <c r="Q14" s="126">
        <v>0</v>
      </c>
      <c r="R14" s="126">
        <v>0</v>
      </c>
      <c r="S14" s="126" t="str">
        <v/>
      </c>
      <c r="T14" s="126" t="str">
        <v/>
      </c>
      <c r="U14" s="126" t="str">
        <v/>
      </c>
      <c r="V14" s="139" t="str">
        <v/>
      </c>
      <c r="W14" s="25"/>
    </row>
    <row r="15" spans="1:23" ht="19.95" customHeight="1">
      <c r="A15" s="369"/>
      <c r="B15" s="145">
        <v>10</v>
      </c>
      <c r="C15" s="126" t="str">
        <v/>
      </c>
      <c r="D15" s="126" t="str">
        <v>Camberley &amp; District AC</v>
      </c>
      <c r="E15" s="126" t="str">
        <v>GIRLS</v>
      </c>
      <c r="F15" s="126" t="str">
        <v>U12</v>
      </c>
      <c r="G15" s="125" t="str">
        <v/>
      </c>
      <c r="H15" s="126">
        <v>0</v>
      </c>
      <c r="I15" s="126" t="str">
        <v/>
      </c>
      <c r="J15" s="127">
        <v>0</v>
      </c>
      <c r="K15" s="126">
        <v>0</v>
      </c>
      <c r="L15" s="126" t="str">
        <v/>
      </c>
      <c r="M15" s="128" t="str">
        <v/>
      </c>
      <c r="N15" s="126">
        <v>0</v>
      </c>
      <c r="O15" s="126" t="str">
        <v/>
      </c>
      <c r="P15" s="128" t="str">
        <v/>
      </c>
      <c r="Q15" s="126">
        <v>0</v>
      </c>
      <c r="R15" s="126">
        <v>0</v>
      </c>
      <c r="S15" s="126" t="str">
        <v/>
      </c>
      <c r="T15" s="126" t="str">
        <v/>
      </c>
      <c r="U15" s="126" t="str">
        <v/>
      </c>
      <c r="V15" s="139" t="str">
        <v/>
      </c>
      <c r="W15" s="25"/>
    </row>
    <row r="16" spans="1:23" ht="19.95" customHeight="1">
      <c r="A16" s="369"/>
      <c r="B16" s="145"/>
      <c r="C16" s="126"/>
      <c r="D16" s="126"/>
      <c r="E16" s="126"/>
      <c r="F16" s="126"/>
      <c r="G16" s="125"/>
      <c r="H16" s="126"/>
      <c r="I16" s="126"/>
      <c r="J16" s="127"/>
      <c r="K16" s="126"/>
      <c r="L16" s="126"/>
      <c r="M16" s="128"/>
      <c r="N16" s="126"/>
      <c r="O16" s="126"/>
      <c r="P16" s="128"/>
      <c r="Q16" s="126"/>
      <c r="R16" s="126"/>
      <c r="S16" s="126"/>
      <c r="T16" s="126"/>
      <c r="U16" s="126"/>
      <c r="V16" s="139"/>
      <c r="W16" s="25"/>
    </row>
    <row r="17" spans="1:23" ht="19.95" customHeight="1">
      <c r="A17" s="369"/>
      <c r="B17" s="145"/>
      <c r="C17" s="126"/>
      <c r="D17" s="126"/>
      <c r="E17" s="126"/>
      <c r="F17" s="126"/>
      <c r="G17" s="125"/>
      <c r="H17" s="126"/>
      <c r="I17" s="126"/>
      <c r="J17" s="127"/>
      <c r="K17" s="126"/>
      <c r="L17" s="126"/>
      <c r="M17" s="128"/>
      <c r="N17" s="126"/>
      <c r="O17" s="126"/>
      <c r="P17" s="128"/>
      <c r="Q17" s="126"/>
      <c r="R17" s="126"/>
      <c r="S17" s="126"/>
      <c r="T17" s="126"/>
      <c r="U17" s="126"/>
      <c r="V17" s="139"/>
      <c r="W17" s="25"/>
    </row>
    <row r="18" spans="1:23" ht="19.95" customHeight="1">
      <c r="A18" s="369"/>
      <c r="B18" s="145"/>
      <c r="C18" s="126"/>
      <c r="D18" s="126"/>
      <c r="E18" s="126"/>
      <c r="F18" s="126"/>
      <c r="G18" s="125"/>
      <c r="H18" s="126"/>
      <c r="I18" s="126"/>
      <c r="J18" s="127"/>
      <c r="K18" s="126"/>
      <c r="L18" s="126"/>
      <c r="M18" s="128"/>
      <c r="N18" s="126"/>
      <c r="O18" s="126"/>
      <c r="P18" s="128"/>
      <c r="Q18" s="126"/>
      <c r="R18" s="126"/>
      <c r="S18" s="126"/>
      <c r="T18" s="126"/>
      <c r="U18" s="126"/>
      <c r="V18" s="139"/>
      <c r="W18" s="25"/>
    </row>
    <row r="19" spans="1:23" ht="19.95" customHeight="1">
      <c r="A19" s="369"/>
      <c r="B19" s="145"/>
      <c r="C19" s="126"/>
      <c r="D19" s="126"/>
      <c r="E19" s="126"/>
      <c r="F19" s="126"/>
      <c r="G19" s="125"/>
      <c r="H19" s="126"/>
      <c r="I19" s="126"/>
      <c r="J19" s="127"/>
      <c r="K19" s="126"/>
      <c r="L19" s="126"/>
      <c r="M19" s="128"/>
      <c r="N19" s="126"/>
      <c r="O19" s="126"/>
      <c r="P19" s="128"/>
      <c r="Q19" s="126"/>
      <c r="R19" s="126"/>
      <c r="S19" s="126"/>
      <c r="T19" s="126"/>
      <c r="U19" s="126"/>
      <c r="V19" s="139"/>
      <c r="W19" s="25"/>
    </row>
    <row r="20" spans="1:23" ht="19.95" customHeight="1">
      <c r="A20" s="369"/>
      <c r="B20" s="145"/>
      <c r="C20" s="126"/>
      <c r="D20" s="126"/>
      <c r="E20" s="126"/>
      <c r="F20" s="126"/>
      <c r="G20" s="125"/>
      <c r="H20" s="126"/>
      <c r="I20" s="126"/>
      <c r="J20" s="127"/>
      <c r="K20" s="126"/>
      <c r="L20" s="126"/>
      <c r="M20" s="128"/>
      <c r="N20" s="126"/>
      <c r="O20" s="126"/>
      <c r="P20" s="128"/>
      <c r="Q20" s="126"/>
      <c r="R20" s="126"/>
      <c r="S20" s="126"/>
      <c r="T20" s="126"/>
      <c r="U20" s="126"/>
      <c r="V20" s="139"/>
      <c r="W20" s="25"/>
    </row>
    <row r="21" spans="1:23" ht="19.95" customHeight="1">
      <c r="A21" s="369"/>
      <c r="B21" s="145"/>
      <c r="C21" s="126"/>
      <c r="D21" s="126"/>
      <c r="E21" s="126"/>
      <c r="F21" s="126"/>
      <c r="G21" s="125"/>
      <c r="H21" s="126"/>
      <c r="I21" s="126"/>
      <c r="J21" s="127"/>
      <c r="K21" s="126"/>
      <c r="L21" s="126"/>
      <c r="M21" s="128"/>
      <c r="N21" s="126"/>
      <c r="O21" s="126"/>
      <c r="P21" s="128"/>
      <c r="Q21" s="126"/>
      <c r="R21" s="126"/>
      <c r="S21" s="126"/>
      <c r="T21" s="126"/>
      <c r="U21" s="126"/>
      <c r="V21" s="139"/>
      <c r="W21" s="25"/>
    </row>
    <row r="22" spans="1:23" ht="19.95" customHeight="1">
      <c r="A22" s="369"/>
      <c r="B22" s="145"/>
      <c r="C22" s="126"/>
      <c r="D22" s="126"/>
      <c r="E22" s="126"/>
      <c r="F22" s="126"/>
      <c r="G22" s="125"/>
      <c r="H22" s="126"/>
      <c r="I22" s="126"/>
      <c r="J22" s="127"/>
      <c r="K22" s="126"/>
      <c r="L22" s="126"/>
      <c r="M22" s="128"/>
      <c r="N22" s="126"/>
      <c r="O22" s="126"/>
      <c r="P22" s="128"/>
      <c r="Q22" s="126"/>
      <c r="R22" s="126"/>
      <c r="S22" s="126"/>
      <c r="T22" s="126"/>
      <c r="U22" s="126"/>
      <c r="V22" s="139"/>
      <c r="W22" s="25"/>
    </row>
    <row r="23" spans="1:23" ht="19.95" customHeight="1">
      <c r="A23" s="369"/>
      <c r="B23" s="145"/>
      <c r="C23" s="126"/>
      <c r="D23" s="126"/>
      <c r="E23" s="126"/>
      <c r="F23" s="126"/>
      <c r="G23" s="125"/>
      <c r="H23" s="126"/>
      <c r="I23" s="126"/>
      <c r="J23" s="127"/>
      <c r="K23" s="126"/>
      <c r="L23" s="126"/>
      <c r="M23" s="128"/>
      <c r="N23" s="126"/>
      <c r="O23" s="126"/>
      <c r="P23" s="128"/>
      <c r="Q23" s="126"/>
      <c r="R23" s="126"/>
      <c r="S23" s="126"/>
      <c r="T23" s="126"/>
      <c r="U23" s="126"/>
      <c r="V23" s="139"/>
      <c r="W23" s="25"/>
    </row>
    <row r="24" spans="1:23" ht="19.95" customHeight="1">
      <c r="A24" s="369"/>
      <c r="B24" s="145"/>
      <c r="C24" s="126"/>
      <c r="D24" s="126"/>
      <c r="E24" s="126"/>
      <c r="F24" s="126"/>
      <c r="G24" s="125"/>
      <c r="H24" s="126"/>
      <c r="I24" s="126"/>
      <c r="J24" s="127"/>
      <c r="K24" s="126"/>
      <c r="L24" s="126"/>
      <c r="M24" s="128"/>
      <c r="N24" s="126"/>
      <c r="O24" s="126"/>
      <c r="P24" s="128"/>
      <c r="Q24" s="126"/>
      <c r="R24" s="126"/>
      <c r="S24" s="126"/>
      <c r="T24" s="126"/>
      <c r="U24" s="126"/>
      <c r="V24" s="139"/>
      <c r="W24" s="25"/>
    </row>
    <row r="25" spans="1:23" ht="19.95" customHeight="1" thickBot="1">
      <c r="A25" s="370"/>
      <c r="B25" s="146"/>
      <c r="C25" s="140"/>
      <c r="D25" s="140"/>
      <c r="E25" s="140"/>
      <c r="F25" s="140"/>
      <c r="G25" s="141"/>
      <c r="H25" s="140"/>
      <c r="I25" s="140"/>
      <c r="J25" s="142"/>
      <c r="K25" s="140"/>
      <c r="L25" s="140"/>
      <c r="M25" s="143"/>
      <c r="N25" s="140"/>
      <c r="O25" s="140"/>
      <c r="P25" s="143"/>
      <c r="Q25" s="140"/>
      <c r="R25" s="140"/>
      <c r="S25" s="140"/>
      <c r="T25" s="140"/>
      <c r="U25" s="140"/>
      <c r="V25" s="144"/>
      <c r="W25" s="25"/>
    </row>
    <row r="26" spans="1:23" ht="19.95" customHeight="1">
      <c r="A26" s="368" t="str">
        <f>'Read Me First'!C12</f>
        <v>Woking AC</v>
      </c>
      <c r="B26" s="133" cm="1">
        <f t="array" ref="B26:V35">_xlfn.LET(_xlpm.x, _xlfn._xlws.SORT(_xlfn._xlws.FILTER(Data!$A$249:$U$536,(Data!$C$249:$C$536=$A26)*(Data!$D$249:$D$536=$E$4)*(Data!$E$249:$E$536="U10")),18),_xlpm.y,_xlfn._xlws.SORT(_xlfn._xlws.FILTER(Data!$A$249:$U$536,(Data!$C$249:$C$536=$A26)*(Data!$D$249:$D$536=$E$4)*(Data!$E$249:$E$536="U12")),19), IFERROR(_xlfn.VSTACK(_xlpm.x,_xlpm.y), IFERROR(_xlpm.y,IFERROR(_xlpm.x, ""))))</f>
        <v>27</v>
      </c>
      <c r="C26" s="134" t="str">
        <v>SOPHIE GBAJOBI</v>
      </c>
      <c r="D26" s="134" t="str">
        <v>Woking AC</v>
      </c>
      <c r="E26" s="134" t="str">
        <v>GIRLS</v>
      </c>
      <c r="F26" s="134" t="str">
        <v>U12</v>
      </c>
      <c r="G26" s="135">
        <v>10.7</v>
      </c>
      <c r="H26" s="134">
        <v>120</v>
      </c>
      <c r="I26" s="134" t="str">
        <v>PB9</v>
      </c>
      <c r="J26" s="136">
        <v>1.4861111111111112E-3</v>
      </c>
      <c r="K26" s="134">
        <v>63</v>
      </c>
      <c r="L26" s="134" t="str">
        <v>PB4</v>
      </c>
      <c r="M26" s="137">
        <v>3.45</v>
      </c>
      <c r="N26" s="134">
        <v>87</v>
      </c>
      <c r="O26" s="134" t="str">
        <v>PB7</v>
      </c>
      <c r="P26" s="137">
        <v>24.65</v>
      </c>
      <c r="Q26" s="134">
        <v>83</v>
      </c>
      <c r="R26" s="134">
        <v>353</v>
      </c>
      <c r="S26" s="134" t="str">
        <v/>
      </c>
      <c r="T26" s="134">
        <v>1</v>
      </c>
      <c r="U26" s="134" t="str">
        <v/>
      </c>
      <c r="V26" s="138">
        <v>2</v>
      </c>
      <c r="W26" s="25"/>
    </row>
    <row r="27" spans="1:23" s="4" customFormat="1" ht="19.95" customHeight="1">
      <c r="A27" s="369"/>
      <c r="B27" s="145">
        <v>21</v>
      </c>
      <c r="C27" s="126" t="str">
        <v>ELISE ABDELLI</v>
      </c>
      <c r="D27" s="126" t="str">
        <v>Woking AC</v>
      </c>
      <c r="E27" s="126" t="str">
        <v>GIRLS</v>
      </c>
      <c r="F27" s="126" t="str">
        <v>U12</v>
      </c>
      <c r="G27" s="125">
        <v>11.8</v>
      </c>
      <c r="H27" s="126">
        <v>97</v>
      </c>
      <c r="I27" s="126" t="str">
        <v>PB8</v>
      </c>
      <c r="J27" s="127">
        <v>1.4826388888888888E-3</v>
      </c>
      <c r="K27" s="126">
        <v>63</v>
      </c>
      <c r="L27" s="126" t="str">
        <v>PB4</v>
      </c>
      <c r="M27" s="128">
        <v>3.79</v>
      </c>
      <c r="N27" s="126">
        <v>101</v>
      </c>
      <c r="O27" s="126" t="str">
        <v>PB9</v>
      </c>
      <c r="P27" s="128">
        <v>22.76</v>
      </c>
      <c r="Q27" s="126">
        <v>73</v>
      </c>
      <c r="R27" s="126">
        <v>334</v>
      </c>
      <c r="S27" s="126" t="str">
        <v/>
      </c>
      <c r="T27" s="126">
        <v>2</v>
      </c>
      <c r="U27" s="126" t="str">
        <v/>
      </c>
      <c r="V27" s="139">
        <v>5</v>
      </c>
      <c r="W27" s="129"/>
    </row>
    <row r="28" spans="1:23" ht="19.95" customHeight="1">
      <c r="A28" s="369"/>
      <c r="B28" s="145">
        <v>23</v>
      </c>
      <c r="C28" s="126" t="str">
        <v>ALIYAH KENNAUGH</v>
      </c>
      <c r="D28" s="126" t="str">
        <v>Woking AC</v>
      </c>
      <c r="E28" s="126" t="str">
        <v>GIRLS</v>
      </c>
      <c r="F28" s="126" t="str">
        <v>U12</v>
      </c>
      <c r="G28" s="125">
        <v>12.2</v>
      </c>
      <c r="H28" s="126">
        <v>87</v>
      </c>
      <c r="I28" s="126" t="str">
        <v>PB7</v>
      </c>
      <c r="J28" s="127">
        <v>1.5393518518518519E-3</v>
      </c>
      <c r="K28" s="126">
        <v>54</v>
      </c>
      <c r="L28" s="126" t="str">
        <v>PB3</v>
      </c>
      <c r="M28" s="128">
        <v>3.11</v>
      </c>
      <c r="N28" s="126">
        <v>73</v>
      </c>
      <c r="O28" s="126" t="str">
        <v>PB6</v>
      </c>
      <c r="P28" s="128">
        <v>15.48</v>
      </c>
      <c r="Q28" s="126">
        <v>37</v>
      </c>
      <c r="R28" s="126">
        <v>251</v>
      </c>
      <c r="S28" s="126" t="str">
        <v/>
      </c>
      <c r="T28" s="126">
        <v>3</v>
      </c>
      <c r="U28" s="126" t="str">
        <v/>
      </c>
      <c r="V28" s="139">
        <v>24</v>
      </c>
      <c r="W28" s="25"/>
    </row>
    <row r="29" spans="1:23" ht="19.95" customHeight="1">
      <c r="A29" s="369"/>
      <c r="B29" s="145">
        <v>22</v>
      </c>
      <c r="C29" s="126" t="str">
        <v>FRANKIE ICETON</v>
      </c>
      <c r="D29" s="126" t="str">
        <v>Woking AC</v>
      </c>
      <c r="E29" s="126" t="str">
        <v>GIRLS</v>
      </c>
      <c r="F29" s="126" t="str">
        <v>U12</v>
      </c>
      <c r="G29" s="125">
        <v>12.6</v>
      </c>
      <c r="H29" s="126">
        <v>78</v>
      </c>
      <c r="I29" s="126" t="str">
        <v>PB6</v>
      </c>
      <c r="J29" s="127">
        <v>1.8333333333333333E-3</v>
      </c>
      <c r="K29" s="126">
        <v>18</v>
      </c>
      <c r="L29" s="126" t="str">
        <v/>
      </c>
      <c r="M29" s="128">
        <v>3.29</v>
      </c>
      <c r="N29" s="126">
        <v>81</v>
      </c>
      <c r="O29" s="126" t="str">
        <v>PB7</v>
      </c>
      <c r="P29" s="128">
        <v>21.31</v>
      </c>
      <c r="Q29" s="126">
        <v>66</v>
      </c>
      <c r="R29" s="126">
        <v>243</v>
      </c>
      <c r="S29" s="126" t="str">
        <v/>
      </c>
      <c r="T29" s="126">
        <v>4</v>
      </c>
      <c r="U29" s="126" t="str">
        <v/>
      </c>
      <c r="V29" s="139">
        <v>26</v>
      </c>
      <c r="W29" s="25"/>
    </row>
    <row r="30" spans="1:23" ht="19.95" customHeight="1">
      <c r="A30" s="369"/>
      <c r="B30" s="145">
        <v>26</v>
      </c>
      <c r="C30" s="126" t="str">
        <v>EDEN WECKI</v>
      </c>
      <c r="D30" s="126" t="str">
        <v>Woking AC</v>
      </c>
      <c r="E30" s="126" t="str">
        <v>GIRLS</v>
      </c>
      <c r="F30" s="126" t="str">
        <v>U12</v>
      </c>
      <c r="G30" s="125">
        <v>13.3</v>
      </c>
      <c r="H30" s="126">
        <v>64</v>
      </c>
      <c r="I30" s="126" t="str">
        <v>PB5</v>
      </c>
      <c r="J30" s="127">
        <v>1.5416666666666664E-3</v>
      </c>
      <c r="K30" s="126">
        <v>53</v>
      </c>
      <c r="L30" s="126" t="str">
        <v>PB3</v>
      </c>
      <c r="M30" s="128">
        <v>2.66</v>
      </c>
      <c r="N30" s="126">
        <v>55</v>
      </c>
      <c r="O30" s="126" t="str">
        <v>PB4</v>
      </c>
      <c r="P30" s="128">
        <v>13.6</v>
      </c>
      <c r="Q30" s="126">
        <v>28</v>
      </c>
      <c r="R30" s="126">
        <v>200</v>
      </c>
      <c r="S30" s="126" t="str">
        <v/>
      </c>
      <c r="T30" s="126">
        <v>5</v>
      </c>
      <c r="U30" s="126" t="str">
        <v/>
      </c>
      <c r="V30" s="139">
        <v>38</v>
      </c>
      <c r="W30" s="25"/>
    </row>
    <row r="31" spans="1:23" ht="19.95" customHeight="1">
      <c r="A31" s="369"/>
      <c r="B31" s="145">
        <v>24</v>
      </c>
      <c r="C31" s="126" t="str">
        <v>ELIN PERERA</v>
      </c>
      <c r="D31" s="126" t="str">
        <v>Woking AC</v>
      </c>
      <c r="E31" s="126" t="str">
        <v>GIRLS</v>
      </c>
      <c r="F31" s="126" t="str">
        <v>U12</v>
      </c>
      <c r="G31" s="125">
        <v>12.4</v>
      </c>
      <c r="H31" s="126">
        <v>82</v>
      </c>
      <c r="I31" s="126" t="str">
        <v>PB7</v>
      </c>
      <c r="J31" s="127">
        <v>1.5208333333333335E-3</v>
      </c>
      <c r="K31" s="126">
        <v>57</v>
      </c>
      <c r="L31" s="126" t="str">
        <v>PB3</v>
      </c>
      <c r="M31" s="128" t="str">
        <v/>
      </c>
      <c r="N31" s="126">
        <v>0</v>
      </c>
      <c r="O31" s="126">
        <v>0</v>
      </c>
      <c r="P31" s="128">
        <v>16.940000000000001</v>
      </c>
      <c r="Q31" s="126">
        <v>44</v>
      </c>
      <c r="R31" s="126">
        <v>183</v>
      </c>
      <c r="S31" s="126" t="str">
        <v/>
      </c>
      <c r="T31" s="126">
        <v>6</v>
      </c>
      <c r="U31" s="126" t="str">
        <v/>
      </c>
      <c r="V31" s="139">
        <v>41</v>
      </c>
      <c r="W31" s="25"/>
    </row>
    <row r="32" spans="1:23" ht="19.95" customHeight="1">
      <c r="A32" s="369"/>
      <c r="B32" s="145">
        <v>25</v>
      </c>
      <c r="C32" s="126" t="str">
        <v>LILY COPP</v>
      </c>
      <c r="D32" s="126" t="str">
        <v>Woking AC</v>
      </c>
      <c r="E32" s="126" t="str">
        <v>GIRLS</v>
      </c>
      <c r="F32" s="126" t="str">
        <v>U12</v>
      </c>
      <c r="G32" s="125">
        <v>13.5</v>
      </c>
      <c r="H32" s="126">
        <v>60</v>
      </c>
      <c r="I32" s="126" t="str">
        <v>PB5</v>
      </c>
      <c r="J32" s="127">
        <v>1.6064814814814815E-3</v>
      </c>
      <c r="K32" s="126">
        <v>42</v>
      </c>
      <c r="L32" s="126" t="str">
        <v>PB2</v>
      </c>
      <c r="M32" s="128">
        <v>2.38</v>
      </c>
      <c r="N32" s="126">
        <v>44</v>
      </c>
      <c r="O32" s="126" t="str">
        <v>PB3</v>
      </c>
      <c r="P32" s="128">
        <v>12.8</v>
      </c>
      <c r="Q32" s="126">
        <v>24</v>
      </c>
      <c r="R32" s="126">
        <v>170</v>
      </c>
      <c r="S32" s="126" t="str">
        <v/>
      </c>
      <c r="T32" s="126">
        <v>7</v>
      </c>
      <c r="U32" s="126" t="str">
        <v/>
      </c>
      <c r="V32" s="139">
        <v>42</v>
      </c>
      <c r="W32" s="25"/>
    </row>
    <row r="33" spans="1:23" ht="19.95" customHeight="1">
      <c r="A33" s="369"/>
      <c r="B33" s="145">
        <v>29</v>
      </c>
      <c r="C33" s="126" t="str">
        <v>KATIE TAYLOR</v>
      </c>
      <c r="D33" s="126" t="str">
        <v>Woking AC</v>
      </c>
      <c r="E33" s="126" t="str">
        <v>GIRLS</v>
      </c>
      <c r="F33" s="126" t="str">
        <v>U12</v>
      </c>
      <c r="G33" s="125">
        <v>14</v>
      </c>
      <c r="H33" s="126">
        <v>50</v>
      </c>
      <c r="I33" s="126" t="str">
        <v>PB4</v>
      </c>
      <c r="J33" s="127">
        <v>0</v>
      </c>
      <c r="K33" s="126">
        <v>0</v>
      </c>
      <c r="L33" s="126" t="str">
        <v/>
      </c>
      <c r="M33" s="128">
        <v>2.31</v>
      </c>
      <c r="N33" s="126">
        <v>42</v>
      </c>
      <c r="O33" s="126" t="str">
        <v>PB3</v>
      </c>
      <c r="P33" s="128" t="str">
        <v/>
      </c>
      <c r="Q33" s="126">
        <v>0</v>
      </c>
      <c r="R33" s="126">
        <v>92</v>
      </c>
      <c r="S33" s="126" t="str">
        <v/>
      </c>
      <c r="T33" s="126">
        <v>8</v>
      </c>
      <c r="U33" s="126" t="str">
        <v/>
      </c>
      <c r="V33" s="139">
        <v>46</v>
      </c>
      <c r="W33" s="25"/>
    </row>
    <row r="34" spans="1:23" ht="19.95" customHeight="1">
      <c r="A34" s="369"/>
      <c r="B34" s="145">
        <v>28</v>
      </c>
      <c r="C34" s="126" t="str">
        <v>ALANA FOOTE</v>
      </c>
      <c r="D34" s="126" t="str">
        <v>Woking AC</v>
      </c>
      <c r="E34" s="126" t="str">
        <v>GIRLS</v>
      </c>
      <c r="F34" s="126" t="str">
        <v>U12</v>
      </c>
      <c r="G34" s="125" t="str">
        <v/>
      </c>
      <c r="H34" s="126">
        <v>0</v>
      </c>
      <c r="I34" s="126" t="str">
        <v/>
      </c>
      <c r="J34" s="127">
        <v>0</v>
      </c>
      <c r="K34" s="126">
        <v>0</v>
      </c>
      <c r="L34" s="126" t="str">
        <v/>
      </c>
      <c r="M34" s="128" t="str">
        <v/>
      </c>
      <c r="N34" s="126">
        <v>0</v>
      </c>
      <c r="O34" s="126">
        <v>0</v>
      </c>
      <c r="P34" s="128" t="str">
        <v/>
      </c>
      <c r="Q34" s="126">
        <v>0</v>
      </c>
      <c r="R34" s="126">
        <v>0</v>
      </c>
      <c r="S34" s="126" t="str">
        <v/>
      </c>
      <c r="T34" s="126" t="str">
        <v/>
      </c>
      <c r="U34" s="126" t="str">
        <v/>
      </c>
      <c r="V34" s="139" t="str">
        <v/>
      </c>
      <c r="W34" s="25"/>
    </row>
    <row r="35" spans="1:23" ht="19.95" customHeight="1">
      <c r="A35" s="369"/>
      <c r="B35" s="145">
        <v>30</v>
      </c>
      <c r="C35" s="126" t="str">
        <v/>
      </c>
      <c r="D35" s="126" t="str">
        <v>Woking AC</v>
      </c>
      <c r="E35" s="126" t="str">
        <v>GIRLS</v>
      </c>
      <c r="F35" s="126" t="str">
        <v>U12</v>
      </c>
      <c r="G35" s="125" t="str">
        <v/>
      </c>
      <c r="H35" s="126">
        <v>0</v>
      </c>
      <c r="I35" s="126" t="str">
        <v/>
      </c>
      <c r="J35" s="127">
        <v>0</v>
      </c>
      <c r="K35" s="126">
        <v>0</v>
      </c>
      <c r="L35" s="126" t="str">
        <v/>
      </c>
      <c r="M35" s="128" t="str">
        <v/>
      </c>
      <c r="N35" s="126">
        <v>0</v>
      </c>
      <c r="O35" s="126" t="str">
        <v/>
      </c>
      <c r="P35" s="128" t="str">
        <v/>
      </c>
      <c r="Q35" s="126">
        <v>0</v>
      </c>
      <c r="R35" s="126">
        <v>0</v>
      </c>
      <c r="S35" s="126" t="str">
        <v/>
      </c>
      <c r="T35" s="126" t="str">
        <v/>
      </c>
      <c r="U35" s="126" t="str">
        <v/>
      </c>
      <c r="V35" s="139" t="str">
        <v/>
      </c>
      <c r="W35" s="25"/>
    </row>
    <row r="36" spans="1:23" ht="19.95" customHeight="1">
      <c r="A36" s="369"/>
      <c r="B36" s="145"/>
      <c r="C36" s="126"/>
      <c r="D36" s="126"/>
      <c r="E36" s="126"/>
      <c r="F36" s="126"/>
      <c r="G36" s="125"/>
      <c r="H36" s="126"/>
      <c r="I36" s="126"/>
      <c r="J36" s="127"/>
      <c r="K36" s="126"/>
      <c r="L36" s="126"/>
      <c r="M36" s="128"/>
      <c r="N36" s="126"/>
      <c r="O36" s="126"/>
      <c r="P36" s="128"/>
      <c r="Q36" s="126"/>
      <c r="R36" s="126"/>
      <c r="S36" s="126"/>
      <c r="T36" s="126"/>
      <c r="U36" s="126"/>
      <c r="V36" s="139"/>
      <c r="W36" s="25"/>
    </row>
    <row r="37" spans="1:23" ht="19.95" customHeight="1">
      <c r="A37" s="369"/>
      <c r="B37" s="145"/>
      <c r="C37" s="126"/>
      <c r="D37" s="126"/>
      <c r="E37" s="126"/>
      <c r="F37" s="126"/>
      <c r="G37" s="125"/>
      <c r="H37" s="126"/>
      <c r="I37" s="126"/>
      <c r="J37" s="127"/>
      <c r="K37" s="126"/>
      <c r="L37" s="126"/>
      <c r="M37" s="128"/>
      <c r="N37" s="126"/>
      <c r="O37" s="126"/>
      <c r="P37" s="128"/>
      <c r="Q37" s="126"/>
      <c r="R37" s="126"/>
      <c r="S37" s="126"/>
      <c r="T37" s="126"/>
      <c r="U37" s="126"/>
      <c r="V37" s="139"/>
      <c r="W37" s="25"/>
    </row>
    <row r="38" spans="1:23" ht="19.95" customHeight="1">
      <c r="A38" s="369"/>
      <c r="B38" s="145"/>
      <c r="C38" s="126"/>
      <c r="D38" s="126"/>
      <c r="E38" s="126"/>
      <c r="F38" s="126"/>
      <c r="G38" s="125"/>
      <c r="H38" s="126"/>
      <c r="I38" s="126"/>
      <c r="J38" s="127"/>
      <c r="K38" s="126"/>
      <c r="L38" s="126"/>
      <c r="M38" s="128"/>
      <c r="N38" s="126"/>
      <c r="O38" s="126"/>
      <c r="P38" s="128"/>
      <c r="Q38" s="126"/>
      <c r="R38" s="126"/>
      <c r="S38" s="126"/>
      <c r="T38" s="126"/>
      <c r="U38" s="126"/>
      <c r="V38" s="139"/>
      <c r="W38" s="25"/>
    </row>
    <row r="39" spans="1:23" ht="19.95" customHeight="1">
      <c r="A39" s="369"/>
      <c r="B39" s="145"/>
      <c r="C39" s="126"/>
      <c r="D39" s="126"/>
      <c r="E39" s="126"/>
      <c r="F39" s="126"/>
      <c r="G39" s="125"/>
      <c r="H39" s="126"/>
      <c r="I39" s="126"/>
      <c r="J39" s="127"/>
      <c r="K39" s="126"/>
      <c r="L39" s="126"/>
      <c r="M39" s="128"/>
      <c r="N39" s="126"/>
      <c r="O39" s="126"/>
      <c r="P39" s="128"/>
      <c r="Q39" s="126"/>
      <c r="R39" s="126"/>
      <c r="S39" s="126"/>
      <c r="T39" s="126"/>
      <c r="U39" s="126"/>
      <c r="V39" s="139"/>
      <c r="W39" s="25"/>
    </row>
    <row r="40" spans="1:23" ht="19.95" customHeight="1">
      <c r="A40" s="369"/>
      <c r="B40" s="145"/>
      <c r="C40" s="126"/>
      <c r="D40" s="126"/>
      <c r="E40" s="126"/>
      <c r="F40" s="126"/>
      <c r="G40" s="125"/>
      <c r="H40" s="126"/>
      <c r="I40" s="126"/>
      <c r="J40" s="127"/>
      <c r="K40" s="126"/>
      <c r="L40" s="126"/>
      <c r="M40" s="128"/>
      <c r="N40" s="126"/>
      <c r="O40" s="126"/>
      <c r="P40" s="128"/>
      <c r="Q40" s="126"/>
      <c r="R40" s="126"/>
      <c r="S40" s="126"/>
      <c r="T40" s="126"/>
      <c r="U40" s="126"/>
      <c r="V40" s="139"/>
      <c r="W40" s="25"/>
    </row>
    <row r="41" spans="1:23" ht="19.95" customHeight="1">
      <c r="A41" s="369"/>
      <c r="B41" s="145"/>
      <c r="C41" s="126"/>
      <c r="D41" s="126"/>
      <c r="E41" s="126"/>
      <c r="F41" s="126"/>
      <c r="G41" s="125"/>
      <c r="H41" s="126"/>
      <c r="I41" s="126"/>
      <c r="J41" s="127"/>
      <c r="K41" s="126"/>
      <c r="L41" s="126"/>
      <c r="M41" s="128"/>
      <c r="N41" s="126"/>
      <c r="O41" s="126"/>
      <c r="P41" s="128"/>
      <c r="Q41" s="126"/>
      <c r="R41" s="126"/>
      <c r="S41" s="126"/>
      <c r="T41" s="126"/>
      <c r="U41" s="126"/>
      <c r="V41" s="139"/>
      <c r="W41" s="25"/>
    </row>
    <row r="42" spans="1:23" ht="19.95" customHeight="1">
      <c r="A42" s="369"/>
      <c r="B42" s="145"/>
      <c r="C42" s="126"/>
      <c r="D42" s="126"/>
      <c r="E42" s="126"/>
      <c r="F42" s="126"/>
      <c r="G42" s="125"/>
      <c r="H42" s="126"/>
      <c r="I42" s="126"/>
      <c r="J42" s="127"/>
      <c r="K42" s="126"/>
      <c r="L42" s="126"/>
      <c r="M42" s="128"/>
      <c r="N42" s="126"/>
      <c r="O42" s="126"/>
      <c r="P42" s="128"/>
      <c r="Q42" s="126"/>
      <c r="R42" s="126"/>
      <c r="S42" s="126"/>
      <c r="T42" s="126"/>
      <c r="U42" s="126"/>
      <c r="V42" s="139"/>
      <c r="W42" s="25"/>
    </row>
    <row r="43" spans="1:23" ht="19.95" customHeight="1">
      <c r="A43" s="369"/>
      <c r="B43" s="145"/>
      <c r="C43" s="126"/>
      <c r="D43" s="126"/>
      <c r="E43" s="126"/>
      <c r="F43" s="126"/>
      <c r="G43" s="125"/>
      <c r="H43" s="126"/>
      <c r="I43" s="126"/>
      <c r="J43" s="127"/>
      <c r="K43" s="126"/>
      <c r="L43" s="126"/>
      <c r="M43" s="128"/>
      <c r="N43" s="126"/>
      <c r="O43" s="126"/>
      <c r="P43" s="128"/>
      <c r="Q43" s="126"/>
      <c r="R43" s="126"/>
      <c r="S43" s="126"/>
      <c r="T43" s="126"/>
      <c r="U43" s="126"/>
      <c r="V43" s="139"/>
      <c r="W43" s="25"/>
    </row>
    <row r="44" spans="1:23" ht="19.95" customHeight="1">
      <c r="A44" s="369"/>
      <c r="B44" s="145"/>
      <c r="C44" s="126"/>
      <c r="D44" s="126"/>
      <c r="E44" s="126"/>
      <c r="F44" s="126"/>
      <c r="G44" s="125"/>
      <c r="H44" s="126"/>
      <c r="I44" s="126"/>
      <c r="J44" s="127"/>
      <c r="K44" s="126"/>
      <c r="L44" s="126"/>
      <c r="M44" s="128"/>
      <c r="N44" s="126"/>
      <c r="O44" s="126"/>
      <c r="P44" s="128"/>
      <c r="Q44" s="126"/>
      <c r="R44" s="126"/>
      <c r="S44" s="126"/>
      <c r="T44" s="126"/>
      <c r="U44" s="126"/>
      <c r="V44" s="139"/>
      <c r="W44" s="25"/>
    </row>
    <row r="45" spans="1:23" ht="19.95" customHeight="1" thickBot="1">
      <c r="A45" s="370"/>
      <c r="B45" s="146"/>
      <c r="C45" s="140"/>
      <c r="D45" s="140"/>
      <c r="E45" s="140"/>
      <c r="F45" s="140"/>
      <c r="G45" s="141"/>
      <c r="H45" s="140"/>
      <c r="I45" s="140"/>
      <c r="J45" s="142"/>
      <c r="K45" s="140"/>
      <c r="L45" s="140"/>
      <c r="M45" s="143"/>
      <c r="N45" s="140"/>
      <c r="O45" s="140"/>
      <c r="P45" s="143"/>
      <c r="Q45" s="140"/>
      <c r="R45" s="140"/>
      <c r="S45" s="140"/>
      <c r="T45" s="140"/>
      <c r="U45" s="140"/>
      <c r="V45" s="144"/>
      <c r="W45" s="25"/>
    </row>
    <row r="46" spans="1:23" ht="19.95" customHeight="1">
      <c r="A46" s="368" t="str">
        <f>'Read Me First'!C13</f>
        <v>Poole Runners</v>
      </c>
      <c r="B46" s="133" cm="1">
        <f t="array" ref="B46:V55">_xlfn.LET(_xlpm.x, _xlfn._xlws.SORT(_xlfn._xlws.FILTER(Data!$A$249:$U$536,(Data!$C$249:$C$536=$A46)*(Data!$D$249:$D$536=$E$4)*(Data!$E$249:$E$536="U10")),18),_xlpm.y,_xlfn._xlws.SORT(_xlfn._xlws.FILTER(Data!$A$249:$U$536,(Data!$C$249:$C$536=$A46)*(Data!$D$249:$D$536=$E$4)*(Data!$E$249:$E$536="U12")),19), IFERROR(_xlfn.VSTACK(_xlpm.x,_xlpm.y), IFERROR(_xlpm.y,IFERROR(_xlpm.x, ""))))</f>
        <v>41</v>
      </c>
      <c r="C46" s="134" t="str">
        <v>KAMILA OLATEJU</v>
      </c>
      <c r="D46" s="134" t="str">
        <v>Poole Runners</v>
      </c>
      <c r="E46" s="134" t="str">
        <v>GIRLS</v>
      </c>
      <c r="F46" s="134" t="str">
        <v>U12</v>
      </c>
      <c r="G46" s="135">
        <v>11.2</v>
      </c>
      <c r="H46" s="134">
        <v>110</v>
      </c>
      <c r="I46" s="134" t="str">
        <v>PB9</v>
      </c>
      <c r="J46" s="136">
        <v>1.2986111111111111E-3</v>
      </c>
      <c r="K46" s="134">
        <v>95</v>
      </c>
      <c r="L46" s="134" t="str">
        <v>PB7</v>
      </c>
      <c r="M46" s="137">
        <v>3.14</v>
      </c>
      <c r="N46" s="134">
        <v>74</v>
      </c>
      <c r="O46" s="134" t="str">
        <v>PB6</v>
      </c>
      <c r="P46" s="137">
        <v>16.12</v>
      </c>
      <c r="Q46" s="134">
        <v>40</v>
      </c>
      <c r="R46" s="134">
        <v>319</v>
      </c>
      <c r="S46" s="134" t="str">
        <v/>
      </c>
      <c r="T46" s="134">
        <v>1</v>
      </c>
      <c r="U46" s="134" t="str">
        <v/>
      </c>
      <c r="V46" s="138">
        <v>9</v>
      </c>
      <c r="W46" s="25"/>
    </row>
    <row r="47" spans="1:23" ht="19.95" customHeight="1">
      <c r="A47" s="369"/>
      <c r="B47" s="145">
        <v>43</v>
      </c>
      <c r="C47" s="126" t="str">
        <v>DORA DOMA</v>
      </c>
      <c r="D47" s="126" t="str">
        <v>Poole Runners</v>
      </c>
      <c r="E47" s="126" t="str">
        <v>GIRLS</v>
      </c>
      <c r="F47" s="126" t="str">
        <v>U12</v>
      </c>
      <c r="G47" s="125">
        <v>12.2</v>
      </c>
      <c r="H47" s="126">
        <v>87</v>
      </c>
      <c r="I47" s="126" t="str">
        <v>PB7</v>
      </c>
      <c r="J47" s="127">
        <v>1.4583333333333334E-3</v>
      </c>
      <c r="K47" s="126">
        <v>68</v>
      </c>
      <c r="L47" s="126" t="str">
        <v>PB4</v>
      </c>
      <c r="M47" s="128">
        <v>2.85</v>
      </c>
      <c r="N47" s="126">
        <v>63</v>
      </c>
      <c r="O47" s="126" t="str">
        <v>PB5</v>
      </c>
      <c r="P47" s="128">
        <v>18.690000000000001</v>
      </c>
      <c r="Q47" s="126">
        <v>53</v>
      </c>
      <c r="R47" s="126">
        <v>271</v>
      </c>
      <c r="S47" s="126" t="str">
        <v/>
      </c>
      <c r="T47" s="126">
        <v>2</v>
      </c>
      <c r="U47" s="126" t="str">
        <v/>
      </c>
      <c r="V47" s="139">
        <v>17</v>
      </c>
      <c r="W47" s="25"/>
    </row>
    <row r="48" spans="1:23" ht="19.95" customHeight="1">
      <c r="A48" s="369"/>
      <c r="B48" s="145">
        <v>47</v>
      </c>
      <c r="C48" s="126" t="str">
        <v>JESSICA FRANK</v>
      </c>
      <c r="D48" s="126" t="str">
        <v>Poole Runners</v>
      </c>
      <c r="E48" s="126" t="str">
        <v>GIRLS</v>
      </c>
      <c r="F48" s="126" t="str">
        <v>U12</v>
      </c>
      <c r="G48" s="125">
        <v>11.6</v>
      </c>
      <c r="H48" s="126">
        <v>102</v>
      </c>
      <c r="I48" s="126" t="str">
        <v>PB9</v>
      </c>
      <c r="J48" s="127">
        <v>1.673611111111111E-3</v>
      </c>
      <c r="K48" s="126">
        <v>30</v>
      </c>
      <c r="L48" s="126" t="str">
        <v>PB2</v>
      </c>
      <c r="M48" s="128">
        <v>2.83</v>
      </c>
      <c r="N48" s="126">
        <v>62</v>
      </c>
      <c r="O48" s="126" t="str">
        <v>PB5</v>
      </c>
      <c r="P48" s="128">
        <v>21.17</v>
      </c>
      <c r="Q48" s="126">
        <v>65</v>
      </c>
      <c r="R48" s="126">
        <v>259</v>
      </c>
      <c r="S48" s="126" t="str">
        <v/>
      </c>
      <c r="T48" s="126">
        <v>3</v>
      </c>
      <c r="U48" s="126" t="str">
        <v/>
      </c>
      <c r="V48" s="139">
        <v>19</v>
      </c>
      <c r="W48" s="54"/>
    </row>
    <row r="49" spans="1:23" ht="19.95" customHeight="1">
      <c r="A49" s="369"/>
      <c r="B49" s="145">
        <v>45</v>
      </c>
      <c r="C49" s="126" t="str">
        <v>VIOLET FULLING</v>
      </c>
      <c r="D49" s="126" t="str">
        <v>Poole Runners</v>
      </c>
      <c r="E49" s="126" t="str">
        <v>GIRLS</v>
      </c>
      <c r="F49" s="126" t="str">
        <v>U12</v>
      </c>
      <c r="G49" s="125">
        <v>12.7</v>
      </c>
      <c r="H49" s="126">
        <v>76</v>
      </c>
      <c r="I49" s="126" t="str">
        <v>PB6</v>
      </c>
      <c r="J49" s="127">
        <v>1.502314814814815E-3</v>
      </c>
      <c r="K49" s="126">
        <v>60</v>
      </c>
      <c r="L49" s="126" t="str">
        <v>PB4</v>
      </c>
      <c r="M49" s="128">
        <v>2.93</v>
      </c>
      <c r="N49" s="126">
        <v>66</v>
      </c>
      <c r="O49" s="126" t="str">
        <v>PB5</v>
      </c>
      <c r="P49" s="128">
        <v>19.3</v>
      </c>
      <c r="Q49" s="126">
        <v>56</v>
      </c>
      <c r="R49" s="126">
        <v>258</v>
      </c>
      <c r="S49" s="126" t="str">
        <v/>
      </c>
      <c r="T49" s="126">
        <v>4</v>
      </c>
      <c r="U49" s="126" t="str">
        <v/>
      </c>
      <c r="V49" s="139">
        <v>20</v>
      </c>
      <c r="W49" s="25"/>
    </row>
    <row r="50" spans="1:23" ht="19.95" customHeight="1">
      <c r="A50" s="369"/>
      <c r="B50" s="145">
        <v>48</v>
      </c>
      <c r="C50" s="126" t="str">
        <v>MATILDA COATESMITH</v>
      </c>
      <c r="D50" s="126" t="str">
        <v>Poole Runners</v>
      </c>
      <c r="E50" s="126" t="str">
        <v>GIRLS</v>
      </c>
      <c r="F50" s="126" t="str">
        <v>U12</v>
      </c>
      <c r="G50" s="125">
        <v>11.9</v>
      </c>
      <c r="H50" s="126">
        <v>95</v>
      </c>
      <c r="I50" s="126" t="str">
        <v>PB8</v>
      </c>
      <c r="J50" s="127">
        <v>1.6261574074074073E-3</v>
      </c>
      <c r="K50" s="126">
        <v>39</v>
      </c>
      <c r="L50" s="126" t="str">
        <v>PB2</v>
      </c>
      <c r="M50" s="128">
        <v>3.17</v>
      </c>
      <c r="N50" s="126">
        <v>76</v>
      </c>
      <c r="O50" s="126" t="str">
        <v>PB6</v>
      </c>
      <c r="P50" s="128">
        <v>16.86</v>
      </c>
      <c r="Q50" s="126">
        <v>44</v>
      </c>
      <c r="R50" s="126">
        <v>254</v>
      </c>
      <c r="S50" s="126" t="str">
        <v/>
      </c>
      <c r="T50" s="126">
        <v>5</v>
      </c>
      <c r="U50" s="126" t="str">
        <v/>
      </c>
      <c r="V50" s="139">
        <v>22</v>
      </c>
      <c r="W50" s="25"/>
    </row>
    <row r="51" spans="1:23" ht="19.95" customHeight="1">
      <c r="A51" s="369"/>
      <c r="B51" s="145">
        <v>50</v>
      </c>
      <c r="C51" s="126" t="str">
        <v>WILLA GRAY</v>
      </c>
      <c r="D51" s="126" t="str">
        <v>Poole Runners</v>
      </c>
      <c r="E51" s="126" t="str">
        <v>GIRLS</v>
      </c>
      <c r="F51" s="126" t="str">
        <v>U12</v>
      </c>
      <c r="G51" s="125">
        <v>11.8</v>
      </c>
      <c r="H51" s="126">
        <v>97</v>
      </c>
      <c r="I51" s="126" t="str">
        <v>PB8</v>
      </c>
      <c r="J51" s="127">
        <v>1.46875E-3</v>
      </c>
      <c r="K51" s="126">
        <v>66</v>
      </c>
      <c r="L51" s="126" t="str">
        <v>PB4</v>
      </c>
      <c r="M51" s="128">
        <v>2.79</v>
      </c>
      <c r="N51" s="126">
        <v>61</v>
      </c>
      <c r="O51" s="126" t="str">
        <v>PB5</v>
      </c>
      <c r="P51" s="128">
        <v>13.68</v>
      </c>
      <c r="Q51" s="126">
        <v>28</v>
      </c>
      <c r="R51" s="126">
        <v>252</v>
      </c>
      <c r="S51" s="126" t="str">
        <v/>
      </c>
      <c r="T51" s="126">
        <v>6</v>
      </c>
      <c r="U51" s="126" t="str">
        <v/>
      </c>
      <c r="V51" s="139">
        <v>23</v>
      </c>
      <c r="W51" s="25"/>
    </row>
    <row r="52" spans="1:23" ht="19.95" customHeight="1">
      <c r="A52" s="369"/>
      <c r="B52" s="145">
        <v>49</v>
      </c>
      <c r="C52" s="126" t="str">
        <v>IZZY YOUNG</v>
      </c>
      <c r="D52" s="126" t="str">
        <v>Poole Runners</v>
      </c>
      <c r="E52" s="126" t="str">
        <v>GIRLS</v>
      </c>
      <c r="F52" s="126" t="str">
        <v>U12</v>
      </c>
      <c r="G52" s="125">
        <v>12.5</v>
      </c>
      <c r="H52" s="126">
        <v>80</v>
      </c>
      <c r="I52" s="126" t="str">
        <v>PB7</v>
      </c>
      <c r="J52" s="127">
        <v>1.707175925925926E-3</v>
      </c>
      <c r="K52" s="126">
        <v>27</v>
      </c>
      <c r="L52" s="126" t="str">
        <v>PB1</v>
      </c>
      <c r="M52" s="128">
        <v>3.08</v>
      </c>
      <c r="N52" s="126">
        <v>72</v>
      </c>
      <c r="O52" s="126" t="str">
        <v>PB6</v>
      </c>
      <c r="P52" s="128">
        <v>19.239999999999998</v>
      </c>
      <c r="Q52" s="126">
        <v>56</v>
      </c>
      <c r="R52" s="126">
        <v>235</v>
      </c>
      <c r="S52" s="126" t="str">
        <v/>
      </c>
      <c r="T52" s="126">
        <v>7</v>
      </c>
      <c r="U52" s="126" t="str">
        <v/>
      </c>
      <c r="V52" s="139">
        <v>28</v>
      </c>
      <c r="W52" s="25"/>
    </row>
    <row r="53" spans="1:23" ht="19.95" customHeight="1">
      <c r="A53" s="369"/>
      <c r="B53" s="145">
        <v>42</v>
      </c>
      <c r="C53" s="126" t="str">
        <v>ROSE NEIL</v>
      </c>
      <c r="D53" s="126" t="str">
        <v>Poole Runners</v>
      </c>
      <c r="E53" s="126" t="str">
        <v>GIRLS</v>
      </c>
      <c r="F53" s="126" t="str">
        <v>U12</v>
      </c>
      <c r="G53" s="125">
        <v>11.9</v>
      </c>
      <c r="H53" s="126">
        <v>95</v>
      </c>
      <c r="I53" s="126" t="str">
        <v>PB8</v>
      </c>
      <c r="J53" s="127">
        <v>1.7083333333333332E-3</v>
      </c>
      <c r="K53" s="126">
        <v>27</v>
      </c>
      <c r="L53" s="126" t="str">
        <v>PB1</v>
      </c>
      <c r="M53" s="128">
        <v>2.87</v>
      </c>
      <c r="N53" s="126">
        <v>64</v>
      </c>
      <c r="O53" s="126" t="str">
        <v>PB5</v>
      </c>
      <c r="P53" s="128">
        <v>15.83</v>
      </c>
      <c r="Q53" s="126">
        <v>39</v>
      </c>
      <c r="R53" s="126">
        <v>225</v>
      </c>
      <c r="S53" s="126" t="str">
        <v/>
      </c>
      <c r="T53" s="126">
        <v>8</v>
      </c>
      <c r="U53" s="126" t="str">
        <v/>
      </c>
      <c r="V53" s="139">
        <v>30</v>
      </c>
      <c r="W53" s="25"/>
    </row>
    <row r="54" spans="1:23" ht="19.95" customHeight="1">
      <c r="A54" s="369"/>
      <c r="B54" s="145">
        <v>46</v>
      </c>
      <c r="C54" s="126" t="str">
        <v>BROOKE PARRY-DAVIDSON</v>
      </c>
      <c r="D54" s="126" t="str">
        <v>Poole Runners</v>
      </c>
      <c r="E54" s="126" t="str">
        <v>GIRLS</v>
      </c>
      <c r="F54" s="126" t="str">
        <v>U12</v>
      </c>
      <c r="G54" s="125">
        <v>12.3</v>
      </c>
      <c r="H54" s="126">
        <v>85</v>
      </c>
      <c r="I54" s="126" t="str">
        <v>PB7</v>
      </c>
      <c r="J54" s="127">
        <v>1.6307870370370371E-3</v>
      </c>
      <c r="K54" s="126">
        <v>38</v>
      </c>
      <c r="L54" s="126" t="str">
        <v>PB2</v>
      </c>
      <c r="M54" s="128">
        <v>2.44</v>
      </c>
      <c r="N54" s="126">
        <v>47</v>
      </c>
      <c r="O54" s="126" t="str">
        <v>PB3</v>
      </c>
      <c r="P54" s="128">
        <v>18.940000000000001</v>
      </c>
      <c r="Q54" s="126">
        <v>54</v>
      </c>
      <c r="R54" s="126">
        <v>224</v>
      </c>
      <c r="S54" s="126" t="str">
        <v/>
      </c>
      <c r="T54" s="126">
        <v>9</v>
      </c>
      <c r="U54" s="126" t="str">
        <v/>
      </c>
      <c r="V54" s="139">
        <v>31</v>
      </c>
      <c r="W54" s="25"/>
    </row>
    <row r="55" spans="1:23" ht="19.95" customHeight="1">
      <c r="A55" s="369"/>
      <c r="B55" s="145">
        <v>44</v>
      </c>
      <c r="C55" s="126" t="str">
        <v>POLLY WARBOYS</v>
      </c>
      <c r="D55" s="126" t="str">
        <v>Poole Runners</v>
      </c>
      <c r="E55" s="126" t="str">
        <v>GIRLS</v>
      </c>
      <c r="F55" s="126" t="str">
        <v>U12</v>
      </c>
      <c r="G55" s="125">
        <v>13.1</v>
      </c>
      <c r="H55" s="126">
        <v>68</v>
      </c>
      <c r="I55" s="126" t="str">
        <v>PB5</v>
      </c>
      <c r="J55" s="127">
        <v>1.6226851851851851E-3</v>
      </c>
      <c r="K55" s="126">
        <v>39</v>
      </c>
      <c r="L55" s="126" t="str">
        <v>PB2</v>
      </c>
      <c r="M55" s="128">
        <v>2.85</v>
      </c>
      <c r="N55" s="126">
        <v>63</v>
      </c>
      <c r="O55" s="126" t="str">
        <v>PB5</v>
      </c>
      <c r="P55" s="128">
        <v>15.5</v>
      </c>
      <c r="Q55" s="126">
        <v>37</v>
      </c>
      <c r="R55" s="126">
        <v>207</v>
      </c>
      <c r="S55" s="126" t="str">
        <v/>
      </c>
      <c r="T55" s="126">
        <v>10</v>
      </c>
      <c r="U55" s="126" t="str">
        <v/>
      </c>
      <c r="V55" s="139">
        <v>35</v>
      </c>
      <c r="W55" s="25"/>
    </row>
    <row r="56" spans="1:23" ht="19.95" customHeight="1">
      <c r="A56" s="369"/>
      <c r="B56" s="145"/>
      <c r="C56" s="126"/>
      <c r="D56" s="126"/>
      <c r="E56" s="126"/>
      <c r="F56" s="126"/>
      <c r="G56" s="125"/>
      <c r="H56" s="126"/>
      <c r="I56" s="126"/>
      <c r="J56" s="127"/>
      <c r="K56" s="126"/>
      <c r="L56" s="126"/>
      <c r="M56" s="128"/>
      <c r="N56" s="126"/>
      <c r="O56" s="126"/>
      <c r="P56" s="128"/>
      <c r="Q56" s="126"/>
      <c r="R56" s="126"/>
      <c r="S56" s="126"/>
      <c r="T56" s="126"/>
      <c r="U56" s="126"/>
      <c r="V56" s="139"/>
      <c r="W56" s="25"/>
    </row>
    <row r="57" spans="1:23" ht="19.95" customHeight="1">
      <c r="A57" s="369"/>
      <c r="B57" s="145"/>
      <c r="C57" s="126"/>
      <c r="D57" s="126"/>
      <c r="E57" s="126"/>
      <c r="F57" s="126"/>
      <c r="G57" s="125"/>
      <c r="H57" s="126"/>
      <c r="I57" s="126"/>
      <c r="J57" s="127"/>
      <c r="K57" s="126"/>
      <c r="L57" s="126"/>
      <c r="M57" s="128"/>
      <c r="N57" s="126"/>
      <c r="O57" s="126"/>
      <c r="P57" s="128"/>
      <c r="Q57" s="126"/>
      <c r="R57" s="126"/>
      <c r="S57" s="126"/>
      <c r="T57" s="126"/>
      <c r="U57" s="126"/>
      <c r="V57" s="139"/>
      <c r="W57" s="25"/>
    </row>
    <row r="58" spans="1:23" ht="19.95" customHeight="1">
      <c r="A58" s="369"/>
      <c r="B58" s="145"/>
      <c r="C58" s="126"/>
      <c r="D58" s="126"/>
      <c r="E58" s="126"/>
      <c r="F58" s="126"/>
      <c r="G58" s="125"/>
      <c r="H58" s="126"/>
      <c r="I58" s="126"/>
      <c r="J58" s="127"/>
      <c r="K58" s="126"/>
      <c r="L58" s="126"/>
      <c r="M58" s="128"/>
      <c r="N58" s="126"/>
      <c r="O58" s="126"/>
      <c r="P58" s="128"/>
      <c r="Q58" s="126"/>
      <c r="R58" s="126"/>
      <c r="S58" s="126"/>
      <c r="T58" s="126"/>
      <c r="U58" s="126"/>
      <c r="V58" s="139"/>
      <c r="W58" s="25"/>
    </row>
    <row r="59" spans="1:23" ht="19.95" customHeight="1">
      <c r="A59" s="369"/>
      <c r="B59" s="145"/>
      <c r="C59" s="126"/>
      <c r="D59" s="126"/>
      <c r="E59" s="126"/>
      <c r="F59" s="126"/>
      <c r="G59" s="125"/>
      <c r="H59" s="126"/>
      <c r="I59" s="126"/>
      <c r="J59" s="127"/>
      <c r="K59" s="126"/>
      <c r="L59" s="126"/>
      <c r="M59" s="128"/>
      <c r="N59" s="126"/>
      <c r="O59" s="126"/>
      <c r="P59" s="128"/>
      <c r="Q59" s="126"/>
      <c r="R59" s="126"/>
      <c r="S59" s="126"/>
      <c r="T59" s="126"/>
      <c r="U59" s="126"/>
      <c r="V59" s="139"/>
      <c r="W59" s="25"/>
    </row>
    <row r="60" spans="1:23" ht="19.95" customHeight="1">
      <c r="A60" s="369"/>
      <c r="B60" s="145"/>
      <c r="C60" s="126"/>
      <c r="D60" s="126"/>
      <c r="E60" s="126"/>
      <c r="F60" s="126"/>
      <c r="G60" s="125"/>
      <c r="H60" s="126"/>
      <c r="I60" s="126"/>
      <c r="J60" s="127"/>
      <c r="K60" s="126"/>
      <c r="L60" s="126"/>
      <c r="M60" s="128"/>
      <c r="N60" s="126"/>
      <c r="O60" s="126"/>
      <c r="P60" s="128"/>
      <c r="Q60" s="126"/>
      <c r="R60" s="126"/>
      <c r="S60" s="126"/>
      <c r="T60" s="126"/>
      <c r="U60" s="126"/>
      <c r="V60" s="139"/>
      <c r="W60" s="25"/>
    </row>
    <row r="61" spans="1:23" ht="19.95" customHeight="1">
      <c r="A61" s="369"/>
      <c r="B61" s="145"/>
      <c r="C61" s="126"/>
      <c r="D61" s="126"/>
      <c r="E61" s="126"/>
      <c r="F61" s="126"/>
      <c r="G61" s="125"/>
      <c r="H61" s="126"/>
      <c r="I61" s="126"/>
      <c r="J61" s="127"/>
      <c r="K61" s="126"/>
      <c r="L61" s="126"/>
      <c r="M61" s="128"/>
      <c r="N61" s="126"/>
      <c r="O61" s="126"/>
      <c r="P61" s="128"/>
      <c r="Q61" s="126"/>
      <c r="R61" s="126"/>
      <c r="S61" s="126"/>
      <c r="T61" s="126"/>
      <c r="U61" s="126"/>
      <c r="V61" s="139"/>
      <c r="W61" s="25"/>
    </row>
    <row r="62" spans="1:23" ht="19.95" customHeight="1">
      <c r="A62" s="369"/>
      <c r="B62" s="145"/>
      <c r="C62" s="126"/>
      <c r="D62" s="126"/>
      <c r="E62" s="126"/>
      <c r="F62" s="126"/>
      <c r="G62" s="125"/>
      <c r="H62" s="126"/>
      <c r="I62" s="126"/>
      <c r="J62" s="127"/>
      <c r="K62" s="126"/>
      <c r="L62" s="126"/>
      <c r="M62" s="128"/>
      <c r="N62" s="126"/>
      <c r="O62" s="126"/>
      <c r="P62" s="128"/>
      <c r="Q62" s="126"/>
      <c r="R62" s="126"/>
      <c r="S62" s="126"/>
      <c r="T62" s="126"/>
      <c r="U62" s="126"/>
      <c r="V62" s="139"/>
      <c r="W62" s="25"/>
    </row>
    <row r="63" spans="1:23" ht="19.95" customHeight="1">
      <c r="A63" s="369"/>
      <c r="B63" s="145"/>
      <c r="C63" s="126"/>
      <c r="D63" s="126"/>
      <c r="E63" s="126"/>
      <c r="F63" s="126"/>
      <c r="G63" s="125"/>
      <c r="H63" s="126"/>
      <c r="I63" s="126"/>
      <c r="J63" s="127"/>
      <c r="K63" s="126"/>
      <c r="L63" s="126"/>
      <c r="M63" s="128"/>
      <c r="N63" s="126"/>
      <c r="O63" s="126"/>
      <c r="P63" s="128"/>
      <c r="Q63" s="126"/>
      <c r="R63" s="126"/>
      <c r="S63" s="126"/>
      <c r="T63" s="126"/>
      <c r="U63" s="126"/>
      <c r="V63" s="139"/>
      <c r="W63" s="25"/>
    </row>
    <row r="64" spans="1:23" ht="19.95" customHeight="1">
      <c r="A64" s="369"/>
      <c r="B64" s="145"/>
      <c r="C64" s="126"/>
      <c r="D64" s="126"/>
      <c r="E64" s="126"/>
      <c r="F64" s="126"/>
      <c r="G64" s="125"/>
      <c r="H64" s="126"/>
      <c r="I64" s="126"/>
      <c r="J64" s="127"/>
      <c r="K64" s="126"/>
      <c r="L64" s="126"/>
      <c r="M64" s="128"/>
      <c r="N64" s="126"/>
      <c r="O64" s="126"/>
      <c r="P64" s="128"/>
      <c r="Q64" s="126"/>
      <c r="R64" s="126"/>
      <c r="S64" s="126"/>
      <c r="T64" s="126"/>
      <c r="U64" s="126"/>
      <c r="V64" s="139"/>
      <c r="W64" s="25"/>
    </row>
    <row r="65" spans="1:23" ht="19.95" customHeight="1" thickBot="1">
      <c r="A65" s="370"/>
      <c r="B65" s="146"/>
      <c r="C65" s="140"/>
      <c r="D65" s="140"/>
      <c r="E65" s="140"/>
      <c r="F65" s="140"/>
      <c r="G65" s="141"/>
      <c r="H65" s="140"/>
      <c r="I65" s="140"/>
      <c r="J65" s="142"/>
      <c r="K65" s="140"/>
      <c r="L65" s="140"/>
      <c r="M65" s="143"/>
      <c r="N65" s="140"/>
      <c r="O65" s="140"/>
      <c r="P65" s="143"/>
      <c r="Q65" s="140"/>
      <c r="R65" s="140"/>
      <c r="S65" s="140"/>
      <c r="T65" s="140"/>
      <c r="U65" s="140"/>
      <c r="V65" s="144"/>
      <c r="W65" s="25"/>
    </row>
    <row r="66" spans="1:23" ht="19.95" customHeight="1">
      <c r="A66" s="368" t="str">
        <f>'Read Me First'!C14</f>
        <v>Fleet &amp; Crookham AC</v>
      </c>
      <c r="B66" s="133" cm="1">
        <f t="array" ref="B66:V75">_xlfn.LET(_xlpm.x, _xlfn._xlws.SORT(_xlfn._xlws.FILTER(Data!$A$249:$U$536,(Data!$C$249:$C$536=$A66)*(Data!$D$249:$D$536=$E$4)*(Data!$E$249:$E$536="U10")),18),_xlpm.y,_xlfn._xlws.SORT(_xlfn._xlws.FILTER(Data!$A$249:$U$536,(Data!$C$249:$C$536=$A66)*(Data!$D$249:$D$536=$E$4)*(Data!$E$249:$E$536="U12")),19), IFERROR(_xlfn.VSTACK(_xlpm.x,_xlpm.y), IFERROR(_xlpm.y,IFERROR(_xlpm.x, ""))))</f>
        <v>61</v>
      </c>
      <c r="C66" s="134" t="str">
        <v>MARCY POWER</v>
      </c>
      <c r="D66" s="134" t="str">
        <v>Fleet &amp; Crookham AC</v>
      </c>
      <c r="E66" s="134" t="str">
        <v>GIRLS</v>
      </c>
      <c r="F66" s="134" t="str">
        <v>U12</v>
      </c>
      <c r="G66" s="135">
        <v>11.7</v>
      </c>
      <c r="H66" s="134">
        <v>100</v>
      </c>
      <c r="I66" s="134" t="str">
        <v>PB9</v>
      </c>
      <c r="J66" s="136">
        <v>1.3506944444444445E-3</v>
      </c>
      <c r="K66" s="134">
        <v>86</v>
      </c>
      <c r="L66" s="134" t="str">
        <v>PB6</v>
      </c>
      <c r="M66" s="137">
        <v>3.59</v>
      </c>
      <c r="N66" s="134">
        <v>93</v>
      </c>
      <c r="O66" s="134" t="str">
        <v>PB8</v>
      </c>
      <c r="P66" s="137">
        <v>23.89</v>
      </c>
      <c r="Q66" s="134">
        <v>79</v>
      </c>
      <c r="R66" s="134">
        <v>358</v>
      </c>
      <c r="S66" s="134" t="str">
        <v/>
      </c>
      <c r="T66" s="134">
        <v>1</v>
      </c>
      <c r="U66" s="134" t="str">
        <v/>
      </c>
      <c r="V66" s="138">
        <v>1</v>
      </c>
      <c r="W66" s="25"/>
    </row>
    <row r="67" spans="1:23" ht="19.95" customHeight="1">
      <c r="A67" s="369"/>
      <c r="B67" s="145">
        <v>64</v>
      </c>
      <c r="C67" s="126" t="str">
        <v>MATILDA FLINT</v>
      </c>
      <c r="D67" s="126" t="str">
        <v>Fleet &amp; Crookham AC</v>
      </c>
      <c r="E67" s="126" t="str">
        <v>GIRLS</v>
      </c>
      <c r="F67" s="126" t="str">
        <v>U12</v>
      </c>
      <c r="G67" s="125">
        <v>11.3</v>
      </c>
      <c r="H67" s="126">
        <v>108</v>
      </c>
      <c r="I67" s="126" t="str">
        <v>PB9</v>
      </c>
      <c r="J67" s="127">
        <v>1.4872685185185186E-3</v>
      </c>
      <c r="K67" s="126">
        <v>63</v>
      </c>
      <c r="L67" s="126" t="str">
        <v>PB4</v>
      </c>
      <c r="M67" s="128">
        <v>3.48</v>
      </c>
      <c r="N67" s="126">
        <v>89</v>
      </c>
      <c r="O67" s="126" t="str">
        <v>PB7</v>
      </c>
      <c r="P67" s="128">
        <v>21.15</v>
      </c>
      <c r="Q67" s="126">
        <v>65</v>
      </c>
      <c r="R67" s="126">
        <v>325</v>
      </c>
      <c r="S67" s="126" t="str">
        <v/>
      </c>
      <c r="T67" s="126">
        <v>2</v>
      </c>
      <c r="U67" s="126" t="str">
        <v/>
      </c>
      <c r="V67" s="139">
        <v>7</v>
      </c>
      <c r="W67" s="25"/>
    </row>
    <row r="68" spans="1:23" ht="19.95" customHeight="1">
      <c r="A68" s="369"/>
      <c r="B68" s="145">
        <v>67</v>
      </c>
      <c r="C68" s="126" t="str">
        <v>BONNIE MOORE</v>
      </c>
      <c r="D68" s="126" t="str">
        <v>Fleet &amp; Crookham AC</v>
      </c>
      <c r="E68" s="126" t="str">
        <v>GIRLS</v>
      </c>
      <c r="F68" s="126" t="str">
        <v>U12</v>
      </c>
      <c r="G68" s="125">
        <v>11.7</v>
      </c>
      <c r="H68" s="126">
        <v>100</v>
      </c>
      <c r="I68" s="126" t="str">
        <v>PB9</v>
      </c>
      <c r="J68" s="127">
        <v>1.4027777777777777E-3</v>
      </c>
      <c r="K68" s="126">
        <v>77</v>
      </c>
      <c r="L68" s="126" t="str">
        <v>PB5</v>
      </c>
      <c r="M68" s="128">
        <v>3.67</v>
      </c>
      <c r="N68" s="126">
        <v>96</v>
      </c>
      <c r="O68" s="126" t="str">
        <v>PB8</v>
      </c>
      <c r="P68" s="128">
        <v>17.84</v>
      </c>
      <c r="Q68" s="126">
        <v>49</v>
      </c>
      <c r="R68" s="126">
        <v>322</v>
      </c>
      <c r="S68" s="126" t="str">
        <v/>
      </c>
      <c r="T68" s="126">
        <v>3</v>
      </c>
      <c r="U68" s="126" t="str">
        <v/>
      </c>
      <c r="V68" s="139">
        <v>8</v>
      </c>
      <c r="W68" s="25"/>
    </row>
    <row r="69" spans="1:23" ht="19.95" customHeight="1">
      <c r="A69" s="369"/>
      <c r="B69" s="145">
        <v>62</v>
      </c>
      <c r="C69" s="126" t="str">
        <v>OTTILE WHITE</v>
      </c>
      <c r="D69" s="126" t="str">
        <v>Fleet &amp; Crookham AC</v>
      </c>
      <c r="E69" s="126" t="str">
        <v>GIRLS</v>
      </c>
      <c r="F69" s="126" t="str">
        <v>U12</v>
      </c>
      <c r="G69" s="125">
        <v>12.3</v>
      </c>
      <c r="H69" s="126">
        <v>85</v>
      </c>
      <c r="I69" s="126" t="str">
        <v>PB7</v>
      </c>
      <c r="J69" s="127">
        <v>1.517361111111111E-3</v>
      </c>
      <c r="K69" s="126">
        <v>57</v>
      </c>
      <c r="L69" s="126" t="str">
        <v>PB3</v>
      </c>
      <c r="M69" s="128">
        <v>3.15</v>
      </c>
      <c r="N69" s="126">
        <v>75</v>
      </c>
      <c r="O69" s="126" t="str">
        <v>PB6</v>
      </c>
      <c r="P69" s="128">
        <v>18.93</v>
      </c>
      <c r="Q69" s="126">
        <v>54</v>
      </c>
      <c r="R69" s="126">
        <v>271</v>
      </c>
      <c r="S69" s="126" t="str">
        <v/>
      </c>
      <c r="T69" s="126">
        <v>4</v>
      </c>
      <c r="U69" s="126" t="str">
        <v/>
      </c>
      <c r="V69" s="139">
        <v>17</v>
      </c>
      <c r="W69" s="54"/>
    </row>
    <row r="70" spans="1:23" ht="19.95" customHeight="1">
      <c r="A70" s="369"/>
      <c r="B70" s="145">
        <v>70</v>
      </c>
      <c r="C70" s="126" t="str">
        <v>JOSEPHINE HARPER</v>
      </c>
      <c r="D70" s="126" t="str">
        <v>Fleet &amp; Crookham AC</v>
      </c>
      <c r="E70" s="126" t="str">
        <v>GIRLS</v>
      </c>
      <c r="F70" s="126" t="str">
        <v>U12</v>
      </c>
      <c r="G70" s="125">
        <v>12.2</v>
      </c>
      <c r="H70" s="126">
        <v>87</v>
      </c>
      <c r="I70" s="126" t="str">
        <v>PB7</v>
      </c>
      <c r="J70" s="127">
        <v>1.6018518518518519E-3</v>
      </c>
      <c r="K70" s="126">
        <v>43</v>
      </c>
      <c r="L70" s="126" t="str">
        <v>PB2</v>
      </c>
      <c r="M70" s="128">
        <v>2.62</v>
      </c>
      <c r="N70" s="126">
        <v>54</v>
      </c>
      <c r="O70" s="126" t="str">
        <v>PB4</v>
      </c>
      <c r="P70" s="128">
        <v>15.22</v>
      </c>
      <c r="Q70" s="126">
        <v>36</v>
      </c>
      <c r="R70" s="126">
        <v>220</v>
      </c>
      <c r="S70" s="126" t="str">
        <v/>
      </c>
      <c r="T70" s="126">
        <v>5</v>
      </c>
      <c r="U70" s="126" t="str">
        <v/>
      </c>
      <c r="V70" s="139">
        <v>32</v>
      </c>
      <c r="W70" s="25"/>
    </row>
    <row r="71" spans="1:23" ht="19.95" customHeight="1">
      <c r="A71" s="369"/>
      <c r="B71" s="145">
        <v>63</v>
      </c>
      <c r="C71" s="126" t="str">
        <v>BETH JOHNSTON</v>
      </c>
      <c r="D71" s="126" t="str">
        <v>Fleet &amp; Crookham AC</v>
      </c>
      <c r="E71" s="126" t="str">
        <v>GIRLS</v>
      </c>
      <c r="F71" s="126" t="str">
        <v>U12</v>
      </c>
      <c r="G71" s="125">
        <v>12.6</v>
      </c>
      <c r="H71" s="126">
        <v>78</v>
      </c>
      <c r="I71" s="126" t="str">
        <v>PB6</v>
      </c>
      <c r="J71" s="127">
        <v>1.5798611111111111E-3</v>
      </c>
      <c r="K71" s="126">
        <v>47</v>
      </c>
      <c r="L71" s="126" t="str">
        <v>PB2</v>
      </c>
      <c r="M71" s="128">
        <v>2.75</v>
      </c>
      <c r="N71" s="126">
        <v>60</v>
      </c>
      <c r="O71" s="126" t="str">
        <v>PB5</v>
      </c>
      <c r="P71" s="128">
        <v>10.99</v>
      </c>
      <c r="Q71" s="126">
        <v>17</v>
      </c>
      <c r="R71" s="126">
        <v>202</v>
      </c>
      <c r="S71" s="126" t="str">
        <v/>
      </c>
      <c r="T71" s="126">
        <v>6</v>
      </c>
      <c r="U71" s="126" t="str">
        <v/>
      </c>
      <c r="V71" s="139">
        <v>37</v>
      </c>
      <c r="W71" s="25"/>
    </row>
    <row r="72" spans="1:23" ht="19.95" customHeight="1">
      <c r="A72" s="369"/>
      <c r="B72" s="145">
        <v>65</v>
      </c>
      <c r="C72" s="126" t="str">
        <v>HONEY FLINT</v>
      </c>
      <c r="D72" s="126" t="str">
        <v>Fleet &amp; Crookham AC</v>
      </c>
      <c r="E72" s="126" t="str">
        <v>GIRLS</v>
      </c>
      <c r="F72" s="126" t="str">
        <v>U12</v>
      </c>
      <c r="G72" s="125">
        <v>13.4</v>
      </c>
      <c r="H72" s="126">
        <v>62</v>
      </c>
      <c r="I72" s="126" t="str">
        <v>PB5</v>
      </c>
      <c r="J72" s="127">
        <v>1.8726851851851853E-3</v>
      </c>
      <c r="K72" s="126">
        <v>17</v>
      </c>
      <c r="L72" s="126" t="str">
        <v/>
      </c>
      <c r="M72" s="128">
        <v>2.74</v>
      </c>
      <c r="N72" s="126">
        <v>59</v>
      </c>
      <c r="O72" s="126" t="str">
        <v>PB4</v>
      </c>
      <c r="P72" s="128">
        <v>14.22</v>
      </c>
      <c r="Q72" s="126">
        <v>31</v>
      </c>
      <c r="R72" s="126">
        <v>169</v>
      </c>
      <c r="S72" s="126" t="str">
        <v/>
      </c>
      <c r="T72" s="126">
        <v>7</v>
      </c>
      <c r="U72" s="126" t="str">
        <v/>
      </c>
      <c r="V72" s="139">
        <v>43</v>
      </c>
      <c r="W72" s="25"/>
    </row>
    <row r="73" spans="1:23" ht="19.95" customHeight="1">
      <c r="A73" s="369"/>
      <c r="B73" s="145">
        <v>69</v>
      </c>
      <c r="C73" s="126" t="str">
        <v>NORA BRADFORD</v>
      </c>
      <c r="D73" s="126" t="str">
        <v>Fleet &amp; Crookham AC</v>
      </c>
      <c r="E73" s="126" t="str">
        <v>GIRLS</v>
      </c>
      <c r="F73" s="126" t="str">
        <v>U12</v>
      </c>
      <c r="G73" s="125">
        <v>13.6</v>
      </c>
      <c r="H73" s="126">
        <v>58</v>
      </c>
      <c r="I73" s="126" t="str">
        <v>PB4</v>
      </c>
      <c r="J73" s="127">
        <v>1.5868055555555555E-3</v>
      </c>
      <c r="K73" s="126">
        <v>45</v>
      </c>
      <c r="L73" s="126" t="str">
        <v>PB2</v>
      </c>
      <c r="M73" s="128">
        <v>2.4300000000000002</v>
      </c>
      <c r="N73" s="126">
        <v>46</v>
      </c>
      <c r="O73" s="126" t="str">
        <v>PB3</v>
      </c>
      <c r="P73" s="128" t="str">
        <v/>
      </c>
      <c r="Q73" s="126">
        <v>0</v>
      </c>
      <c r="R73" s="126">
        <v>149</v>
      </c>
      <c r="S73" s="126" t="str">
        <v/>
      </c>
      <c r="T73" s="126">
        <v>8</v>
      </c>
      <c r="U73" s="126" t="str">
        <v/>
      </c>
      <c r="V73" s="139">
        <v>44</v>
      </c>
      <c r="W73" s="25"/>
    </row>
    <row r="74" spans="1:23" ht="19.95" customHeight="1">
      <c r="A74" s="369"/>
      <c r="B74" s="145">
        <v>66</v>
      </c>
      <c r="C74" s="126" t="str">
        <v>DAISY STEWART</v>
      </c>
      <c r="D74" s="126" t="str">
        <v>Fleet &amp; Crookham AC</v>
      </c>
      <c r="E74" s="126" t="str">
        <v>GIRLS</v>
      </c>
      <c r="F74" s="126" t="str">
        <v>U12</v>
      </c>
      <c r="G74" s="125" t="str">
        <v/>
      </c>
      <c r="H74" s="126">
        <v>0</v>
      </c>
      <c r="I74" s="126" t="str">
        <v/>
      </c>
      <c r="J74" s="127">
        <v>0</v>
      </c>
      <c r="K74" s="126">
        <v>0</v>
      </c>
      <c r="L74" s="126" t="str">
        <v/>
      </c>
      <c r="M74" s="128" t="str">
        <v/>
      </c>
      <c r="N74" s="126">
        <v>0</v>
      </c>
      <c r="O74" s="126">
        <v>0</v>
      </c>
      <c r="P74" s="128" t="str">
        <v/>
      </c>
      <c r="Q74" s="126">
        <v>0</v>
      </c>
      <c r="R74" s="126">
        <v>0</v>
      </c>
      <c r="S74" s="126" t="str">
        <v/>
      </c>
      <c r="T74" s="126" t="str">
        <v/>
      </c>
      <c r="U74" s="126" t="str">
        <v/>
      </c>
      <c r="V74" s="139" t="str">
        <v/>
      </c>
      <c r="W74" s="25"/>
    </row>
    <row r="75" spans="1:23" ht="19.95" customHeight="1">
      <c r="A75" s="369"/>
      <c r="B75" s="145">
        <v>68</v>
      </c>
      <c r="C75" s="126" t="str">
        <v>FEARNE STRONG</v>
      </c>
      <c r="D75" s="126" t="str">
        <v>Fleet &amp; Crookham AC</v>
      </c>
      <c r="E75" s="126" t="str">
        <v>GIRLS</v>
      </c>
      <c r="F75" s="126" t="str">
        <v>U12</v>
      </c>
      <c r="G75" s="125" t="str">
        <v/>
      </c>
      <c r="H75" s="126">
        <v>0</v>
      </c>
      <c r="I75" s="126" t="str">
        <v/>
      </c>
      <c r="J75" s="127">
        <v>0</v>
      </c>
      <c r="K75" s="126">
        <v>0</v>
      </c>
      <c r="L75" s="126" t="str">
        <v/>
      </c>
      <c r="M75" s="128" t="str">
        <v/>
      </c>
      <c r="N75" s="126">
        <v>0</v>
      </c>
      <c r="O75" s="126">
        <v>0</v>
      </c>
      <c r="P75" s="128" t="str">
        <v/>
      </c>
      <c r="Q75" s="126">
        <v>0</v>
      </c>
      <c r="R75" s="126">
        <v>0</v>
      </c>
      <c r="S75" s="126" t="str">
        <v/>
      </c>
      <c r="T75" s="126" t="str">
        <v/>
      </c>
      <c r="U75" s="126" t="str">
        <v/>
      </c>
      <c r="V75" s="139" t="str">
        <v/>
      </c>
      <c r="W75" s="25"/>
    </row>
    <row r="76" spans="1:23" ht="19.95" customHeight="1">
      <c r="A76" s="369"/>
      <c r="B76" s="145"/>
      <c r="C76" s="126"/>
      <c r="D76" s="126"/>
      <c r="E76" s="126"/>
      <c r="F76" s="126"/>
      <c r="G76" s="125"/>
      <c r="H76" s="126"/>
      <c r="I76" s="126"/>
      <c r="J76" s="127"/>
      <c r="K76" s="126"/>
      <c r="L76" s="126"/>
      <c r="M76" s="128"/>
      <c r="N76" s="126"/>
      <c r="O76" s="126"/>
      <c r="P76" s="128"/>
      <c r="Q76" s="126"/>
      <c r="R76" s="126"/>
      <c r="S76" s="126"/>
      <c r="T76" s="126"/>
      <c r="U76" s="126"/>
      <c r="V76" s="139"/>
      <c r="W76" s="25"/>
    </row>
    <row r="77" spans="1:23" ht="19.95" customHeight="1">
      <c r="A77" s="369"/>
      <c r="B77" s="145"/>
      <c r="C77" s="126"/>
      <c r="D77" s="126"/>
      <c r="E77" s="126"/>
      <c r="F77" s="126"/>
      <c r="G77" s="125"/>
      <c r="H77" s="126"/>
      <c r="I77" s="126"/>
      <c r="J77" s="127"/>
      <c r="K77" s="126"/>
      <c r="L77" s="126"/>
      <c r="M77" s="128"/>
      <c r="N77" s="126"/>
      <c r="O77" s="126"/>
      <c r="P77" s="128"/>
      <c r="Q77" s="126"/>
      <c r="R77" s="126"/>
      <c r="S77" s="126"/>
      <c r="T77" s="126"/>
      <c r="U77" s="126"/>
      <c r="V77" s="139"/>
      <c r="W77" s="25"/>
    </row>
    <row r="78" spans="1:23" ht="19.95" customHeight="1">
      <c r="A78" s="369"/>
      <c r="B78" s="145"/>
      <c r="C78" s="126"/>
      <c r="D78" s="126"/>
      <c r="E78" s="126"/>
      <c r="F78" s="126"/>
      <c r="G78" s="125"/>
      <c r="H78" s="126"/>
      <c r="I78" s="126"/>
      <c r="J78" s="127"/>
      <c r="K78" s="126"/>
      <c r="L78" s="126"/>
      <c r="M78" s="128"/>
      <c r="N78" s="126"/>
      <c r="O78" s="126"/>
      <c r="P78" s="128"/>
      <c r="Q78" s="126"/>
      <c r="R78" s="126"/>
      <c r="S78" s="126"/>
      <c r="T78" s="126"/>
      <c r="U78" s="126"/>
      <c r="V78" s="139"/>
      <c r="W78" s="25"/>
    </row>
    <row r="79" spans="1:23" ht="19.95" customHeight="1">
      <c r="A79" s="369"/>
      <c r="B79" s="145"/>
      <c r="C79" s="126"/>
      <c r="D79" s="126"/>
      <c r="E79" s="126"/>
      <c r="F79" s="126"/>
      <c r="G79" s="125"/>
      <c r="H79" s="126"/>
      <c r="I79" s="126"/>
      <c r="J79" s="127"/>
      <c r="K79" s="126"/>
      <c r="L79" s="126"/>
      <c r="M79" s="128"/>
      <c r="N79" s="126"/>
      <c r="O79" s="126"/>
      <c r="P79" s="128"/>
      <c r="Q79" s="126"/>
      <c r="R79" s="126"/>
      <c r="S79" s="126"/>
      <c r="T79" s="126"/>
      <c r="U79" s="126"/>
      <c r="V79" s="139"/>
      <c r="W79" s="25"/>
    </row>
    <row r="80" spans="1:23" ht="19.95" customHeight="1">
      <c r="A80" s="369"/>
      <c r="B80" s="145"/>
      <c r="C80" s="126"/>
      <c r="D80" s="126"/>
      <c r="E80" s="126"/>
      <c r="F80" s="126"/>
      <c r="G80" s="125"/>
      <c r="H80" s="126"/>
      <c r="I80" s="126"/>
      <c r="J80" s="127"/>
      <c r="K80" s="126"/>
      <c r="L80" s="126"/>
      <c r="M80" s="128"/>
      <c r="N80" s="126"/>
      <c r="O80" s="126"/>
      <c r="P80" s="128"/>
      <c r="Q80" s="126"/>
      <c r="R80" s="126"/>
      <c r="S80" s="126"/>
      <c r="T80" s="126"/>
      <c r="U80" s="126"/>
      <c r="V80" s="139"/>
      <c r="W80" s="25"/>
    </row>
    <row r="81" spans="1:23" ht="19.95" customHeight="1">
      <c r="A81" s="369"/>
      <c r="B81" s="145"/>
      <c r="C81" s="126"/>
      <c r="D81" s="126"/>
      <c r="E81" s="126"/>
      <c r="F81" s="126"/>
      <c r="G81" s="125"/>
      <c r="H81" s="126"/>
      <c r="I81" s="126"/>
      <c r="J81" s="127"/>
      <c r="K81" s="126"/>
      <c r="L81" s="126"/>
      <c r="M81" s="128"/>
      <c r="N81" s="126"/>
      <c r="O81" s="126"/>
      <c r="P81" s="128"/>
      <c r="Q81" s="126"/>
      <c r="R81" s="126"/>
      <c r="S81" s="126"/>
      <c r="T81" s="126"/>
      <c r="U81" s="126"/>
      <c r="V81" s="139"/>
      <c r="W81" s="25"/>
    </row>
    <row r="82" spans="1:23" ht="19.95" customHeight="1">
      <c r="A82" s="369"/>
      <c r="B82" s="145"/>
      <c r="C82" s="126"/>
      <c r="D82" s="126"/>
      <c r="E82" s="126"/>
      <c r="F82" s="126"/>
      <c r="G82" s="125"/>
      <c r="H82" s="126"/>
      <c r="I82" s="126"/>
      <c r="J82" s="127"/>
      <c r="K82" s="126"/>
      <c r="L82" s="126"/>
      <c r="M82" s="128"/>
      <c r="N82" s="126"/>
      <c r="O82" s="126"/>
      <c r="P82" s="128"/>
      <c r="Q82" s="126"/>
      <c r="R82" s="126"/>
      <c r="S82" s="126"/>
      <c r="T82" s="126"/>
      <c r="U82" s="126"/>
      <c r="V82" s="139"/>
      <c r="W82" s="25"/>
    </row>
    <row r="83" spans="1:23" ht="19.95" customHeight="1">
      <c r="A83" s="369"/>
      <c r="B83" s="145"/>
      <c r="C83" s="126"/>
      <c r="D83" s="126"/>
      <c r="E83" s="126"/>
      <c r="F83" s="126"/>
      <c r="G83" s="125"/>
      <c r="H83" s="126"/>
      <c r="I83" s="126"/>
      <c r="J83" s="127"/>
      <c r="K83" s="126"/>
      <c r="L83" s="126"/>
      <c r="M83" s="128"/>
      <c r="N83" s="126"/>
      <c r="O83" s="126"/>
      <c r="P83" s="128"/>
      <c r="Q83" s="126"/>
      <c r="R83" s="126"/>
      <c r="S83" s="126"/>
      <c r="T83" s="126"/>
      <c r="U83" s="126"/>
      <c r="V83" s="139"/>
      <c r="W83" s="25"/>
    </row>
    <row r="84" spans="1:23" ht="19.95" customHeight="1">
      <c r="A84" s="369"/>
      <c r="B84" s="145"/>
      <c r="C84" s="126"/>
      <c r="D84" s="126"/>
      <c r="E84" s="126"/>
      <c r="F84" s="126"/>
      <c r="G84" s="125"/>
      <c r="H84" s="126"/>
      <c r="I84" s="126"/>
      <c r="J84" s="127"/>
      <c r="K84" s="126"/>
      <c r="L84" s="126"/>
      <c r="M84" s="128"/>
      <c r="N84" s="126"/>
      <c r="O84" s="126"/>
      <c r="P84" s="128"/>
      <c r="Q84" s="126"/>
      <c r="R84" s="126"/>
      <c r="S84" s="126"/>
      <c r="T84" s="126"/>
      <c r="U84" s="126"/>
      <c r="V84" s="139"/>
      <c r="W84" s="25"/>
    </row>
    <row r="85" spans="1:23" ht="19.95" customHeight="1" thickBot="1">
      <c r="A85" s="370"/>
      <c r="B85" s="146"/>
      <c r="C85" s="140"/>
      <c r="D85" s="140"/>
      <c r="E85" s="140"/>
      <c r="F85" s="140"/>
      <c r="G85" s="141"/>
      <c r="H85" s="140"/>
      <c r="I85" s="140"/>
      <c r="J85" s="142"/>
      <c r="K85" s="140"/>
      <c r="L85" s="140"/>
      <c r="M85" s="143"/>
      <c r="N85" s="140"/>
      <c r="O85" s="140"/>
      <c r="P85" s="143"/>
      <c r="Q85" s="140"/>
      <c r="R85" s="140"/>
      <c r="S85" s="140"/>
      <c r="T85" s="140"/>
      <c r="U85" s="140"/>
      <c r="V85" s="144"/>
      <c r="W85" s="25"/>
    </row>
    <row r="86" spans="1:23" ht="19.95" customHeight="1">
      <c r="A86" s="368" t="str">
        <f>'Read Me First'!C15</f>
        <v>Waverley Athletics Club</v>
      </c>
      <c r="B86" s="133" cm="1">
        <f t="array" ref="B86:V95">_xlfn.LET(_xlpm.x, _xlfn._xlws.SORT(_xlfn._xlws.FILTER(Data!$A$249:$U$536,(Data!$C$249:$C$536=$A86)*(Data!$D$249:$D$536=$E$4)*(Data!$E$249:$E$536="U10")),18),_xlpm.y,_xlfn._xlws.SORT(_xlfn._xlws.FILTER(Data!$A$249:$U$536,(Data!$C$249:$C$536=$A86)*(Data!$D$249:$D$536=$E$4)*(Data!$E$249:$E$536="U12")),19), IFERROR(_xlfn.VSTACK(_xlpm.x,_xlpm.y), IFERROR(_xlpm.y,IFERROR(_xlpm.x, ""))))</f>
        <v>85</v>
      </c>
      <c r="C86" s="134" t="str">
        <v>SOPHIE HALL</v>
      </c>
      <c r="D86" s="134" t="str">
        <v>Waverley Athletics Club</v>
      </c>
      <c r="E86" s="134" t="str">
        <v>GIRLS</v>
      </c>
      <c r="F86" s="134" t="str">
        <v>U12</v>
      </c>
      <c r="G86" s="135">
        <v>11.1</v>
      </c>
      <c r="H86" s="134">
        <v>112</v>
      </c>
      <c r="I86" s="134" t="str">
        <v>PB9</v>
      </c>
      <c r="J86" s="136">
        <v>1.3298611111111111E-3</v>
      </c>
      <c r="K86" s="134">
        <v>90</v>
      </c>
      <c r="L86" s="134" t="str">
        <v>PB7</v>
      </c>
      <c r="M86" s="137">
        <v>3.48</v>
      </c>
      <c r="N86" s="134">
        <v>89</v>
      </c>
      <c r="O86" s="134" t="str">
        <v>PB7</v>
      </c>
      <c r="P86" s="137">
        <v>19.14</v>
      </c>
      <c r="Q86" s="134">
        <v>55</v>
      </c>
      <c r="R86" s="134">
        <v>346</v>
      </c>
      <c r="S86" s="134" t="str">
        <v/>
      </c>
      <c r="T86" s="134">
        <v>1</v>
      </c>
      <c r="U86" s="134" t="str">
        <v/>
      </c>
      <c r="V86" s="138">
        <v>4</v>
      </c>
      <c r="W86" s="25"/>
    </row>
    <row r="87" spans="1:23" ht="19.95" customHeight="1">
      <c r="A87" s="369"/>
      <c r="B87" s="145">
        <v>84</v>
      </c>
      <c r="C87" s="126" t="str">
        <v>FREYA MCKENZIE</v>
      </c>
      <c r="D87" s="126" t="str">
        <v>Waverley Athletics Club</v>
      </c>
      <c r="E87" s="126" t="str">
        <v>GIRLS</v>
      </c>
      <c r="F87" s="126" t="str">
        <v>U12</v>
      </c>
      <c r="G87" s="125">
        <v>11.3</v>
      </c>
      <c r="H87" s="126">
        <v>108</v>
      </c>
      <c r="I87" s="126" t="str">
        <v>PB9</v>
      </c>
      <c r="J87" s="127">
        <v>1.6111111111111109E-3</v>
      </c>
      <c r="K87" s="126">
        <v>41</v>
      </c>
      <c r="L87" s="126" t="str">
        <v>PB2</v>
      </c>
      <c r="M87" s="128">
        <v>3.63</v>
      </c>
      <c r="N87" s="126">
        <v>94</v>
      </c>
      <c r="O87" s="126" t="str">
        <v>PB8</v>
      </c>
      <c r="P87" s="128">
        <v>22.77</v>
      </c>
      <c r="Q87" s="126">
        <v>73</v>
      </c>
      <c r="R87" s="126">
        <v>316</v>
      </c>
      <c r="S87" s="126" t="str">
        <v/>
      </c>
      <c r="T87" s="126">
        <v>2</v>
      </c>
      <c r="U87" s="126" t="str">
        <v/>
      </c>
      <c r="V87" s="139">
        <v>10</v>
      </c>
      <c r="W87" s="25"/>
    </row>
    <row r="88" spans="1:23" ht="19.95" customHeight="1">
      <c r="A88" s="369"/>
      <c r="B88" s="145">
        <v>82</v>
      </c>
      <c r="C88" s="126" t="str">
        <v>MATILDA KEER</v>
      </c>
      <c r="D88" s="126" t="str">
        <v>Waverley Athletics Club</v>
      </c>
      <c r="E88" s="126" t="str">
        <v>GIRLS</v>
      </c>
      <c r="F88" s="126" t="str">
        <v>U12</v>
      </c>
      <c r="G88" s="125">
        <v>11.8</v>
      </c>
      <c r="H88" s="126">
        <v>97</v>
      </c>
      <c r="I88" s="126" t="str">
        <v>PB8</v>
      </c>
      <c r="J88" s="127">
        <v>1.4918981481481482E-3</v>
      </c>
      <c r="K88" s="126">
        <v>62</v>
      </c>
      <c r="L88" s="126" t="str">
        <v>PB4</v>
      </c>
      <c r="M88" s="128">
        <v>3.58</v>
      </c>
      <c r="N88" s="126">
        <v>92</v>
      </c>
      <c r="O88" s="126" t="str">
        <v>PB8</v>
      </c>
      <c r="P88" s="128">
        <v>17.89</v>
      </c>
      <c r="Q88" s="126">
        <v>49</v>
      </c>
      <c r="R88" s="126">
        <v>300</v>
      </c>
      <c r="S88" s="126" t="str">
        <v/>
      </c>
      <c r="T88" s="126">
        <v>3</v>
      </c>
      <c r="U88" s="126" t="str">
        <v/>
      </c>
      <c r="V88" s="139">
        <v>12</v>
      </c>
      <c r="W88" s="25"/>
    </row>
    <row r="89" spans="1:23" ht="19.95" customHeight="1">
      <c r="A89" s="369"/>
      <c r="B89" s="145">
        <v>86</v>
      </c>
      <c r="C89" s="126" t="str">
        <v>EMILY HANAK</v>
      </c>
      <c r="D89" s="126" t="str">
        <v>Waverley Athletics Club</v>
      </c>
      <c r="E89" s="126" t="str">
        <v>GIRLS</v>
      </c>
      <c r="F89" s="126" t="str">
        <v>U12</v>
      </c>
      <c r="G89" s="125">
        <v>11.8</v>
      </c>
      <c r="H89" s="126">
        <v>97</v>
      </c>
      <c r="I89" s="126" t="str">
        <v>PB8</v>
      </c>
      <c r="J89" s="127">
        <v>1.4942129629629628E-3</v>
      </c>
      <c r="K89" s="126">
        <v>61</v>
      </c>
      <c r="L89" s="126" t="str">
        <v>PB4</v>
      </c>
      <c r="M89" s="128">
        <v>3.24</v>
      </c>
      <c r="N89" s="126">
        <v>79</v>
      </c>
      <c r="O89" s="126" t="str">
        <v>PB6</v>
      </c>
      <c r="P89" s="128">
        <v>20.6</v>
      </c>
      <c r="Q89" s="126">
        <v>63</v>
      </c>
      <c r="R89" s="126">
        <v>300</v>
      </c>
      <c r="S89" s="126" t="str">
        <v/>
      </c>
      <c r="T89" s="126">
        <v>3</v>
      </c>
      <c r="U89" s="126" t="str">
        <v/>
      </c>
      <c r="V89" s="139">
        <v>12</v>
      </c>
      <c r="W89" s="25"/>
    </row>
    <row r="90" spans="1:23" ht="19.95" customHeight="1">
      <c r="A90" s="369"/>
      <c r="B90" s="145">
        <v>81</v>
      </c>
      <c r="C90" s="126" t="str">
        <v>FREYA BURGE</v>
      </c>
      <c r="D90" s="126" t="str">
        <v>Waverley Athletics Club</v>
      </c>
      <c r="E90" s="126" t="str">
        <v>GIRLS</v>
      </c>
      <c r="F90" s="126" t="str">
        <v>U12</v>
      </c>
      <c r="G90" s="125">
        <v>11.8</v>
      </c>
      <c r="H90" s="126">
        <v>97</v>
      </c>
      <c r="I90" s="126" t="str">
        <v>PB8</v>
      </c>
      <c r="J90" s="127">
        <v>1.414351851851852E-3</v>
      </c>
      <c r="K90" s="126">
        <v>75</v>
      </c>
      <c r="L90" s="126" t="str">
        <v>PB5</v>
      </c>
      <c r="M90" s="128">
        <v>3.15</v>
      </c>
      <c r="N90" s="126">
        <v>75</v>
      </c>
      <c r="O90" s="126" t="str">
        <v>PB6</v>
      </c>
      <c r="P90" s="128">
        <v>14.91</v>
      </c>
      <c r="Q90" s="126">
        <v>34</v>
      </c>
      <c r="R90" s="126">
        <v>281</v>
      </c>
      <c r="S90" s="126" t="str">
        <v/>
      </c>
      <c r="T90" s="126">
        <v>5</v>
      </c>
      <c r="U90" s="126" t="str">
        <v/>
      </c>
      <c r="V90" s="139">
        <v>14</v>
      </c>
      <c r="W90" s="54"/>
    </row>
    <row r="91" spans="1:23" ht="19.95" customHeight="1">
      <c r="A91" s="369"/>
      <c r="B91" s="145">
        <v>83</v>
      </c>
      <c r="C91" s="126" t="str">
        <v>ELEANOR OLALEMI</v>
      </c>
      <c r="D91" s="126" t="str">
        <v>Waverley Athletics Club</v>
      </c>
      <c r="E91" s="126" t="str">
        <v>GIRLS</v>
      </c>
      <c r="F91" s="126" t="str">
        <v>U12</v>
      </c>
      <c r="G91" s="125">
        <v>15.2</v>
      </c>
      <c r="H91" s="126">
        <v>28</v>
      </c>
      <c r="I91" s="126" t="str">
        <v>PB1</v>
      </c>
      <c r="J91" s="127">
        <v>1.7534722222222222E-3</v>
      </c>
      <c r="K91" s="126">
        <v>23</v>
      </c>
      <c r="L91" s="126" t="str">
        <v>PB1</v>
      </c>
      <c r="M91" s="128">
        <v>2.34</v>
      </c>
      <c r="N91" s="126">
        <v>43</v>
      </c>
      <c r="O91" s="126" t="str">
        <v>PB3</v>
      </c>
      <c r="P91" s="128">
        <v>10.25</v>
      </c>
      <c r="Q91" s="126">
        <v>16</v>
      </c>
      <c r="R91" s="126">
        <v>110</v>
      </c>
      <c r="S91" s="126" t="str">
        <v/>
      </c>
      <c r="T91" s="126">
        <v>6</v>
      </c>
      <c r="U91" s="126" t="str">
        <v/>
      </c>
      <c r="V91" s="139">
        <v>45</v>
      </c>
      <c r="W91" s="25"/>
    </row>
    <row r="92" spans="1:23" ht="19.95" customHeight="1">
      <c r="A92" s="369"/>
      <c r="B92" s="145">
        <v>87</v>
      </c>
      <c r="C92" s="126" t="str">
        <v/>
      </c>
      <c r="D92" s="126" t="str">
        <v>Waverley Athletics Club</v>
      </c>
      <c r="E92" s="126" t="str">
        <v>GIRLS</v>
      </c>
      <c r="F92" s="126" t="str">
        <v>U12</v>
      </c>
      <c r="G92" s="125" t="str">
        <v/>
      </c>
      <c r="H92" s="126">
        <v>0</v>
      </c>
      <c r="I92" s="126" t="str">
        <v/>
      </c>
      <c r="J92" s="127">
        <v>0</v>
      </c>
      <c r="K92" s="126">
        <v>0</v>
      </c>
      <c r="L92" s="126" t="str">
        <v/>
      </c>
      <c r="M92" s="128" t="str">
        <v/>
      </c>
      <c r="N92" s="126">
        <v>0</v>
      </c>
      <c r="O92" s="126" t="str">
        <v/>
      </c>
      <c r="P92" s="128" t="str">
        <v/>
      </c>
      <c r="Q92" s="126">
        <v>0</v>
      </c>
      <c r="R92" s="126">
        <v>0</v>
      </c>
      <c r="S92" s="126" t="str">
        <v/>
      </c>
      <c r="T92" s="126" t="str">
        <v/>
      </c>
      <c r="U92" s="126" t="str">
        <v/>
      </c>
      <c r="V92" s="139" t="str">
        <v/>
      </c>
      <c r="W92" s="25"/>
    </row>
    <row r="93" spans="1:23" ht="19.95" customHeight="1">
      <c r="A93" s="369"/>
      <c r="B93" s="145">
        <v>88</v>
      </c>
      <c r="C93" s="126" t="str">
        <v/>
      </c>
      <c r="D93" s="126" t="str">
        <v>Waverley Athletics Club</v>
      </c>
      <c r="E93" s="126" t="str">
        <v>GIRLS</v>
      </c>
      <c r="F93" s="126" t="str">
        <v>U12</v>
      </c>
      <c r="G93" s="125" t="str">
        <v/>
      </c>
      <c r="H93" s="126">
        <v>0</v>
      </c>
      <c r="I93" s="126" t="str">
        <v/>
      </c>
      <c r="J93" s="127">
        <v>0</v>
      </c>
      <c r="K93" s="126">
        <v>0</v>
      </c>
      <c r="L93" s="126" t="str">
        <v/>
      </c>
      <c r="M93" s="128" t="str">
        <v/>
      </c>
      <c r="N93" s="126">
        <v>0</v>
      </c>
      <c r="O93" s="126" t="str">
        <v/>
      </c>
      <c r="P93" s="128" t="str">
        <v/>
      </c>
      <c r="Q93" s="126">
        <v>0</v>
      </c>
      <c r="R93" s="126">
        <v>0</v>
      </c>
      <c r="S93" s="126" t="str">
        <v/>
      </c>
      <c r="T93" s="126" t="str">
        <v/>
      </c>
      <c r="U93" s="126" t="str">
        <v/>
      </c>
      <c r="V93" s="139" t="str">
        <v/>
      </c>
      <c r="W93" s="25"/>
    </row>
    <row r="94" spans="1:23" ht="19.95" customHeight="1">
      <c r="A94" s="369"/>
      <c r="B94" s="145">
        <v>89</v>
      </c>
      <c r="C94" s="126" t="str">
        <v/>
      </c>
      <c r="D94" s="126" t="str">
        <v>Waverley Athletics Club</v>
      </c>
      <c r="E94" s="126" t="str">
        <v>GIRLS</v>
      </c>
      <c r="F94" s="126" t="str">
        <v>U12</v>
      </c>
      <c r="G94" s="125" t="str">
        <v/>
      </c>
      <c r="H94" s="126">
        <v>0</v>
      </c>
      <c r="I94" s="126" t="str">
        <v/>
      </c>
      <c r="J94" s="127">
        <v>0</v>
      </c>
      <c r="K94" s="126">
        <v>0</v>
      </c>
      <c r="L94" s="126" t="str">
        <v/>
      </c>
      <c r="M94" s="128" t="str">
        <v/>
      </c>
      <c r="N94" s="126">
        <v>0</v>
      </c>
      <c r="O94" s="126" t="str">
        <v/>
      </c>
      <c r="P94" s="128" t="str">
        <v/>
      </c>
      <c r="Q94" s="126">
        <v>0</v>
      </c>
      <c r="R94" s="126">
        <v>0</v>
      </c>
      <c r="S94" s="126" t="str">
        <v/>
      </c>
      <c r="T94" s="126" t="str">
        <v/>
      </c>
      <c r="U94" s="126" t="str">
        <v/>
      </c>
      <c r="V94" s="139" t="str">
        <v/>
      </c>
      <c r="W94" s="25"/>
    </row>
    <row r="95" spans="1:23" ht="19.95" customHeight="1">
      <c r="A95" s="369"/>
      <c r="B95" s="145">
        <v>90</v>
      </c>
      <c r="C95" s="126" t="str">
        <v/>
      </c>
      <c r="D95" s="126" t="str">
        <v>Waverley Athletics Club</v>
      </c>
      <c r="E95" s="126" t="str">
        <v>GIRLS</v>
      </c>
      <c r="F95" s="126" t="str">
        <v>U12</v>
      </c>
      <c r="G95" s="125" t="str">
        <v/>
      </c>
      <c r="H95" s="126">
        <v>0</v>
      </c>
      <c r="I95" s="126" t="str">
        <v/>
      </c>
      <c r="J95" s="127">
        <v>0</v>
      </c>
      <c r="K95" s="126">
        <v>0</v>
      </c>
      <c r="L95" s="126" t="str">
        <v/>
      </c>
      <c r="M95" s="128" t="str">
        <v/>
      </c>
      <c r="N95" s="126">
        <v>0</v>
      </c>
      <c r="O95" s="126" t="str">
        <v/>
      </c>
      <c r="P95" s="128" t="str">
        <v/>
      </c>
      <c r="Q95" s="126">
        <v>0</v>
      </c>
      <c r="R95" s="126">
        <v>0</v>
      </c>
      <c r="S95" s="126" t="str">
        <v/>
      </c>
      <c r="T95" s="126" t="str">
        <v/>
      </c>
      <c r="U95" s="126" t="str">
        <v/>
      </c>
      <c r="V95" s="139" t="str">
        <v/>
      </c>
      <c r="W95" s="25"/>
    </row>
    <row r="96" spans="1:23" ht="19.95" customHeight="1">
      <c r="A96" s="369"/>
      <c r="B96" s="145"/>
      <c r="C96" s="126"/>
      <c r="D96" s="126"/>
      <c r="E96" s="126"/>
      <c r="F96" s="126"/>
      <c r="G96" s="125"/>
      <c r="H96" s="126"/>
      <c r="I96" s="126"/>
      <c r="J96" s="127"/>
      <c r="K96" s="126"/>
      <c r="L96" s="126"/>
      <c r="M96" s="128"/>
      <c r="N96" s="126"/>
      <c r="O96" s="126"/>
      <c r="P96" s="128"/>
      <c r="Q96" s="126"/>
      <c r="R96" s="126"/>
      <c r="S96" s="126"/>
      <c r="T96" s="126"/>
      <c r="U96" s="126"/>
      <c r="V96" s="139"/>
      <c r="W96" s="25"/>
    </row>
    <row r="97" spans="1:23" ht="19.95" customHeight="1">
      <c r="A97" s="369"/>
      <c r="B97" s="145"/>
      <c r="C97" s="126"/>
      <c r="D97" s="126"/>
      <c r="E97" s="126"/>
      <c r="F97" s="126"/>
      <c r="G97" s="125"/>
      <c r="H97" s="126"/>
      <c r="I97" s="126"/>
      <c r="J97" s="127"/>
      <c r="K97" s="126"/>
      <c r="L97" s="126"/>
      <c r="M97" s="128"/>
      <c r="N97" s="126"/>
      <c r="O97" s="126"/>
      <c r="P97" s="128"/>
      <c r="Q97" s="126"/>
      <c r="R97" s="126"/>
      <c r="S97" s="126"/>
      <c r="T97" s="126"/>
      <c r="U97" s="126"/>
      <c r="V97" s="139"/>
      <c r="W97" s="25"/>
    </row>
    <row r="98" spans="1:23" ht="19.95" customHeight="1">
      <c r="A98" s="369"/>
      <c r="B98" s="145"/>
      <c r="C98" s="126"/>
      <c r="D98" s="126"/>
      <c r="E98" s="126"/>
      <c r="F98" s="126"/>
      <c r="G98" s="125"/>
      <c r="H98" s="126"/>
      <c r="I98" s="126"/>
      <c r="J98" s="127"/>
      <c r="K98" s="126"/>
      <c r="L98" s="126"/>
      <c r="M98" s="128"/>
      <c r="N98" s="126"/>
      <c r="O98" s="126"/>
      <c r="P98" s="128"/>
      <c r="Q98" s="126"/>
      <c r="R98" s="126"/>
      <c r="S98" s="126"/>
      <c r="T98" s="126"/>
      <c r="U98" s="126"/>
      <c r="V98" s="139"/>
      <c r="W98" s="25"/>
    </row>
    <row r="99" spans="1:23" ht="19.95" customHeight="1">
      <c r="A99" s="369"/>
      <c r="B99" s="145"/>
      <c r="C99" s="126"/>
      <c r="D99" s="126"/>
      <c r="E99" s="126"/>
      <c r="F99" s="126"/>
      <c r="G99" s="125"/>
      <c r="H99" s="126"/>
      <c r="I99" s="126"/>
      <c r="J99" s="127"/>
      <c r="K99" s="126"/>
      <c r="L99" s="126"/>
      <c r="M99" s="128"/>
      <c r="N99" s="126"/>
      <c r="O99" s="126"/>
      <c r="P99" s="128"/>
      <c r="Q99" s="126"/>
      <c r="R99" s="126"/>
      <c r="S99" s="126"/>
      <c r="T99" s="126"/>
      <c r="U99" s="126"/>
      <c r="V99" s="139"/>
      <c r="W99" s="25"/>
    </row>
    <row r="100" spans="1:23" ht="19.95" customHeight="1">
      <c r="A100" s="369"/>
      <c r="B100" s="145"/>
      <c r="C100" s="126"/>
      <c r="D100" s="126"/>
      <c r="E100" s="126"/>
      <c r="F100" s="126"/>
      <c r="G100" s="125"/>
      <c r="H100" s="126"/>
      <c r="I100" s="126"/>
      <c r="J100" s="127"/>
      <c r="K100" s="126"/>
      <c r="L100" s="126"/>
      <c r="M100" s="128"/>
      <c r="N100" s="126"/>
      <c r="O100" s="126"/>
      <c r="P100" s="128"/>
      <c r="Q100" s="126"/>
      <c r="R100" s="126"/>
      <c r="S100" s="126"/>
      <c r="T100" s="126"/>
      <c r="U100" s="126"/>
      <c r="V100" s="139"/>
      <c r="W100" s="25"/>
    </row>
    <row r="101" spans="1:23" ht="19.95" customHeight="1">
      <c r="A101" s="369"/>
      <c r="B101" s="145"/>
      <c r="C101" s="126"/>
      <c r="D101" s="126"/>
      <c r="E101" s="126"/>
      <c r="F101" s="126"/>
      <c r="G101" s="125"/>
      <c r="H101" s="126"/>
      <c r="I101" s="126"/>
      <c r="J101" s="127"/>
      <c r="K101" s="126"/>
      <c r="L101" s="126"/>
      <c r="M101" s="128"/>
      <c r="N101" s="126"/>
      <c r="O101" s="126"/>
      <c r="P101" s="128"/>
      <c r="Q101" s="126"/>
      <c r="R101" s="126"/>
      <c r="S101" s="126"/>
      <c r="T101" s="126"/>
      <c r="U101" s="126"/>
      <c r="V101" s="139"/>
      <c r="W101" s="25"/>
    </row>
    <row r="102" spans="1:23" ht="19.95" customHeight="1">
      <c r="A102" s="369"/>
      <c r="B102" s="145"/>
      <c r="C102" s="126"/>
      <c r="D102" s="126"/>
      <c r="E102" s="126"/>
      <c r="F102" s="126"/>
      <c r="G102" s="125"/>
      <c r="H102" s="126"/>
      <c r="I102" s="126"/>
      <c r="J102" s="127"/>
      <c r="K102" s="126"/>
      <c r="L102" s="126"/>
      <c r="M102" s="128"/>
      <c r="N102" s="126"/>
      <c r="O102" s="126"/>
      <c r="P102" s="128"/>
      <c r="Q102" s="126"/>
      <c r="R102" s="126"/>
      <c r="S102" s="126"/>
      <c r="T102" s="126"/>
      <c r="U102" s="126"/>
      <c r="V102" s="139"/>
      <c r="W102" s="25"/>
    </row>
    <row r="103" spans="1:23" ht="19.95" customHeight="1">
      <c r="A103" s="369"/>
      <c r="B103" s="145"/>
      <c r="C103" s="126"/>
      <c r="D103" s="126"/>
      <c r="E103" s="126"/>
      <c r="F103" s="126"/>
      <c r="G103" s="125"/>
      <c r="H103" s="126"/>
      <c r="I103" s="126"/>
      <c r="J103" s="127"/>
      <c r="K103" s="126"/>
      <c r="L103" s="126"/>
      <c r="M103" s="128"/>
      <c r="N103" s="126"/>
      <c r="O103" s="126"/>
      <c r="P103" s="128"/>
      <c r="Q103" s="126"/>
      <c r="R103" s="126"/>
      <c r="S103" s="126"/>
      <c r="T103" s="126"/>
      <c r="U103" s="126"/>
      <c r="V103" s="139"/>
      <c r="W103" s="25"/>
    </row>
    <row r="104" spans="1:23" ht="19.95" customHeight="1">
      <c r="A104" s="369"/>
      <c r="B104" s="145"/>
      <c r="C104" s="126"/>
      <c r="D104" s="126"/>
      <c r="E104" s="126"/>
      <c r="F104" s="126"/>
      <c r="G104" s="125"/>
      <c r="H104" s="126"/>
      <c r="I104" s="126"/>
      <c r="J104" s="127"/>
      <c r="K104" s="126"/>
      <c r="L104" s="126"/>
      <c r="M104" s="128"/>
      <c r="N104" s="126"/>
      <c r="O104" s="126"/>
      <c r="P104" s="128"/>
      <c r="Q104" s="126"/>
      <c r="R104" s="126"/>
      <c r="S104" s="126"/>
      <c r="T104" s="126"/>
      <c r="U104" s="126"/>
      <c r="V104" s="139"/>
      <c r="W104" s="25"/>
    </row>
    <row r="105" spans="1:23" ht="19.95" customHeight="1" thickBot="1">
      <c r="A105" s="370"/>
      <c r="B105" s="146"/>
      <c r="C105" s="140"/>
      <c r="D105" s="140"/>
      <c r="E105" s="140"/>
      <c r="F105" s="140"/>
      <c r="G105" s="141"/>
      <c r="H105" s="140"/>
      <c r="I105" s="140"/>
      <c r="J105" s="142"/>
      <c r="K105" s="140"/>
      <c r="L105" s="140"/>
      <c r="M105" s="143"/>
      <c r="N105" s="140"/>
      <c r="O105" s="140"/>
      <c r="P105" s="143"/>
      <c r="Q105" s="140"/>
      <c r="R105" s="140"/>
      <c r="S105" s="140"/>
      <c r="T105" s="140"/>
      <c r="U105" s="140"/>
      <c r="V105" s="144"/>
      <c r="W105" s="25"/>
    </row>
    <row r="106" spans="1:23" ht="19.95" customHeight="1">
      <c r="A106" s="368" t="str">
        <f>'Read Me First'!C16</f>
        <v>Basingstoke &amp; Mid Hants AC</v>
      </c>
      <c r="B106" s="133" cm="1">
        <f t="array" ref="B106:V115">_xlfn.LET(_xlpm.x, _xlfn._xlws.SORT(_xlfn._xlws.FILTER(Data!$A$249:$U$536,(Data!$C$249:$C$536=$A106)*(Data!$D$249:$D$536=$E$4)*(Data!$E$249:$E$536="U10")),18),_xlpm.y,_xlfn._xlws.SORT(_xlfn._xlws.FILTER(Data!$A$249:$U$536,(Data!$C$249:$C$536=$A106)*(Data!$D$249:$D$536=$E$4)*(Data!$E$249:$E$536="U12")),19), IFERROR(_xlfn.VSTACK(_xlpm.x,_xlpm.y), IFERROR(_xlpm.y,IFERROR(_xlpm.x, ""))))</f>
        <v>106</v>
      </c>
      <c r="C106" s="134" t="str">
        <v>KLEMANTINE PATA</v>
      </c>
      <c r="D106" s="134" t="str">
        <v>Basingstoke &amp; Mid Hants AC</v>
      </c>
      <c r="E106" s="134" t="str">
        <v>GIRLS</v>
      </c>
      <c r="F106" s="134" t="str">
        <v>U12</v>
      </c>
      <c r="G106" s="135">
        <v>12.3</v>
      </c>
      <c r="H106" s="134">
        <v>85</v>
      </c>
      <c r="I106" s="134" t="str">
        <v>PB7</v>
      </c>
      <c r="J106" s="136">
        <v>1.5706018518518517E-3</v>
      </c>
      <c r="K106" s="134">
        <v>48</v>
      </c>
      <c r="L106" s="134" t="str">
        <v>PB2</v>
      </c>
      <c r="M106" s="137">
        <v>3.23</v>
      </c>
      <c r="N106" s="134">
        <v>79</v>
      </c>
      <c r="O106" s="134" t="str">
        <v>PB6</v>
      </c>
      <c r="P106" s="137">
        <v>16.68</v>
      </c>
      <c r="Q106" s="134">
        <v>43</v>
      </c>
      <c r="R106" s="134">
        <v>255</v>
      </c>
      <c r="S106" s="134" t="str">
        <v/>
      </c>
      <c r="T106" s="134">
        <v>1</v>
      </c>
      <c r="U106" s="134" t="str">
        <v/>
      </c>
      <c r="V106" s="138">
        <v>21</v>
      </c>
      <c r="W106" s="25"/>
    </row>
    <row r="107" spans="1:23" ht="19.95" customHeight="1">
      <c r="A107" s="369"/>
      <c r="B107" s="145">
        <v>102</v>
      </c>
      <c r="C107" s="126" t="str">
        <v>NORA POFF</v>
      </c>
      <c r="D107" s="126" t="str">
        <v>Basingstoke &amp; Mid Hants AC</v>
      </c>
      <c r="E107" s="126" t="str">
        <v>GIRLS</v>
      </c>
      <c r="F107" s="126" t="str">
        <v>U12</v>
      </c>
      <c r="G107" s="125">
        <v>12.5</v>
      </c>
      <c r="H107" s="126">
        <v>80</v>
      </c>
      <c r="I107" s="126" t="str">
        <v>PB7</v>
      </c>
      <c r="J107" s="127">
        <v>1.5312500000000001E-3</v>
      </c>
      <c r="K107" s="126">
        <v>55</v>
      </c>
      <c r="L107" s="126" t="str">
        <v>PB3</v>
      </c>
      <c r="M107" s="128">
        <v>2.87</v>
      </c>
      <c r="N107" s="126">
        <v>64</v>
      </c>
      <c r="O107" s="126" t="str">
        <v>PB5</v>
      </c>
      <c r="P107" s="128">
        <v>15.4</v>
      </c>
      <c r="Q107" s="126">
        <v>37</v>
      </c>
      <c r="R107" s="126">
        <v>236</v>
      </c>
      <c r="S107" s="126" t="str">
        <v/>
      </c>
      <c r="T107" s="126">
        <v>2</v>
      </c>
      <c r="U107" s="126" t="str">
        <v/>
      </c>
      <c r="V107" s="139">
        <v>27</v>
      </c>
      <c r="W107" s="25"/>
    </row>
    <row r="108" spans="1:23" ht="19.95" customHeight="1">
      <c r="A108" s="369"/>
      <c r="B108" s="145">
        <v>103</v>
      </c>
      <c r="C108" s="126" t="str">
        <v>ISLA HOBBINS</v>
      </c>
      <c r="D108" s="126" t="str">
        <v>Basingstoke &amp; Mid Hants AC</v>
      </c>
      <c r="E108" s="126" t="str">
        <v>GIRLS</v>
      </c>
      <c r="F108" s="126" t="str">
        <v>U12</v>
      </c>
      <c r="G108" s="125">
        <v>12.6</v>
      </c>
      <c r="H108" s="126">
        <v>78</v>
      </c>
      <c r="I108" s="126" t="str">
        <v>PB6</v>
      </c>
      <c r="J108" s="127">
        <v>1.5879629629629629E-3</v>
      </c>
      <c r="K108" s="126">
        <v>45</v>
      </c>
      <c r="L108" s="126" t="str">
        <v>PB2</v>
      </c>
      <c r="M108" s="128">
        <v>2.83</v>
      </c>
      <c r="N108" s="126">
        <v>62</v>
      </c>
      <c r="O108" s="126" t="str">
        <v>PB5</v>
      </c>
      <c r="P108" s="128">
        <v>17.350000000000001</v>
      </c>
      <c r="Q108" s="126">
        <v>46</v>
      </c>
      <c r="R108" s="126">
        <v>231</v>
      </c>
      <c r="S108" s="126" t="str">
        <v/>
      </c>
      <c r="T108" s="126">
        <v>3</v>
      </c>
      <c r="U108" s="126" t="str">
        <v/>
      </c>
      <c r="V108" s="139">
        <v>29</v>
      </c>
      <c r="W108" s="25"/>
    </row>
    <row r="109" spans="1:23" ht="19.95" customHeight="1">
      <c r="A109" s="369"/>
      <c r="B109" s="145">
        <v>104</v>
      </c>
      <c r="C109" s="126" t="str">
        <v>BEATRICE MONCAD</v>
      </c>
      <c r="D109" s="126" t="str">
        <v>Basingstoke &amp; Mid Hants AC</v>
      </c>
      <c r="E109" s="126" t="str">
        <v>GIRLS</v>
      </c>
      <c r="F109" s="126" t="str">
        <v>U12</v>
      </c>
      <c r="G109" s="125">
        <v>12.4</v>
      </c>
      <c r="H109" s="126">
        <v>82</v>
      </c>
      <c r="I109" s="126" t="str">
        <v>PB7</v>
      </c>
      <c r="J109" s="127">
        <v>1.5405092592592593E-3</v>
      </c>
      <c r="K109" s="126">
        <v>53</v>
      </c>
      <c r="L109" s="126" t="str">
        <v>PB3</v>
      </c>
      <c r="M109" s="128">
        <v>2.5499999999999998</v>
      </c>
      <c r="N109" s="126">
        <v>51</v>
      </c>
      <c r="O109" s="126" t="str">
        <v>PB4</v>
      </c>
      <c r="P109" s="128">
        <v>14.13</v>
      </c>
      <c r="Q109" s="126">
        <v>30</v>
      </c>
      <c r="R109" s="126">
        <v>216</v>
      </c>
      <c r="S109" s="126" t="str">
        <v/>
      </c>
      <c r="T109" s="126">
        <v>4</v>
      </c>
      <c r="U109" s="126" t="str">
        <v/>
      </c>
      <c r="V109" s="139">
        <v>33</v>
      </c>
      <c r="W109" s="25"/>
    </row>
    <row r="110" spans="1:23" ht="19.95" customHeight="1">
      <c r="A110" s="369"/>
      <c r="B110" s="145">
        <v>101</v>
      </c>
      <c r="C110" s="126" t="str">
        <v>LYRA JINKS</v>
      </c>
      <c r="D110" s="126" t="str">
        <v>Basingstoke &amp; Mid Hants AC</v>
      </c>
      <c r="E110" s="126" t="str">
        <v>GIRLS</v>
      </c>
      <c r="F110" s="126" t="str">
        <v>U12</v>
      </c>
      <c r="G110" s="125">
        <v>12.7</v>
      </c>
      <c r="H110" s="126">
        <v>76</v>
      </c>
      <c r="I110" s="126" t="str">
        <v>PB6</v>
      </c>
      <c r="J110" s="127">
        <v>1.5798611111111111E-3</v>
      </c>
      <c r="K110" s="126">
        <v>47</v>
      </c>
      <c r="L110" s="126" t="str">
        <v>PB2</v>
      </c>
      <c r="M110" s="128">
        <v>2.88</v>
      </c>
      <c r="N110" s="126">
        <v>64</v>
      </c>
      <c r="O110" s="126" t="str">
        <v>PB5</v>
      </c>
      <c r="P110" s="128">
        <v>11.46</v>
      </c>
      <c r="Q110" s="126">
        <v>18</v>
      </c>
      <c r="R110" s="126">
        <v>205</v>
      </c>
      <c r="S110" s="126" t="str">
        <v/>
      </c>
      <c r="T110" s="126">
        <v>5</v>
      </c>
      <c r="U110" s="126" t="str">
        <v/>
      </c>
      <c r="V110" s="139">
        <v>36</v>
      </c>
      <c r="W110" s="25"/>
    </row>
    <row r="111" spans="1:23" ht="19.95" customHeight="1">
      <c r="A111" s="369"/>
      <c r="B111" s="145">
        <v>105</v>
      </c>
      <c r="C111" s="126" t="str">
        <v>BETH BOLE</v>
      </c>
      <c r="D111" s="126" t="str">
        <v>Basingstoke &amp; Mid Hants AC</v>
      </c>
      <c r="E111" s="126" t="str">
        <v>GIRLS</v>
      </c>
      <c r="F111" s="126" t="str">
        <v>U12</v>
      </c>
      <c r="G111" s="125">
        <v>13.5</v>
      </c>
      <c r="H111" s="126">
        <v>60</v>
      </c>
      <c r="I111" s="126" t="str">
        <v>PB5</v>
      </c>
      <c r="J111" s="127">
        <v>1.6932870370370372E-3</v>
      </c>
      <c r="K111" s="126">
        <v>28</v>
      </c>
      <c r="L111" s="126" t="str">
        <v>PB1</v>
      </c>
      <c r="M111" s="128">
        <v>2.83</v>
      </c>
      <c r="N111" s="126">
        <v>62</v>
      </c>
      <c r="O111" s="126" t="str">
        <v>PB5</v>
      </c>
      <c r="P111" s="128">
        <v>16.2</v>
      </c>
      <c r="Q111" s="126">
        <v>41</v>
      </c>
      <c r="R111" s="126">
        <v>191</v>
      </c>
      <c r="S111" s="126" t="str">
        <v/>
      </c>
      <c r="T111" s="126">
        <v>6</v>
      </c>
      <c r="U111" s="126" t="str">
        <v/>
      </c>
      <c r="V111" s="139">
        <v>40</v>
      </c>
      <c r="W111" s="54"/>
    </row>
    <row r="112" spans="1:23" ht="19.95" customHeight="1">
      <c r="A112" s="369"/>
      <c r="B112" s="145">
        <v>107</v>
      </c>
      <c r="C112" s="126" t="str">
        <v/>
      </c>
      <c r="D112" s="126" t="str">
        <v>Basingstoke &amp; Mid Hants AC</v>
      </c>
      <c r="E112" s="126" t="str">
        <v>GIRLS</v>
      </c>
      <c r="F112" s="126" t="str">
        <v>U12</v>
      </c>
      <c r="G112" s="125" t="str">
        <v/>
      </c>
      <c r="H112" s="126">
        <v>0</v>
      </c>
      <c r="I112" s="126" t="str">
        <v/>
      </c>
      <c r="J112" s="127">
        <v>0</v>
      </c>
      <c r="K112" s="126">
        <v>0</v>
      </c>
      <c r="L112" s="126" t="str">
        <v/>
      </c>
      <c r="M112" s="128" t="str">
        <v/>
      </c>
      <c r="N112" s="126">
        <v>0</v>
      </c>
      <c r="O112" s="126" t="str">
        <v/>
      </c>
      <c r="P112" s="128" t="str">
        <v/>
      </c>
      <c r="Q112" s="126">
        <v>0</v>
      </c>
      <c r="R112" s="126">
        <v>0</v>
      </c>
      <c r="S112" s="126" t="str">
        <v/>
      </c>
      <c r="T112" s="126" t="str">
        <v/>
      </c>
      <c r="U112" s="126" t="str">
        <v/>
      </c>
      <c r="V112" s="139" t="str">
        <v/>
      </c>
      <c r="W112" s="54"/>
    </row>
    <row r="113" spans="1:23" ht="19.95" customHeight="1">
      <c r="A113" s="369"/>
      <c r="B113" s="145">
        <v>108</v>
      </c>
      <c r="C113" s="126" t="str">
        <v/>
      </c>
      <c r="D113" s="126" t="str">
        <v>Basingstoke &amp; Mid Hants AC</v>
      </c>
      <c r="E113" s="126" t="str">
        <v>GIRLS</v>
      </c>
      <c r="F113" s="126" t="str">
        <v>U12</v>
      </c>
      <c r="G113" s="125" t="str">
        <v/>
      </c>
      <c r="H113" s="126">
        <v>0</v>
      </c>
      <c r="I113" s="126" t="str">
        <v/>
      </c>
      <c r="J113" s="127">
        <v>0</v>
      </c>
      <c r="K113" s="126">
        <v>0</v>
      </c>
      <c r="L113" s="126" t="str">
        <v/>
      </c>
      <c r="M113" s="128" t="str">
        <v/>
      </c>
      <c r="N113" s="126">
        <v>0</v>
      </c>
      <c r="O113" s="126" t="str">
        <v/>
      </c>
      <c r="P113" s="128" t="str">
        <v/>
      </c>
      <c r="Q113" s="126">
        <v>0</v>
      </c>
      <c r="R113" s="126">
        <v>0</v>
      </c>
      <c r="S113" s="126" t="str">
        <v/>
      </c>
      <c r="T113" s="126" t="str">
        <v/>
      </c>
      <c r="U113" s="126" t="str">
        <v/>
      </c>
      <c r="V113" s="139" t="str">
        <v/>
      </c>
      <c r="W113" s="54"/>
    </row>
    <row r="114" spans="1:23" ht="19.95" customHeight="1">
      <c r="A114" s="369"/>
      <c r="B114" s="145">
        <v>109</v>
      </c>
      <c r="C114" s="126" t="str">
        <v/>
      </c>
      <c r="D114" s="126" t="str">
        <v>Basingstoke &amp; Mid Hants AC</v>
      </c>
      <c r="E114" s="126" t="str">
        <v>GIRLS</v>
      </c>
      <c r="F114" s="126" t="str">
        <v>U12</v>
      </c>
      <c r="G114" s="125" t="str">
        <v/>
      </c>
      <c r="H114" s="126">
        <v>0</v>
      </c>
      <c r="I114" s="126" t="str">
        <v/>
      </c>
      <c r="J114" s="127">
        <v>0</v>
      </c>
      <c r="K114" s="126">
        <v>0</v>
      </c>
      <c r="L114" s="126" t="str">
        <v/>
      </c>
      <c r="M114" s="128" t="str">
        <v/>
      </c>
      <c r="N114" s="126">
        <v>0</v>
      </c>
      <c r="O114" s="126" t="str">
        <v/>
      </c>
      <c r="P114" s="128" t="str">
        <v/>
      </c>
      <c r="Q114" s="126">
        <v>0</v>
      </c>
      <c r="R114" s="126">
        <v>0</v>
      </c>
      <c r="S114" s="126" t="str">
        <v/>
      </c>
      <c r="T114" s="126" t="str">
        <v/>
      </c>
      <c r="U114" s="126" t="str">
        <v/>
      </c>
      <c r="V114" s="139" t="str">
        <v/>
      </c>
      <c r="W114" s="54"/>
    </row>
    <row r="115" spans="1:23" ht="19.95" customHeight="1">
      <c r="A115" s="369"/>
      <c r="B115" s="145">
        <v>110</v>
      </c>
      <c r="C115" s="126" t="str">
        <v/>
      </c>
      <c r="D115" s="126" t="str">
        <v>Basingstoke &amp; Mid Hants AC</v>
      </c>
      <c r="E115" s="126" t="str">
        <v>GIRLS</v>
      </c>
      <c r="F115" s="126" t="str">
        <v>U12</v>
      </c>
      <c r="G115" s="125" t="str">
        <v/>
      </c>
      <c r="H115" s="126">
        <v>0</v>
      </c>
      <c r="I115" s="126" t="str">
        <v/>
      </c>
      <c r="J115" s="127">
        <v>0</v>
      </c>
      <c r="K115" s="126">
        <v>0</v>
      </c>
      <c r="L115" s="126" t="str">
        <v/>
      </c>
      <c r="M115" s="128" t="str">
        <v/>
      </c>
      <c r="N115" s="126">
        <v>0</v>
      </c>
      <c r="O115" s="126" t="str">
        <v/>
      </c>
      <c r="P115" s="128" t="str">
        <v/>
      </c>
      <c r="Q115" s="126">
        <v>0</v>
      </c>
      <c r="R115" s="126">
        <v>0</v>
      </c>
      <c r="S115" s="126" t="str">
        <v/>
      </c>
      <c r="T115" s="126" t="str">
        <v/>
      </c>
      <c r="U115" s="126" t="str">
        <v/>
      </c>
      <c r="V115" s="139" t="str">
        <v/>
      </c>
      <c r="W115" s="54"/>
    </row>
    <row r="116" spans="1:23" ht="19.95" customHeight="1">
      <c r="A116" s="369"/>
      <c r="B116" s="145"/>
      <c r="C116" s="126"/>
      <c r="D116" s="126"/>
      <c r="E116" s="126"/>
      <c r="F116" s="126"/>
      <c r="G116" s="125"/>
      <c r="H116" s="126"/>
      <c r="I116" s="126"/>
      <c r="J116" s="127"/>
      <c r="K116" s="126"/>
      <c r="L116" s="126"/>
      <c r="M116" s="128"/>
      <c r="N116" s="126"/>
      <c r="O116" s="126"/>
      <c r="P116" s="128"/>
      <c r="Q116" s="126"/>
      <c r="R116" s="126"/>
      <c r="S116" s="126"/>
      <c r="T116" s="126"/>
      <c r="U116" s="126"/>
      <c r="V116" s="139"/>
      <c r="W116" s="25"/>
    </row>
    <row r="117" spans="1:23" ht="19.95" customHeight="1">
      <c r="A117" s="369"/>
      <c r="B117" s="145"/>
      <c r="C117" s="126"/>
      <c r="D117" s="126"/>
      <c r="E117" s="126"/>
      <c r="F117" s="126"/>
      <c r="G117" s="125"/>
      <c r="H117" s="126"/>
      <c r="I117" s="126"/>
      <c r="J117" s="127"/>
      <c r="K117" s="126"/>
      <c r="L117" s="126"/>
      <c r="M117" s="128"/>
      <c r="N117" s="126"/>
      <c r="O117" s="126"/>
      <c r="P117" s="128"/>
      <c r="Q117" s="126"/>
      <c r="R117" s="126"/>
      <c r="S117" s="126"/>
      <c r="T117" s="126"/>
      <c r="U117" s="126"/>
      <c r="V117" s="139"/>
      <c r="W117" s="25"/>
    </row>
    <row r="118" spans="1:23" ht="19.95" customHeight="1">
      <c r="A118" s="369"/>
      <c r="B118" s="145"/>
      <c r="C118" s="126"/>
      <c r="D118" s="126"/>
      <c r="E118" s="126"/>
      <c r="F118" s="126"/>
      <c r="G118" s="125"/>
      <c r="H118" s="126"/>
      <c r="I118" s="126"/>
      <c r="J118" s="127"/>
      <c r="K118" s="126"/>
      <c r="L118" s="126"/>
      <c r="M118" s="128"/>
      <c r="N118" s="126"/>
      <c r="O118" s="126"/>
      <c r="P118" s="128"/>
      <c r="Q118" s="126"/>
      <c r="R118" s="126"/>
      <c r="S118" s="126"/>
      <c r="T118" s="126"/>
      <c r="U118" s="126"/>
      <c r="V118" s="139"/>
      <c r="W118" s="25"/>
    </row>
    <row r="119" spans="1:23" ht="19.95" customHeight="1">
      <c r="A119" s="369"/>
      <c r="B119" s="145"/>
      <c r="C119" s="126"/>
      <c r="D119" s="126"/>
      <c r="E119" s="126"/>
      <c r="F119" s="126"/>
      <c r="G119" s="125"/>
      <c r="H119" s="126"/>
      <c r="I119" s="126"/>
      <c r="J119" s="127"/>
      <c r="K119" s="126"/>
      <c r="L119" s="126"/>
      <c r="M119" s="128"/>
      <c r="N119" s="126"/>
      <c r="O119" s="126"/>
      <c r="P119" s="128"/>
      <c r="Q119" s="126"/>
      <c r="R119" s="126"/>
      <c r="S119" s="126"/>
      <c r="T119" s="126"/>
      <c r="U119" s="126"/>
      <c r="V119" s="139"/>
      <c r="W119" s="25"/>
    </row>
    <row r="120" spans="1:23" ht="19.95" customHeight="1">
      <c r="A120" s="369"/>
      <c r="B120" s="145"/>
      <c r="C120" s="126"/>
      <c r="D120" s="126"/>
      <c r="E120" s="126"/>
      <c r="F120" s="126"/>
      <c r="G120" s="125"/>
      <c r="H120" s="126"/>
      <c r="I120" s="126"/>
      <c r="J120" s="127"/>
      <c r="K120" s="126"/>
      <c r="L120" s="126"/>
      <c r="M120" s="128"/>
      <c r="N120" s="126"/>
      <c r="O120" s="126"/>
      <c r="P120" s="128"/>
      <c r="Q120" s="126"/>
      <c r="R120" s="126"/>
      <c r="S120" s="126"/>
      <c r="T120" s="126"/>
      <c r="U120" s="126"/>
      <c r="V120" s="139"/>
      <c r="W120" s="25"/>
    </row>
    <row r="121" spans="1:23" ht="19.95" customHeight="1">
      <c r="A121" s="369"/>
      <c r="B121" s="145"/>
      <c r="C121" s="126"/>
      <c r="D121" s="126"/>
      <c r="E121" s="126"/>
      <c r="F121" s="126"/>
      <c r="G121" s="125"/>
      <c r="H121" s="126"/>
      <c r="I121" s="126"/>
      <c r="J121" s="127"/>
      <c r="K121" s="126"/>
      <c r="L121" s="126"/>
      <c r="M121" s="128"/>
      <c r="N121" s="126"/>
      <c r="O121" s="126"/>
      <c r="P121" s="128"/>
      <c r="Q121" s="126"/>
      <c r="R121" s="126"/>
      <c r="S121" s="126"/>
      <c r="T121" s="126"/>
      <c r="U121" s="126"/>
      <c r="V121" s="139"/>
      <c r="W121" s="25"/>
    </row>
    <row r="122" spans="1:23" ht="19.95" customHeight="1">
      <c r="A122" s="369"/>
      <c r="B122" s="145"/>
      <c r="C122" s="126"/>
      <c r="D122" s="126"/>
      <c r="E122" s="126"/>
      <c r="F122" s="126"/>
      <c r="G122" s="125"/>
      <c r="H122" s="126"/>
      <c r="I122" s="126"/>
      <c r="J122" s="127"/>
      <c r="K122" s="126"/>
      <c r="L122" s="126"/>
      <c r="M122" s="128"/>
      <c r="N122" s="126"/>
      <c r="O122" s="126"/>
      <c r="P122" s="128"/>
      <c r="Q122" s="126"/>
      <c r="R122" s="126"/>
      <c r="S122" s="126"/>
      <c r="T122" s="126"/>
      <c r="U122" s="126"/>
      <c r="V122" s="139"/>
      <c r="W122" s="25"/>
    </row>
    <row r="123" spans="1:23" ht="19.95" customHeight="1">
      <c r="A123" s="369"/>
      <c r="B123" s="145"/>
      <c r="C123" s="126"/>
      <c r="D123" s="126"/>
      <c r="E123" s="126"/>
      <c r="F123" s="126"/>
      <c r="G123" s="125"/>
      <c r="H123" s="126"/>
      <c r="I123" s="126"/>
      <c r="J123" s="127"/>
      <c r="K123" s="126"/>
      <c r="L123" s="126"/>
      <c r="M123" s="128"/>
      <c r="N123" s="126"/>
      <c r="O123" s="126"/>
      <c r="P123" s="128"/>
      <c r="Q123" s="126"/>
      <c r="R123" s="126"/>
      <c r="S123" s="126"/>
      <c r="T123" s="126"/>
      <c r="U123" s="126"/>
      <c r="V123" s="139"/>
      <c r="W123" s="25"/>
    </row>
    <row r="124" spans="1:23" ht="19.95" customHeight="1">
      <c r="A124" s="369"/>
      <c r="B124" s="145"/>
      <c r="C124" s="126"/>
      <c r="D124" s="126"/>
      <c r="E124" s="126"/>
      <c r="F124" s="126"/>
      <c r="G124" s="125"/>
      <c r="H124" s="126"/>
      <c r="I124" s="126"/>
      <c r="J124" s="127"/>
      <c r="K124" s="126"/>
      <c r="L124" s="126"/>
      <c r="M124" s="128"/>
      <c r="N124" s="126"/>
      <c r="O124" s="126"/>
      <c r="P124" s="128"/>
      <c r="Q124" s="126"/>
      <c r="R124" s="126"/>
      <c r="S124" s="126"/>
      <c r="T124" s="126"/>
      <c r="U124" s="126"/>
      <c r="V124" s="139"/>
      <c r="W124" s="25"/>
    </row>
    <row r="125" spans="1:23" ht="19.95" customHeight="1">
      <c r="A125" s="369"/>
      <c r="B125" s="145"/>
      <c r="C125" s="126"/>
      <c r="D125" s="126"/>
      <c r="E125" s="126"/>
      <c r="F125" s="126"/>
      <c r="G125" s="125"/>
      <c r="H125" s="126"/>
      <c r="I125" s="126"/>
      <c r="J125" s="127"/>
      <c r="K125" s="126"/>
      <c r="L125" s="126"/>
      <c r="M125" s="128"/>
      <c r="N125" s="126"/>
      <c r="O125" s="126"/>
      <c r="P125" s="128"/>
      <c r="Q125" s="126"/>
      <c r="R125" s="126"/>
      <c r="S125" s="126"/>
      <c r="T125" s="126"/>
      <c r="U125" s="126"/>
      <c r="V125" s="139"/>
      <c r="W125" s="25"/>
    </row>
    <row r="126" spans="1:23" ht="19.95" customHeight="1">
      <c r="A126" s="369"/>
      <c r="B126" s="145"/>
      <c r="C126" s="126"/>
      <c r="D126" s="126"/>
      <c r="E126" s="126"/>
      <c r="F126" s="126"/>
      <c r="G126" s="125"/>
      <c r="H126" s="126"/>
      <c r="I126" s="126"/>
      <c r="J126" s="127"/>
      <c r="K126" s="126"/>
      <c r="L126" s="126"/>
      <c r="M126" s="128"/>
      <c r="N126" s="126"/>
      <c r="O126" s="126"/>
      <c r="P126" s="128"/>
      <c r="Q126" s="126"/>
      <c r="R126" s="126"/>
      <c r="S126" s="126"/>
      <c r="T126" s="126"/>
      <c r="U126" s="126"/>
      <c r="V126" s="139"/>
      <c r="W126" s="25"/>
    </row>
    <row r="127" spans="1:23" ht="19.95" customHeight="1">
      <c r="A127" s="369"/>
      <c r="B127" s="145"/>
      <c r="C127" s="126"/>
      <c r="D127" s="126"/>
      <c r="E127" s="126"/>
      <c r="F127" s="126"/>
      <c r="G127" s="125"/>
      <c r="H127" s="126"/>
      <c r="I127" s="126"/>
      <c r="J127" s="127"/>
      <c r="K127" s="126"/>
      <c r="L127" s="126"/>
      <c r="M127" s="128"/>
      <c r="N127" s="126"/>
      <c r="O127" s="126"/>
      <c r="P127" s="128"/>
      <c r="Q127" s="126"/>
      <c r="R127" s="126"/>
      <c r="S127" s="126"/>
      <c r="T127" s="126"/>
      <c r="U127" s="126"/>
      <c r="V127" s="139"/>
      <c r="W127" s="25"/>
    </row>
    <row r="128" spans="1:23" ht="19.95" customHeight="1">
      <c r="A128" s="369"/>
      <c r="B128" s="145"/>
      <c r="C128" s="126"/>
      <c r="D128" s="126"/>
      <c r="E128" s="126"/>
      <c r="F128" s="126"/>
      <c r="G128" s="125"/>
      <c r="H128" s="126"/>
      <c r="I128" s="126"/>
      <c r="J128" s="127"/>
      <c r="K128" s="126"/>
      <c r="L128" s="126"/>
      <c r="M128" s="128"/>
      <c r="N128" s="126"/>
      <c r="O128" s="126"/>
      <c r="P128" s="128"/>
      <c r="Q128" s="126"/>
      <c r="R128" s="126"/>
      <c r="S128" s="126"/>
      <c r="T128" s="126"/>
      <c r="U128" s="126"/>
      <c r="V128" s="139"/>
      <c r="W128" s="25"/>
    </row>
    <row r="129" spans="1:23" ht="19.95" customHeight="1">
      <c r="A129" s="369"/>
      <c r="B129" s="145"/>
      <c r="C129" s="126"/>
      <c r="D129" s="126"/>
      <c r="E129" s="126"/>
      <c r="F129" s="126"/>
      <c r="G129" s="125"/>
      <c r="H129" s="126"/>
      <c r="I129" s="126"/>
      <c r="J129" s="127"/>
      <c r="K129" s="126"/>
      <c r="L129" s="126"/>
      <c r="M129" s="128"/>
      <c r="N129" s="126"/>
      <c r="O129" s="126"/>
      <c r="P129" s="128"/>
      <c r="Q129" s="126"/>
      <c r="R129" s="126"/>
      <c r="S129" s="126"/>
      <c r="T129" s="126"/>
      <c r="U129" s="126"/>
      <c r="V129" s="139"/>
      <c r="W129" s="25"/>
    </row>
    <row r="130" spans="1:23" ht="19.95" customHeight="1" thickBot="1">
      <c r="A130" s="370"/>
      <c r="B130" s="146"/>
      <c r="C130" s="140"/>
      <c r="D130" s="140"/>
      <c r="E130" s="140"/>
      <c r="F130" s="140"/>
      <c r="G130" s="141"/>
      <c r="H130" s="140"/>
      <c r="I130" s="140"/>
      <c r="J130" s="142"/>
      <c r="K130" s="140"/>
      <c r="L130" s="140"/>
      <c r="M130" s="143"/>
      <c r="N130" s="140"/>
      <c r="O130" s="140"/>
      <c r="P130" s="143"/>
      <c r="Q130" s="140"/>
      <c r="R130" s="140"/>
      <c r="S130" s="140"/>
      <c r="T130" s="140"/>
      <c r="U130" s="140"/>
      <c r="V130" s="144"/>
      <c r="W130" s="25"/>
    </row>
    <row r="131" spans="1:23" ht="19.95" customHeight="1">
      <c r="A131" s="368" t="str">
        <f>'Read Me First'!C17</f>
        <v/>
      </c>
      <c r="B131" s="133" cm="1">
        <f t="array" ref="B131:T140">_xlfn.LET(_xlpm.x, _xlfn._xlws.SORT(_xlfn._xlws.FILTER(Data!$A$33:$S$212,(Data!$C$33:$C$212=$A131)*(Data!$D$33:$D$212=$E$4)*(Data!$E$33:$E$212="U10")),18),_xlpm.y,_xlfn._xlws.SORT(_xlfn._xlws.FILTER(Data!$A$33:$S$212,(Data!$C$33:$C$212=$A131)*(Data!$D$33:$D$212=$E$4)*(Data!$E$33:$E$212="U12")),19), IFERROR(_xlfn.VSTACK(_xlpm.x,_xlpm.y), IFERROR(_xlpm.y,IFERROR(_xlpm.x, ""))))</f>
        <v>121</v>
      </c>
      <c r="C131" s="134" t="str">
        <v/>
      </c>
      <c r="D131" s="134" t="str">
        <v/>
      </c>
      <c r="E131" s="134" t="str">
        <v>GIRLS</v>
      </c>
      <c r="F131" s="134" t="str">
        <v>U12</v>
      </c>
      <c r="G131" s="135" t="str">
        <v/>
      </c>
      <c r="H131" s="134">
        <v>0</v>
      </c>
      <c r="I131" s="134" t="str">
        <v/>
      </c>
      <c r="J131" s="136">
        <v>0</v>
      </c>
      <c r="K131" s="134">
        <v>0</v>
      </c>
      <c r="L131" s="134" t="str">
        <v/>
      </c>
      <c r="M131" s="137" t="str">
        <v/>
      </c>
      <c r="N131" s="134">
        <v>0</v>
      </c>
      <c r="O131" s="134">
        <v>0</v>
      </c>
      <c r="P131" s="137" t="str">
        <v/>
      </c>
      <c r="Q131" s="134">
        <v>0</v>
      </c>
      <c r="R131" s="134">
        <v>0</v>
      </c>
      <c r="S131" s="134" t="str">
        <v/>
      </c>
      <c r="T131" s="134" t="str">
        <v/>
      </c>
      <c r="U131" s="134"/>
      <c r="V131" s="138"/>
      <c r="W131" s="25"/>
    </row>
    <row r="132" spans="1:23" ht="19.95" customHeight="1">
      <c r="A132" s="369"/>
      <c r="B132" s="145">
        <v>122</v>
      </c>
      <c r="C132" s="126" t="str">
        <v/>
      </c>
      <c r="D132" s="126" t="str">
        <v/>
      </c>
      <c r="E132" s="126" t="str">
        <v>GIRLS</v>
      </c>
      <c r="F132" s="126" t="str">
        <v>U12</v>
      </c>
      <c r="G132" s="125" t="str">
        <v/>
      </c>
      <c r="H132" s="126">
        <v>0</v>
      </c>
      <c r="I132" s="126" t="str">
        <v/>
      </c>
      <c r="J132" s="127">
        <v>0</v>
      </c>
      <c r="K132" s="126">
        <v>0</v>
      </c>
      <c r="L132" s="126" t="str">
        <v/>
      </c>
      <c r="M132" s="128" t="str">
        <v/>
      </c>
      <c r="N132" s="126">
        <v>0</v>
      </c>
      <c r="O132" s="126">
        <v>0</v>
      </c>
      <c r="P132" s="128" t="str">
        <v/>
      </c>
      <c r="Q132" s="126">
        <v>0</v>
      </c>
      <c r="R132" s="126">
        <v>0</v>
      </c>
      <c r="S132" s="126" t="str">
        <v/>
      </c>
      <c r="T132" s="126" t="str">
        <v/>
      </c>
      <c r="U132" s="126"/>
      <c r="V132" s="139"/>
      <c r="W132" s="54"/>
    </row>
    <row r="133" spans="1:23" ht="19.95" customHeight="1">
      <c r="A133" s="369"/>
      <c r="B133" s="145">
        <v>123</v>
      </c>
      <c r="C133" s="126" t="str">
        <v/>
      </c>
      <c r="D133" s="126" t="str">
        <v/>
      </c>
      <c r="E133" s="126" t="str">
        <v>GIRLS</v>
      </c>
      <c r="F133" s="126" t="str">
        <v>U12</v>
      </c>
      <c r="G133" s="125" t="str">
        <v/>
      </c>
      <c r="H133" s="126">
        <v>0</v>
      </c>
      <c r="I133" s="126" t="str">
        <v/>
      </c>
      <c r="J133" s="127">
        <v>0</v>
      </c>
      <c r="K133" s="126">
        <v>0</v>
      </c>
      <c r="L133" s="126" t="str">
        <v/>
      </c>
      <c r="M133" s="128" t="str">
        <v/>
      </c>
      <c r="N133" s="126">
        <v>0</v>
      </c>
      <c r="O133" s="126">
        <v>0</v>
      </c>
      <c r="P133" s="128" t="str">
        <v/>
      </c>
      <c r="Q133" s="126">
        <v>0</v>
      </c>
      <c r="R133" s="126">
        <v>0</v>
      </c>
      <c r="S133" s="126" t="str">
        <v/>
      </c>
      <c r="T133" s="126" t="str">
        <v/>
      </c>
      <c r="U133" s="126"/>
      <c r="V133" s="139"/>
      <c r="W133" s="25"/>
    </row>
    <row r="134" spans="1:23" ht="19.95" customHeight="1">
      <c r="A134" s="369"/>
      <c r="B134" s="145">
        <v>124</v>
      </c>
      <c r="C134" s="126" t="str">
        <v/>
      </c>
      <c r="D134" s="126" t="str">
        <v/>
      </c>
      <c r="E134" s="126" t="str">
        <v>GIRLS</v>
      </c>
      <c r="F134" s="126" t="str">
        <v>U12</v>
      </c>
      <c r="G134" s="125" t="str">
        <v/>
      </c>
      <c r="H134" s="126">
        <v>0</v>
      </c>
      <c r="I134" s="126" t="str">
        <v/>
      </c>
      <c r="J134" s="127">
        <v>0</v>
      </c>
      <c r="K134" s="126">
        <v>0</v>
      </c>
      <c r="L134" s="126" t="str">
        <v/>
      </c>
      <c r="M134" s="128" t="str">
        <v/>
      </c>
      <c r="N134" s="126">
        <v>0</v>
      </c>
      <c r="O134" s="126">
        <v>0</v>
      </c>
      <c r="P134" s="128" t="str">
        <v/>
      </c>
      <c r="Q134" s="126">
        <v>0</v>
      </c>
      <c r="R134" s="126">
        <v>0</v>
      </c>
      <c r="S134" s="126" t="str">
        <v/>
      </c>
      <c r="T134" s="126" t="str">
        <v/>
      </c>
      <c r="U134" s="126"/>
      <c r="V134" s="139"/>
      <c r="W134" s="25"/>
    </row>
    <row r="135" spans="1:23" ht="19.95" customHeight="1">
      <c r="A135" s="369"/>
      <c r="B135" s="145">
        <v>125</v>
      </c>
      <c r="C135" s="126" t="str">
        <v/>
      </c>
      <c r="D135" s="126" t="str">
        <v/>
      </c>
      <c r="E135" s="126" t="str">
        <v>GIRLS</v>
      </c>
      <c r="F135" s="126" t="str">
        <v>U12</v>
      </c>
      <c r="G135" s="125" t="str">
        <v/>
      </c>
      <c r="H135" s="126">
        <v>0</v>
      </c>
      <c r="I135" s="126" t="str">
        <v/>
      </c>
      <c r="J135" s="127">
        <v>0</v>
      </c>
      <c r="K135" s="126">
        <v>0</v>
      </c>
      <c r="L135" s="126" t="str">
        <v/>
      </c>
      <c r="M135" s="128" t="str">
        <v/>
      </c>
      <c r="N135" s="126">
        <v>0</v>
      </c>
      <c r="O135" s="126">
        <v>0</v>
      </c>
      <c r="P135" s="128" t="str">
        <v/>
      </c>
      <c r="Q135" s="126">
        <v>0</v>
      </c>
      <c r="R135" s="126">
        <v>0</v>
      </c>
      <c r="S135" s="126" t="str">
        <v/>
      </c>
      <c r="T135" s="126" t="str">
        <v/>
      </c>
      <c r="U135" s="126"/>
      <c r="V135" s="139"/>
      <c r="W135" s="25"/>
    </row>
    <row r="136" spans="1:23" ht="19.95" customHeight="1">
      <c r="A136" s="369"/>
      <c r="B136" s="145">
        <v>126</v>
      </c>
      <c r="C136" s="126" t="str">
        <v/>
      </c>
      <c r="D136" s="126" t="str">
        <v/>
      </c>
      <c r="E136" s="126" t="str">
        <v>GIRLS</v>
      </c>
      <c r="F136" s="126" t="str">
        <v>U12</v>
      </c>
      <c r="G136" s="125" t="str">
        <v/>
      </c>
      <c r="H136" s="126">
        <v>0</v>
      </c>
      <c r="I136" s="126" t="str">
        <v/>
      </c>
      <c r="J136" s="127">
        <v>0</v>
      </c>
      <c r="K136" s="126">
        <v>0</v>
      </c>
      <c r="L136" s="126" t="str">
        <v/>
      </c>
      <c r="M136" s="128" t="str">
        <v/>
      </c>
      <c r="N136" s="126">
        <v>0</v>
      </c>
      <c r="O136" s="126">
        <v>0</v>
      </c>
      <c r="P136" s="128" t="str">
        <v/>
      </c>
      <c r="Q136" s="126">
        <v>0</v>
      </c>
      <c r="R136" s="126">
        <v>0</v>
      </c>
      <c r="S136" s="126" t="str">
        <v/>
      </c>
      <c r="T136" s="126" t="str">
        <v/>
      </c>
      <c r="U136" s="126"/>
      <c r="V136" s="139"/>
      <c r="W136" s="25"/>
    </row>
    <row r="137" spans="1:23" ht="19.95" customHeight="1">
      <c r="A137" s="369"/>
      <c r="B137" s="145">
        <v>127</v>
      </c>
      <c r="C137" s="126" t="str">
        <v/>
      </c>
      <c r="D137" s="126" t="str">
        <v/>
      </c>
      <c r="E137" s="126" t="str">
        <v>GIRLS</v>
      </c>
      <c r="F137" s="126" t="str">
        <v>U12</v>
      </c>
      <c r="G137" s="125" t="str">
        <v/>
      </c>
      <c r="H137" s="126">
        <v>0</v>
      </c>
      <c r="I137" s="126" t="str">
        <v/>
      </c>
      <c r="J137" s="127">
        <v>0</v>
      </c>
      <c r="K137" s="126">
        <v>0</v>
      </c>
      <c r="L137" s="126" t="str">
        <v/>
      </c>
      <c r="M137" s="128" t="str">
        <v/>
      </c>
      <c r="N137" s="126">
        <v>0</v>
      </c>
      <c r="O137" s="126">
        <v>0</v>
      </c>
      <c r="P137" s="128" t="str">
        <v/>
      </c>
      <c r="Q137" s="126">
        <v>0</v>
      </c>
      <c r="R137" s="126">
        <v>0</v>
      </c>
      <c r="S137" s="126" t="str">
        <v/>
      </c>
      <c r="T137" s="126" t="str">
        <v/>
      </c>
      <c r="U137" s="126"/>
      <c r="V137" s="139"/>
      <c r="W137" s="25"/>
    </row>
    <row r="138" spans="1:23" ht="19.95" customHeight="1">
      <c r="A138" s="369"/>
      <c r="B138" s="145">
        <v>128</v>
      </c>
      <c r="C138" s="126" t="str">
        <v/>
      </c>
      <c r="D138" s="126" t="str">
        <v/>
      </c>
      <c r="E138" s="126" t="str">
        <v>GIRLS</v>
      </c>
      <c r="F138" s="126" t="str">
        <v>U12</v>
      </c>
      <c r="G138" s="125" t="str">
        <v/>
      </c>
      <c r="H138" s="126">
        <v>0</v>
      </c>
      <c r="I138" s="126" t="str">
        <v/>
      </c>
      <c r="J138" s="127">
        <v>0</v>
      </c>
      <c r="K138" s="126">
        <v>0</v>
      </c>
      <c r="L138" s="126" t="str">
        <v/>
      </c>
      <c r="M138" s="128" t="str">
        <v/>
      </c>
      <c r="N138" s="126">
        <v>0</v>
      </c>
      <c r="O138" s="126">
        <v>0</v>
      </c>
      <c r="P138" s="128" t="str">
        <v/>
      </c>
      <c r="Q138" s="126">
        <v>0</v>
      </c>
      <c r="R138" s="126">
        <v>0</v>
      </c>
      <c r="S138" s="126" t="str">
        <v/>
      </c>
      <c r="T138" s="126" t="str">
        <v/>
      </c>
      <c r="U138" s="126"/>
      <c r="V138" s="139"/>
      <c r="W138" s="25"/>
    </row>
    <row r="139" spans="1:23" ht="19.95" customHeight="1">
      <c r="A139" s="369"/>
      <c r="B139" s="145">
        <v>129</v>
      </c>
      <c r="C139" s="126" t="str">
        <v/>
      </c>
      <c r="D139" s="126" t="str">
        <v/>
      </c>
      <c r="E139" s="126" t="str">
        <v>GIRLS</v>
      </c>
      <c r="F139" s="126" t="str">
        <v>U12</v>
      </c>
      <c r="G139" s="125" t="str">
        <v/>
      </c>
      <c r="H139" s="126">
        <v>0</v>
      </c>
      <c r="I139" s="126" t="str">
        <v/>
      </c>
      <c r="J139" s="127">
        <v>0</v>
      </c>
      <c r="K139" s="126">
        <v>0</v>
      </c>
      <c r="L139" s="126" t="str">
        <v/>
      </c>
      <c r="M139" s="128" t="str">
        <v/>
      </c>
      <c r="N139" s="126">
        <v>0</v>
      </c>
      <c r="O139" s="126">
        <v>0</v>
      </c>
      <c r="P139" s="128" t="str">
        <v/>
      </c>
      <c r="Q139" s="126">
        <v>0</v>
      </c>
      <c r="R139" s="126">
        <v>0</v>
      </c>
      <c r="S139" s="126" t="str">
        <v/>
      </c>
      <c r="T139" s="126" t="str">
        <v/>
      </c>
      <c r="U139" s="126"/>
      <c r="V139" s="139"/>
      <c r="W139" s="25"/>
    </row>
    <row r="140" spans="1:23" ht="19.95" customHeight="1">
      <c r="A140" s="369"/>
      <c r="B140" s="145">
        <v>130</v>
      </c>
      <c r="C140" s="126" t="str">
        <v/>
      </c>
      <c r="D140" s="126" t="str">
        <v/>
      </c>
      <c r="E140" s="126" t="str">
        <v>GIRLS</v>
      </c>
      <c r="F140" s="126" t="str">
        <v>U12</v>
      </c>
      <c r="G140" s="125" t="str">
        <v/>
      </c>
      <c r="H140" s="126">
        <v>0</v>
      </c>
      <c r="I140" s="126" t="str">
        <v/>
      </c>
      <c r="J140" s="127">
        <v>0</v>
      </c>
      <c r="K140" s="126">
        <v>0</v>
      </c>
      <c r="L140" s="126" t="str">
        <v/>
      </c>
      <c r="M140" s="128" t="str">
        <v/>
      </c>
      <c r="N140" s="126">
        <v>0</v>
      </c>
      <c r="O140" s="126">
        <v>0</v>
      </c>
      <c r="P140" s="128" t="str">
        <v/>
      </c>
      <c r="Q140" s="126">
        <v>0</v>
      </c>
      <c r="R140" s="126">
        <v>0</v>
      </c>
      <c r="S140" s="126" t="str">
        <v/>
      </c>
      <c r="T140" s="126" t="str">
        <v/>
      </c>
      <c r="U140" s="126"/>
      <c r="V140" s="139"/>
      <c r="W140" s="25"/>
    </row>
    <row r="141" spans="1:23" ht="19.95" customHeight="1">
      <c r="A141" s="369"/>
      <c r="B141" s="145"/>
      <c r="C141" s="126"/>
      <c r="D141" s="126"/>
      <c r="E141" s="126"/>
      <c r="F141" s="126"/>
      <c r="G141" s="125"/>
      <c r="H141" s="126"/>
      <c r="I141" s="126"/>
      <c r="J141" s="127"/>
      <c r="K141" s="126"/>
      <c r="L141" s="126"/>
      <c r="M141" s="128"/>
      <c r="N141" s="126"/>
      <c r="O141" s="126"/>
      <c r="P141" s="128"/>
      <c r="Q141" s="126"/>
      <c r="R141" s="126"/>
      <c r="S141" s="126"/>
      <c r="T141" s="126"/>
      <c r="U141" s="126"/>
      <c r="V141" s="139"/>
      <c r="W141" s="25"/>
    </row>
    <row r="142" spans="1:23" ht="19.95" customHeight="1">
      <c r="A142" s="369"/>
      <c r="B142" s="145"/>
      <c r="C142" s="126"/>
      <c r="D142" s="126"/>
      <c r="E142" s="126"/>
      <c r="F142" s="126"/>
      <c r="G142" s="125"/>
      <c r="H142" s="126"/>
      <c r="I142" s="126"/>
      <c r="J142" s="127"/>
      <c r="K142" s="126"/>
      <c r="L142" s="126"/>
      <c r="M142" s="128"/>
      <c r="N142" s="126"/>
      <c r="O142" s="126"/>
      <c r="P142" s="128"/>
      <c r="Q142" s="126"/>
      <c r="R142" s="126"/>
      <c r="S142" s="126"/>
      <c r="T142" s="126"/>
      <c r="U142" s="126"/>
      <c r="V142" s="139"/>
      <c r="W142" s="25"/>
    </row>
    <row r="143" spans="1:23" ht="19.95" customHeight="1">
      <c r="A143" s="369"/>
      <c r="B143" s="145"/>
      <c r="C143" s="126"/>
      <c r="D143" s="126"/>
      <c r="E143" s="126"/>
      <c r="F143" s="126"/>
      <c r="G143" s="125"/>
      <c r="H143" s="126"/>
      <c r="I143" s="126"/>
      <c r="J143" s="127"/>
      <c r="K143" s="126"/>
      <c r="L143" s="126"/>
      <c r="M143" s="128"/>
      <c r="N143" s="126"/>
      <c r="O143" s="126"/>
      <c r="P143" s="128"/>
      <c r="Q143" s="126"/>
      <c r="R143" s="126"/>
      <c r="S143" s="126"/>
      <c r="T143" s="126"/>
      <c r="U143" s="126"/>
      <c r="V143" s="139"/>
      <c r="W143" s="25"/>
    </row>
    <row r="144" spans="1:23" ht="19.95" customHeight="1">
      <c r="A144" s="369"/>
      <c r="B144" s="145"/>
      <c r="C144" s="126"/>
      <c r="D144" s="126"/>
      <c r="E144" s="126"/>
      <c r="F144" s="126"/>
      <c r="G144" s="125"/>
      <c r="H144" s="126"/>
      <c r="I144" s="126"/>
      <c r="J144" s="127"/>
      <c r="K144" s="126"/>
      <c r="L144" s="126"/>
      <c r="M144" s="128"/>
      <c r="N144" s="126"/>
      <c r="O144" s="126"/>
      <c r="P144" s="128"/>
      <c r="Q144" s="126"/>
      <c r="R144" s="126"/>
      <c r="S144" s="126"/>
      <c r="T144" s="126"/>
      <c r="U144" s="126"/>
      <c r="V144" s="139"/>
      <c r="W144" s="25"/>
    </row>
    <row r="145" spans="1:23" ht="19.95" customHeight="1">
      <c r="A145" s="369"/>
      <c r="B145" s="145"/>
      <c r="C145" s="126"/>
      <c r="D145" s="126"/>
      <c r="E145" s="126"/>
      <c r="F145" s="126"/>
      <c r="G145" s="125"/>
      <c r="H145" s="126"/>
      <c r="I145" s="126"/>
      <c r="J145" s="127"/>
      <c r="K145" s="126"/>
      <c r="L145" s="126"/>
      <c r="M145" s="128"/>
      <c r="N145" s="126"/>
      <c r="O145" s="126"/>
      <c r="P145" s="128"/>
      <c r="Q145" s="126"/>
      <c r="R145" s="126"/>
      <c r="S145" s="126"/>
      <c r="T145" s="126"/>
      <c r="U145" s="126"/>
      <c r="V145" s="139"/>
      <c r="W145" s="25"/>
    </row>
    <row r="146" spans="1:23" ht="19.95" customHeight="1">
      <c r="A146" s="369"/>
      <c r="B146" s="145"/>
      <c r="C146" s="126"/>
      <c r="D146" s="126"/>
      <c r="E146" s="126"/>
      <c r="F146" s="126"/>
      <c r="G146" s="125"/>
      <c r="H146" s="126"/>
      <c r="I146" s="126"/>
      <c r="J146" s="127"/>
      <c r="K146" s="126"/>
      <c r="L146" s="126"/>
      <c r="M146" s="128"/>
      <c r="N146" s="126"/>
      <c r="O146" s="126"/>
      <c r="P146" s="128"/>
      <c r="Q146" s="126"/>
      <c r="R146" s="126"/>
      <c r="S146" s="126"/>
      <c r="T146" s="126"/>
      <c r="U146" s="126"/>
      <c r="V146" s="139"/>
      <c r="W146" s="25"/>
    </row>
    <row r="147" spans="1:23" ht="19.95" customHeight="1">
      <c r="A147" s="369"/>
      <c r="B147" s="145"/>
      <c r="C147" s="126"/>
      <c r="D147" s="126"/>
      <c r="E147" s="126"/>
      <c r="F147" s="126"/>
      <c r="G147" s="125"/>
      <c r="H147" s="126"/>
      <c r="I147" s="126"/>
      <c r="J147" s="127"/>
      <c r="K147" s="126"/>
      <c r="L147" s="126"/>
      <c r="M147" s="128"/>
      <c r="N147" s="126"/>
      <c r="O147" s="126"/>
      <c r="P147" s="128"/>
      <c r="Q147" s="126"/>
      <c r="R147" s="126"/>
      <c r="S147" s="126"/>
      <c r="T147" s="126"/>
      <c r="U147" s="126"/>
      <c r="V147" s="139"/>
      <c r="W147" s="25"/>
    </row>
    <row r="148" spans="1:23" ht="19.95" customHeight="1">
      <c r="A148" s="369"/>
      <c r="B148" s="145"/>
      <c r="C148" s="126"/>
      <c r="D148" s="126"/>
      <c r="E148" s="126"/>
      <c r="F148" s="126"/>
      <c r="G148" s="125"/>
      <c r="H148" s="126"/>
      <c r="I148" s="126"/>
      <c r="J148" s="127"/>
      <c r="K148" s="126"/>
      <c r="L148" s="126"/>
      <c r="M148" s="128"/>
      <c r="N148" s="126"/>
      <c r="O148" s="126"/>
      <c r="P148" s="128"/>
      <c r="Q148" s="126"/>
      <c r="R148" s="126"/>
      <c r="S148" s="126"/>
      <c r="T148" s="126"/>
      <c r="U148" s="126"/>
      <c r="V148" s="139"/>
      <c r="W148" s="25"/>
    </row>
    <row r="149" spans="1:23" ht="19.95" customHeight="1">
      <c r="A149" s="369"/>
      <c r="B149" s="145"/>
      <c r="C149" s="126"/>
      <c r="D149" s="126"/>
      <c r="E149" s="126"/>
      <c r="F149" s="126"/>
      <c r="G149" s="125"/>
      <c r="H149" s="126"/>
      <c r="I149" s="126"/>
      <c r="J149" s="127"/>
      <c r="K149" s="126"/>
      <c r="L149" s="126"/>
      <c r="M149" s="128"/>
      <c r="N149" s="126"/>
      <c r="O149" s="126"/>
      <c r="P149" s="128"/>
      <c r="Q149" s="126"/>
      <c r="R149" s="126"/>
      <c r="S149" s="126"/>
      <c r="T149" s="126"/>
      <c r="U149" s="126"/>
      <c r="V149" s="139"/>
      <c r="W149" s="25"/>
    </row>
    <row r="150" spans="1:23" ht="19.95" customHeight="1" thickBot="1">
      <c r="A150" s="370"/>
      <c r="B150" s="146"/>
      <c r="C150" s="140"/>
      <c r="D150" s="140"/>
      <c r="E150" s="140"/>
      <c r="F150" s="140"/>
      <c r="G150" s="141"/>
      <c r="H150" s="140"/>
      <c r="I150" s="140"/>
      <c r="J150" s="142"/>
      <c r="K150" s="140"/>
      <c r="L150" s="140"/>
      <c r="M150" s="143"/>
      <c r="N150" s="140"/>
      <c r="O150" s="140"/>
      <c r="P150" s="143"/>
      <c r="Q150" s="140"/>
      <c r="R150" s="140"/>
      <c r="S150" s="140"/>
      <c r="T150" s="140"/>
      <c r="U150" s="140"/>
      <c r="V150" s="144"/>
      <c r="W150" s="25"/>
    </row>
    <row r="151" spans="1:23" ht="19.95" customHeight="1">
      <c r="A151" s="368" t="str">
        <f>'Read Me First'!C18</f>
        <v/>
      </c>
      <c r="B151" s="133" cm="1">
        <f t="array" ref="B151:T160">_xlfn.LET(_xlpm.x, _xlfn._xlws.SORT(_xlfn._xlws.FILTER(Data!$A$33:$S$212,(Data!$C$33:$C$212=$A151)*(Data!$D$33:$D$212=$E$4)*(Data!$E$33:$E$212="U10")),18),_xlpm.y,_xlfn._xlws.SORT(_xlfn._xlws.FILTER(Data!$A$33:$S$212,(Data!$C$33:$C$212=$A151)*(Data!$D$33:$D$212=$E$4)*(Data!$E$33:$E$212="U12")),19), IFERROR(_xlfn.VSTACK(_xlpm.x,_xlpm.y), IFERROR(_xlpm.y,IFERROR(_xlpm.x, ""))))</f>
        <v>121</v>
      </c>
      <c r="C151" s="134" t="str">
        <v/>
      </c>
      <c r="D151" s="134" t="str">
        <v/>
      </c>
      <c r="E151" s="134" t="str">
        <v>GIRLS</v>
      </c>
      <c r="F151" s="134" t="str">
        <v>U12</v>
      </c>
      <c r="G151" s="135" t="str">
        <v/>
      </c>
      <c r="H151" s="134">
        <v>0</v>
      </c>
      <c r="I151" s="134" t="str">
        <v/>
      </c>
      <c r="J151" s="136">
        <v>0</v>
      </c>
      <c r="K151" s="134">
        <v>0</v>
      </c>
      <c r="L151" s="134" t="str">
        <v/>
      </c>
      <c r="M151" s="137" t="str">
        <v/>
      </c>
      <c r="N151" s="134">
        <v>0</v>
      </c>
      <c r="O151" s="134">
        <v>0</v>
      </c>
      <c r="P151" s="137" t="str">
        <v/>
      </c>
      <c r="Q151" s="134">
        <v>0</v>
      </c>
      <c r="R151" s="134">
        <v>0</v>
      </c>
      <c r="S151" s="134" t="str">
        <v/>
      </c>
      <c r="T151" s="134" t="str">
        <v/>
      </c>
      <c r="U151" s="134"/>
      <c r="V151" s="138"/>
      <c r="W151" s="25"/>
    </row>
    <row r="152" spans="1:23" ht="19.95" customHeight="1">
      <c r="A152" s="369"/>
      <c r="B152" s="145">
        <v>122</v>
      </c>
      <c r="C152" s="126" t="str">
        <v/>
      </c>
      <c r="D152" s="126" t="str">
        <v/>
      </c>
      <c r="E152" s="126" t="str">
        <v>GIRLS</v>
      </c>
      <c r="F152" s="126" t="str">
        <v>U12</v>
      </c>
      <c r="G152" s="125" t="str">
        <v/>
      </c>
      <c r="H152" s="126">
        <v>0</v>
      </c>
      <c r="I152" s="126" t="str">
        <v/>
      </c>
      <c r="J152" s="127">
        <v>0</v>
      </c>
      <c r="K152" s="126">
        <v>0</v>
      </c>
      <c r="L152" s="126" t="str">
        <v/>
      </c>
      <c r="M152" s="128" t="str">
        <v/>
      </c>
      <c r="N152" s="126">
        <v>0</v>
      </c>
      <c r="O152" s="126">
        <v>0</v>
      </c>
      <c r="P152" s="128" t="str">
        <v/>
      </c>
      <c r="Q152" s="126">
        <v>0</v>
      </c>
      <c r="R152" s="126">
        <v>0</v>
      </c>
      <c r="S152" s="126" t="str">
        <v/>
      </c>
      <c r="T152" s="126" t="str">
        <v/>
      </c>
      <c r="U152" s="126"/>
      <c r="V152" s="139"/>
      <c r="W152" s="25"/>
    </row>
    <row r="153" spans="1:23" s="9" customFormat="1" ht="19.95" customHeight="1">
      <c r="A153" s="369"/>
      <c r="B153" s="145">
        <v>123</v>
      </c>
      <c r="C153" s="126" t="str">
        <v/>
      </c>
      <c r="D153" s="126" t="str">
        <v/>
      </c>
      <c r="E153" s="126" t="str">
        <v>GIRLS</v>
      </c>
      <c r="F153" s="126" t="str">
        <v>U12</v>
      </c>
      <c r="G153" s="125" t="str">
        <v/>
      </c>
      <c r="H153" s="126">
        <v>0</v>
      </c>
      <c r="I153" s="126" t="str">
        <v/>
      </c>
      <c r="J153" s="127">
        <v>0</v>
      </c>
      <c r="K153" s="126">
        <v>0</v>
      </c>
      <c r="L153" s="126" t="str">
        <v/>
      </c>
      <c r="M153" s="128" t="str">
        <v/>
      </c>
      <c r="N153" s="126">
        <v>0</v>
      </c>
      <c r="O153" s="126">
        <v>0</v>
      </c>
      <c r="P153" s="128" t="str">
        <v/>
      </c>
      <c r="Q153" s="126">
        <v>0</v>
      </c>
      <c r="R153" s="126">
        <v>0</v>
      </c>
      <c r="S153" s="126" t="str">
        <v/>
      </c>
      <c r="T153" s="126" t="str">
        <v/>
      </c>
      <c r="U153" s="126"/>
      <c r="V153" s="139"/>
      <c r="W153" s="54"/>
    </row>
    <row r="154" spans="1:23" s="9" customFormat="1" ht="19.95" customHeight="1">
      <c r="A154" s="369"/>
      <c r="B154" s="145">
        <v>124</v>
      </c>
      <c r="C154" s="126" t="str">
        <v/>
      </c>
      <c r="D154" s="126" t="str">
        <v/>
      </c>
      <c r="E154" s="126" t="str">
        <v>GIRLS</v>
      </c>
      <c r="F154" s="126" t="str">
        <v>U12</v>
      </c>
      <c r="G154" s="125" t="str">
        <v/>
      </c>
      <c r="H154" s="126">
        <v>0</v>
      </c>
      <c r="I154" s="126" t="str">
        <v/>
      </c>
      <c r="J154" s="127">
        <v>0</v>
      </c>
      <c r="K154" s="126">
        <v>0</v>
      </c>
      <c r="L154" s="126" t="str">
        <v/>
      </c>
      <c r="M154" s="128" t="str">
        <v/>
      </c>
      <c r="N154" s="126">
        <v>0</v>
      </c>
      <c r="O154" s="126">
        <v>0</v>
      </c>
      <c r="P154" s="128" t="str">
        <v/>
      </c>
      <c r="Q154" s="126">
        <v>0</v>
      </c>
      <c r="R154" s="126">
        <v>0</v>
      </c>
      <c r="S154" s="126" t="str">
        <v/>
      </c>
      <c r="T154" s="126" t="str">
        <v/>
      </c>
      <c r="U154" s="126"/>
      <c r="V154" s="139"/>
      <c r="W154" s="54"/>
    </row>
    <row r="155" spans="1:23" s="9" customFormat="1" ht="19.95" customHeight="1">
      <c r="A155" s="369"/>
      <c r="B155" s="145">
        <v>125</v>
      </c>
      <c r="C155" s="126" t="str">
        <v/>
      </c>
      <c r="D155" s="126" t="str">
        <v/>
      </c>
      <c r="E155" s="126" t="str">
        <v>GIRLS</v>
      </c>
      <c r="F155" s="126" t="str">
        <v>U12</v>
      </c>
      <c r="G155" s="125" t="str">
        <v/>
      </c>
      <c r="H155" s="126">
        <v>0</v>
      </c>
      <c r="I155" s="126" t="str">
        <v/>
      </c>
      <c r="J155" s="127">
        <v>0</v>
      </c>
      <c r="K155" s="126">
        <v>0</v>
      </c>
      <c r="L155" s="126" t="str">
        <v/>
      </c>
      <c r="M155" s="128" t="str">
        <v/>
      </c>
      <c r="N155" s="126">
        <v>0</v>
      </c>
      <c r="O155" s="126">
        <v>0</v>
      </c>
      <c r="P155" s="128" t="str">
        <v/>
      </c>
      <c r="Q155" s="126">
        <v>0</v>
      </c>
      <c r="R155" s="126">
        <v>0</v>
      </c>
      <c r="S155" s="126" t="str">
        <v/>
      </c>
      <c r="T155" s="126" t="str">
        <v/>
      </c>
      <c r="U155" s="126"/>
      <c r="V155" s="139"/>
      <c r="W155" s="54"/>
    </row>
    <row r="156" spans="1:23" s="9" customFormat="1" ht="19.95" customHeight="1">
      <c r="A156" s="369"/>
      <c r="B156" s="145">
        <v>126</v>
      </c>
      <c r="C156" s="126" t="str">
        <v/>
      </c>
      <c r="D156" s="126" t="str">
        <v/>
      </c>
      <c r="E156" s="126" t="str">
        <v>GIRLS</v>
      </c>
      <c r="F156" s="126" t="str">
        <v>U12</v>
      </c>
      <c r="G156" s="125" t="str">
        <v/>
      </c>
      <c r="H156" s="126">
        <v>0</v>
      </c>
      <c r="I156" s="126" t="str">
        <v/>
      </c>
      <c r="J156" s="127">
        <v>0</v>
      </c>
      <c r="K156" s="126">
        <v>0</v>
      </c>
      <c r="L156" s="126" t="str">
        <v/>
      </c>
      <c r="M156" s="128" t="str">
        <v/>
      </c>
      <c r="N156" s="126">
        <v>0</v>
      </c>
      <c r="O156" s="126">
        <v>0</v>
      </c>
      <c r="P156" s="128" t="str">
        <v/>
      </c>
      <c r="Q156" s="126">
        <v>0</v>
      </c>
      <c r="R156" s="126">
        <v>0</v>
      </c>
      <c r="S156" s="126" t="str">
        <v/>
      </c>
      <c r="T156" s="126" t="str">
        <v/>
      </c>
      <c r="U156" s="126"/>
      <c r="V156" s="139"/>
      <c r="W156" s="54"/>
    </row>
    <row r="157" spans="1:23" s="9" customFormat="1" ht="19.95" customHeight="1">
      <c r="A157" s="369"/>
      <c r="B157" s="145">
        <v>127</v>
      </c>
      <c r="C157" s="126" t="str">
        <v/>
      </c>
      <c r="D157" s="126" t="str">
        <v/>
      </c>
      <c r="E157" s="126" t="str">
        <v>GIRLS</v>
      </c>
      <c r="F157" s="126" t="str">
        <v>U12</v>
      </c>
      <c r="G157" s="125" t="str">
        <v/>
      </c>
      <c r="H157" s="126">
        <v>0</v>
      </c>
      <c r="I157" s="126" t="str">
        <v/>
      </c>
      <c r="J157" s="127">
        <v>0</v>
      </c>
      <c r="K157" s="126">
        <v>0</v>
      </c>
      <c r="L157" s="126" t="str">
        <v/>
      </c>
      <c r="M157" s="128" t="str">
        <v/>
      </c>
      <c r="N157" s="126">
        <v>0</v>
      </c>
      <c r="O157" s="126">
        <v>0</v>
      </c>
      <c r="P157" s="128" t="str">
        <v/>
      </c>
      <c r="Q157" s="126">
        <v>0</v>
      </c>
      <c r="R157" s="126">
        <v>0</v>
      </c>
      <c r="S157" s="126" t="str">
        <v/>
      </c>
      <c r="T157" s="126" t="str">
        <v/>
      </c>
      <c r="U157" s="126"/>
      <c r="V157" s="139"/>
      <c r="W157" s="54"/>
    </row>
    <row r="158" spans="1:23" s="9" customFormat="1" ht="19.95" customHeight="1">
      <c r="A158" s="369"/>
      <c r="B158" s="145">
        <v>128</v>
      </c>
      <c r="C158" s="126" t="str">
        <v/>
      </c>
      <c r="D158" s="126" t="str">
        <v/>
      </c>
      <c r="E158" s="126" t="str">
        <v>GIRLS</v>
      </c>
      <c r="F158" s="126" t="str">
        <v>U12</v>
      </c>
      <c r="G158" s="125" t="str">
        <v/>
      </c>
      <c r="H158" s="126">
        <v>0</v>
      </c>
      <c r="I158" s="126" t="str">
        <v/>
      </c>
      <c r="J158" s="127">
        <v>0</v>
      </c>
      <c r="K158" s="126">
        <v>0</v>
      </c>
      <c r="L158" s="126" t="str">
        <v/>
      </c>
      <c r="M158" s="128" t="str">
        <v/>
      </c>
      <c r="N158" s="126">
        <v>0</v>
      </c>
      <c r="O158" s="126">
        <v>0</v>
      </c>
      <c r="P158" s="128" t="str">
        <v/>
      </c>
      <c r="Q158" s="126">
        <v>0</v>
      </c>
      <c r="R158" s="126">
        <v>0</v>
      </c>
      <c r="S158" s="126" t="str">
        <v/>
      </c>
      <c r="T158" s="126" t="str">
        <v/>
      </c>
      <c r="U158" s="126"/>
      <c r="V158" s="139"/>
      <c r="W158" s="25"/>
    </row>
    <row r="159" spans="1:23" s="4" customFormat="1" ht="19.95" customHeight="1">
      <c r="A159" s="369"/>
      <c r="B159" s="145">
        <v>129</v>
      </c>
      <c r="C159" s="126" t="str">
        <v/>
      </c>
      <c r="D159" s="126" t="str">
        <v/>
      </c>
      <c r="E159" s="126" t="str">
        <v>GIRLS</v>
      </c>
      <c r="F159" s="126" t="str">
        <v>U12</v>
      </c>
      <c r="G159" s="125" t="str">
        <v/>
      </c>
      <c r="H159" s="126">
        <v>0</v>
      </c>
      <c r="I159" s="126" t="str">
        <v/>
      </c>
      <c r="J159" s="127">
        <v>0</v>
      </c>
      <c r="K159" s="126">
        <v>0</v>
      </c>
      <c r="L159" s="126" t="str">
        <v/>
      </c>
      <c r="M159" s="128" t="str">
        <v/>
      </c>
      <c r="N159" s="126">
        <v>0</v>
      </c>
      <c r="O159" s="126">
        <v>0</v>
      </c>
      <c r="P159" s="128" t="str">
        <v/>
      </c>
      <c r="Q159" s="126">
        <v>0</v>
      </c>
      <c r="R159" s="126">
        <v>0</v>
      </c>
      <c r="S159" s="126" t="str">
        <v/>
      </c>
      <c r="T159" s="126" t="str">
        <v/>
      </c>
      <c r="U159" s="126"/>
      <c r="V159" s="139"/>
      <c r="W159" s="25"/>
    </row>
    <row r="160" spans="1:23" s="4" customFormat="1" ht="19.95" customHeight="1">
      <c r="A160" s="369"/>
      <c r="B160" s="145">
        <v>130</v>
      </c>
      <c r="C160" s="126" t="str">
        <v/>
      </c>
      <c r="D160" s="126" t="str">
        <v/>
      </c>
      <c r="E160" s="126" t="str">
        <v>GIRLS</v>
      </c>
      <c r="F160" s="126" t="str">
        <v>U12</v>
      </c>
      <c r="G160" s="125" t="str">
        <v/>
      </c>
      <c r="H160" s="126">
        <v>0</v>
      </c>
      <c r="I160" s="126" t="str">
        <v/>
      </c>
      <c r="J160" s="127">
        <v>0</v>
      </c>
      <c r="K160" s="126">
        <v>0</v>
      </c>
      <c r="L160" s="126" t="str">
        <v/>
      </c>
      <c r="M160" s="128" t="str">
        <v/>
      </c>
      <c r="N160" s="126">
        <v>0</v>
      </c>
      <c r="O160" s="126">
        <v>0</v>
      </c>
      <c r="P160" s="128" t="str">
        <v/>
      </c>
      <c r="Q160" s="126">
        <v>0</v>
      </c>
      <c r="R160" s="126">
        <v>0</v>
      </c>
      <c r="S160" s="126" t="str">
        <v/>
      </c>
      <c r="T160" s="126" t="str">
        <v/>
      </c>
      <c r="U160" s="126"/>
      <c r="V160" s="139"/>
      <c r="W160" s="25"/>
    </row>
    <row r="161" spans="1:23" s="4" customFormat="1" ht="19.95" customHeight="1">
      <c r="A161" s="369"/>
      <c r="B161" s="145"/>
      <c r="C161" s="126"/>
      <c r="D161" s="126"/>
      <c r="E161" s="126"/>
      <c r="F161" s="126"/>
      <c r="G161" s="125"/>
      <c r="H161" s="126"/>
      <c r="I161" s="126"/>
      <c r="J161" s="127"/>
      <c r="K161" s="126"/>
      <c r="L161" s="126"/>
      <c r="M161" s="128"/>
      <c r="N161" s="126"/>
      <c r="O161" s="126"/>
      <c r="P161" s="128"/>
      <c r="Q161" s="126"/>
      <c r="R161" s="126"/>
      <c r="S161" s="126"/>
      <c r="T161" s="126"/>
      <c r="U161" s="126"/>
      <c r="V161" s="139"/>
      <c r="W161" s="25"/>
    </row>
    <row r="162" spans="1:23" s="4" customFormat="1" ht="19.95" customHeight="1">
      <c r="A162" s="369"/>
      <c r="B162" s="145"/>
      <c r="C162" s="126"/>
      <c r="D162" s="126"/>
      <c r="E162" s="126"/>
      <c r="F162" s="126"/>
      <c r="G162" s="125"/>
      <c r="H162" s="126"/>
      <c r="I162" s="126"/>
      <c r="J162" s="127"/>
      <c r="K162" s="126"/>
      <c r="L162" s="126"/>
      <c r="M162" s="128"/>
      <c r="N162" s="126"/>
      <c r="O162" s="126"/>
      <c r="P162" s="128"/>
      <c r="Q162" s="126"/>
      <c r="R162" s="126"/>
      <c r="S162" s="126"/>
      <c r="T162" s="126"/>
      <c r="U162" s="126"/>
      <c r="V162" s="139"/>
      <c r="W162" s="25"/>
    </row>
    <row r="163" spans="1:23" ht="19.95" customHeight="1">
      <c r="A163" s="369"/>
      <c r="B163" s="145"/>
      <c r="C163" s="126"/>
      <c r="D163" s="126"/>
      <c r="E163" s="126"/>
      <c r="F163" s="126"/>
      <c r="G163" s="125"/>
      <c r="H163" s="126"/>
      <c r="I163" s="126"/>
      <c r="J163" s="127"/>
      <c r="K163" s="126"/>
      <c r="L163" s="126"/>
      <c r="M163" s="128"/>
      <c r="N163" s="126"/>
      <c r="O163" s="126"/>
      <c r="P163" s="128"/>
      <c r="Q163" s="126"/>
      <c r="R163" s="126"/>
      <c r="S163" s="126"/>
      <c r="T163" s="126"/>
      <c r="U163" s="126"/>
      <c r="V163" s="139"/>
      <c r="W163" s="25"/>
    </row>
    <row r="164" spans="1:23" ht="19.95" customHeight="1">
      <c r="A164" s="369"/>
      <c r="B164" s="145"/>
      <c r="C164" s="126"/>
      <c r="D164" s="126"/>
      <c r="E164" s="126"/>
      <c r="F164" s="126"/>
      <c r="G164" s="125"/>
      <c r="H164" s="126"/>
      <c r="I164" s="126"/>
      <c r="J164" s="127"/>
      <c r="K164" s="126"/>
      <c r="L164" s="126"/>
      <c r="M164" s="128"/>
      <c r="N164" s="126"/>
      <c r="O164" s="126"/>
      <c r="P164" s="128"/>
      <c r="Q164" s="126"/>
      <c r="R164" s="126"/>
      <c r="S164" s="126"/>
      <c r="T164" s="126"/>
      <c r="U164" s="126"/>
      <c r="V164" s="139"/>
      <c r="W164" s="25"/>
    </row>
    <row r="165" spans="1:23" ht="19.95" customHeight="1">
      <c r="A165" s="369"/>
      <c r="B165" s="145"/>
      <c r="C165" s="126"/>
      <c r="D165" s="126"/>
      <c r="E165" s="126"/>
      <c r="F165" s="126"/>
      <c r="G165" s="125"/>
      <c r="H165" s="126"/>
      <c r="I165" s="126"/>
      <c r="J165" s="127"/>
      <c r="K165" s="126"/>
      <c r="L165" s="126"/>
      <c r="M165" s="128"/>
      <c r="N165" s="126"/>
      <c r="O165" s="126"/>
      <c r="P165" s="128"/>
      <c r="Q165" s="126"/>
      <c r="R165" s="126"/>
      <c r="S165" s="126"/>
      <c r="T165" s="126"/>
      <c r="U165" s="126"/>
      <c r="V165" s="139"/>
      <c r="W165" s="25"/>
    </row>
    <row r="166" spans="1:23" ht="19.95" customHeight="1">
      <c r="A166" s="369"/>
      <c r="B166" s="145"/>
      <c r="C166" s="126"/>
      <c r="D166" s="126"/>
      <c r="E166" s="126"/>
      <c r="F166" s="126"/>
      <c r="G166" s="125"/>
      <c r="H166" s="126"/>
      <c r="I166" s="126"/>
      <c r="J166" s="127"/>
      <c r="K166" s="126"/>
      <c r="L166" s="126"/>
      <c r="M166" s="128"/>
      <c r="N166" s="126"/>
      <c r="O166" s="126"/>
      <c r="P166" s="128"/>
      <c r="Q166" s="126"/>
      <c r="R166" s="126"/>
      <c r="S166" s="126"/>
      <c r="T166" s="126"/>
      <c r="U166" s="126"/>
      <c r="V166" s="139"/>
      <c r="W166" s="25"/>
    </row>
    <row r="167" spans="1:23" ht="19.95" customHeight="1">
      <c r="A167" s="369"/>
      <c r="B167" s="145"/>
      <c r="C167" s="126"/>
      <c r="D167" s="126"/>
      <c r="E167" s="126"/>
      <c r="F167" s="126"/>
      <c r="G167" s="125"/>
      <c r="H167" s="126"/>
      <c r="I167" s="126"/>
      <c r="J167" s="127"/>
      <c r="K167" s="126"/>
      <c r="L167" s="126"/>
      <c r="M167" s="128"/>
      <c r="N167" s="126"/>
      <c r="O167" s="126"/>
      <c r="P167" s="128"/>
      <c r="Q167" s="126"/>
      <c r="R167" s="126"/>
      <c r="S167" s="126"/>
      <c r="T167" s="126"/>
      <c r="U167" s="126"/>
      <c r="V167" s="139"/>
      <c r="W167" s="25"/>
    </row>
    <row r="168" spans="1:23" ht="19.95" customHeight="1">
      <c r="A168" s="369"/>
      <c r="B168" s="145"/>
      <c r="C168" s="126"/>
      <c r="D168" s="126"/>
      <c r="E168" s="126"/>
      <c r="F168" s="126"/>
      <c r="G168" s="125"/>
      <c r="H168" s="126"/>
      <c r="I168" s="126"/>
      <c r="J168" s="127"/>
      <c r="K168" s="126"/>
      <c r="L168" s="126"/>
      <c r="M168" s="128"/>
      <c r="N168" s="126"/>
      <c r="O168" s="126"/>
      <c r="P168" s="128"/>
      <c r="Q168" s="126"/>
      <c r="R168" s="126"/>
      <c r="S168" s="126"/>
      <c r="T168" s="126"/>
      <c r="U168" s="126"/>
      <c r="V168" s="139"/>
      <c r="W168" s="25"/>
    </row>
    <row r="169" spans="1:23" ht="19.95" customHeight="1">
      <c r="A169" s="369"/>
      <c r="B169" s="145"/>
      <c r="C169" s="126"/>
      <c r="D169" s="126"/>
      <c r="E169" s="126"/>
      <c r="F169" s="126"/>
      <c r="G169" s="125"/>
      <c r="H169" s="126"/>
      <c r="I169" s="126"/>
      <c r="J169" s="127"/>
      <c r="K169" s="126"/>
      <c r="L169" s="126"/>
      <c r="M169" s="128"/>
      <c r="N169" s="126"/>
      <c r="O169" s="126"/>
      <c r="P169" s="128"/>
      <c r="Q169" s="126"/>
      <c r="R169" s="126"/>
      <c r="S169" s="126"/>
      <c r="T169" s="126"/>
      <c r="U169" s="126"/>
      <c r="V169" s="139"/>
      <c r="W169" s="25"/>
    </row>
    <row r="170" spans="1:23" ht="19.95" customHeight="1" thickBot="1">
      <c r="A170" s="370"/>
      <c r="B170" s="146"/>
      <c r="C170" s="140"/>
      <c r="D170" s="140"/>
      <c r="E170" s="140"/>
      <c r="F170" s="140"/>
      <c r="G170" s="141"/>
      <c r="H170" s="140"/>
      <c r="I170" s="140"/>
      <c r="J170" s="142"/>
      <c r="K170" s="140"/>
      <c r="L170" s="140"/>
      <c r="M170" s="143"/>
      <c r="N170" s="140"/>
      <c r="O170" s="140"/>
      <c r="P170" s="143"/>
      <c r="Q170" s="140"/>
      <c r="R170" s="140"/>
      <c r="S170" s="140"/>
      <c r="T170" s="140"/>
      <c r="U170" s="140"/>
      <c r="V170" s="144"/>
      <c r="W170" s="25"/>
    </row>
    <row r="171" spans="1:23" ht="19.95" customHeight="1">
      <c r="A171" s="368" t="str">
        <f>'Read Me First'!C19</f>
        <v/>
      </c>
      <c r="B171" s="133" cm="1">
        <f t="array" ref="B171:T180">_xlfn.LET(_xlpm.x, _xlfn._xlws.SORT(_xlfn._xlws.FILTER(Data!$A$33:$S$212,(Data!$C$33:$C$212=$A171)*(Data!$D$33:$D$212=$E$4)*(Data!$E$33:$E$212="U10")),18),_xlpm.y,_xlfn._xlws.SORT(_xlfn._xlws.FILTER(Data!$A$33:$S$212,(Data!$C$33:$C$212=$A171)*(Data!$D$33:$D$212=$E$4)*(Data!$E$33:$E$212="U12")),19), IFERROR(_xlfn.VSTACK(_xlpm.x,_xlpm.y), IFERROR(_xlpm.y,IFERROR(_xlpm.x, ""))))</f>
        <v>121</v>
      </c>
      <c r="C171" s="134" t="str">
        <v/>
      </c>
      <c r="D171" s="134" t="str">
        <v/>
      </c>
      <c r="E171" s="134" t="str">
        <v>GIRLS</v>
      </c>
      <c r="F171" s="134" t="str">
        <v>U12</v>
      </c>
      <c r="G171" s="135" t="str">
        <v/>
      </c>
      <c r="H171" s="134">
        <v>0</v>
      </c>
      <c r="I171" s="134" t="str">
        <v/>
      </c>
      <c r="J171" s="136">
        <v>0</v>
      </c>
      <c r="K171" s="134">
        <v>0</v>
      </c>
      <c r="L171" s="134" t="str">
        <v/>
      </c>
      <c r="M171" s="137" t="str">
        <v/>
      </c>
      <c r="N171" s="134">
        <v>0</v>
      </c>
      <c r="O171" s="134">
        <v>0</v>
      </c>
      <c r="P171" s="137" t="str">
        <v/>
      </c>
      <c r="Q171" s="134">
        <v>0</v>
      </c>
      <c r="R171" s="134">
        <v>0</v>
      </c>
      <c r="S171" s="134" t="str">
        <v/>
      </c>
      <c r="T171" s="134" t="str">
        <v/>
      </c>
      <c r="U171" s="134"/>
      <c r="V171" s="138"/>
      <c r="W171" s="25"/>
    </row>
    <row r="172" spans="1:23" ht="19.95" customHeight="1">
      <c r="A172" s="369"/>
      <c r="B172" s="145">
        <v>122</v>
      </c>
      <c r="C172" s="126" t="str">
        <v/>
      </c>
      <c r="D172" s="126" t="str">
        <v/>
      </c>
      <c r="E172" s="126" t="str">
        <v>GIRLS</v>
      </c>
      <c r="F172" s="126" t="str">
        <v>U12</v>
      </c>
      <c r="G172" s="125" t="str">
        <v/>
      </c>
      <c r="H172" s="126">
        <v>0</v>
      </c>
      <c r="I172" s="126" t="str">
        <v/>
      </c>
      <c r="J172" s="127">
        <v>0</v>
      </c>
      <c r="K172" s="126">
        <v>0</v>
      </c>
      <c r="L172" s="126" t="str">
        <v/>
      </c>
      <c r="M172" s="128" t="str">
        <v/>
      </c>
      <c r="N172" s="126">
        <v>0</v>
      </c>
      <c r="O172" s="126">
        <v>0</v>
      </c>
      <c r="P172" s="128" t="str">
        <v/>
      </c>
      <c r="Q172" s="126">
        <v>0</v>
      </c>
      <c r="R172" s="126">
        <v>0</v>
      </c>
      <c r="S172" s="126" t="str">
        <v/>
      </c>
      <c r="T172" s="126" t="str">
        <v/>
      </c>
      <c r="U172" s="126"/>
      <c r="V172" s="139"/>
      <c r="W172" s="25"/>
    </row>
    <row r="173" spans="1:23" ht="19.95" customHeight="1">
      <c r="A173" s="369"/>
      <c r="B173" s="145">
        <v>123</v>
      </c>
      <c r="C173" s="126" t="str">
        <v/>
      </c>
      <c r="D173" s="126" t="str">
        <v/>
      </c>
      <c r="E173" s="126" t="str">
        <v>GIRLS</v>
      </c>
      <c r="F173" s="126" t="str">
        <v>U12</v>
      </c>
      <c r="G173" s="125" t="str">
        <v/>
      </c>
      <c r="H173" s="126">
        <v>0</v>
      </c>
      <c r="I173" s="126" t="str">
        <v/>
      </c>
      <c r="J173" s="127">
        <v>0</v>
      </c>
      <c r="K173" s="126">
        <v>0</v>
      </c>
      <c r="L173" s="126" t="str">
        <v/>
      </c>
      <c r="M173" s="128" t="str">
        <v/>
      </c>
      <c r="N173" s="126">
        <v>0</v>
      </c>
      <c r="O173" s="126">
        <v>0</v>
      </c>
      <c r="P173" s="128" t="str">
        <v/>
      </c>
      <c r="Q173" s="126">
        <v>0</v>
      </c>
      <c r="R173" s="126">
        <v>0</v>
      </c>
      <c r="S173" s="126" t="str">
        <v/>
      </c>
      <c r="T173" s="126" t="str">
        <v/>
      </c>
      <c r="U173" s="126"/>
      <c r="V173" s="139"/>
      <c r="W173" s="25"/>
    </row>
    <row r="174" spans="1:23" ht="19.95" customHeight="1">
      <c r="A174" s="369"/>
      <c r="B174" s="145">
        <v>124</v>
      </c>
      <c r="C174" s="126" t="str">
        <v/>
      </c>
      <c r="D174" s="126" t="str">
        <v/>
      </c>
      <c r="E174" s="126" t="str">
        <v>GIRLS</v>
      </c>
      <c r="F174" s="126" t="str">
        <v>U12</v>
      </c>
      <c r="G174" s="125" t="str">
        <v/>
      </c>
      <c r="H174" s="126">
        <v>0</v>
      </c>
      <c r="I174" s="126" t="str">
        <v/>
      </c>
      <c r="J174" s="127">
        <v>0</v>
      </c>
      <c r="K174" s="126">
        <v>0</v>
      </c>
      <c r="L174" s="126" t="str">
        <v/>
      </c>
      <c r="M174" s="128" t="str">
        <v/>
      </c>
      <c r="N174" s="126">
        <v>0</v>
      </c>
      <c r="O174" s="126">
        <v>0</v>
      </c>
      <c r="P174" s="128" t="str">
        <v/>
      </c>
      <c r="Q174" s="126">
        <v>0</v>
      </c>
      <c r="R174" s="126">
        <v>0</v>
      </c>
      <c r="S174" s="126" t="str">
        <v/>
      </c>
      <c r="T174" s="126" t="str">
        <v/>
      </c>
      <c r="U174" s="126"/>
      <c r="V174" s="139"/>
      <c r="W174" s="25"/>
    </row>
    <row r="175" spans="1:23" ht="19.95" customHeight="1">
      <c r="A175" s="369"/>
      <c r="B175" s="145">
        <v>125</v>
      </c>
      <c r="C175" s="126" t="str">
        <v/>
      </c>
      <c r="D175" s="126" t="str">
        <v/>
      </c>
      <c r="E175" s="126" t="str">
        <v>GIRLS</v>
      </c>
      <c r="F175" s="126" t="str">
        <v>U12</v>
      </c>
      <c r="G175" s="125" t="str">
        <v/>
      </c>
      <c r="H175" s="126">
        <v>0</v>
      </c>
      <c r="I175" s="126" t="str">
        <v/>
      </c>
      <c r="J175" s="127">
        <v>0</v>
      </c>
      <c r="K175" s="126">
        <v>0</v>
      </c>
      <c r="L175" s="126" t="str">
        <v/>
      </c>
      <c r="M175" s="128" t="str">
        <v/>
      </c>
      <c r="N175" s="126">
        <v>0</v>
      </c>
      <c r="O175" s="126">
        <v>0</v>
      </c>
      <c r="P175" s="128" t="str">
        <v/>
      </c>
      <c r="Q175" s="126">
        <v>0</v>
      </c>
      <c r="R175" s="126">
        <v>0</v>
      </c>
      <c r="S175" s="126" t="str">
        <v/>
      </c>
      <c r="T175" s="126" t="str">
        <v/>
      </c>
      <c r="U175" s="126"/>
      <c r="V175" s="139"/>
      <c r="W175" s="25"/>
    </row>
    <row r="176" spans="1:23" ht="19.95" customHeight="1">
      <c r="A176" s="369"/>
      <c r="B176" s="145">
        <v>126</v>
      </c>
      <c r="C176" s="126" t="str">
        <v/>
      </c>
      <c r="D176" s="126" t="str">
        <v/>
      </c>
      <c r="E176" s="126" t="str">
        <v>GIRLS</v>
      </c>
      <c r="F176" s="126" t="str">
        <v>U12</v>
      </c>
      <c r="G176" s="125" t="str">
        <v/>
      </c>
      <c r="H176" s="126">
        <v>0</v>
      </c>
      <c r="I176" s="126" t="str">
        <v/>
      </c>
      <c r="J176" s="127">
        <v>0</v>
      </c>
      <c r="K176" s="126">
        <v>0</v>
      </c>
      <c r="L176" s="126" t="str">
        <v/>
      </c>
      <c r="M176" s="128" t="str">
        <v/>
      </c>
      <c r="N176" s="126">
        <v>0</v>
      </c>
      <c r="O176" s="126">
        <v>0</v>
      </c>
      <c r="P176" s="128" t="str">
        <v/>
      </c>
      <c r="Q176" s="126">
        <v>0</v>
      </c>
      <c r="R176" s="126">
        <v>0</v>
      </c>
      <c r="S176" s="126" t="str">
        <v/>
      </c>
      <c r="T176" s="126" t="str">
        <v/>
      </c>
      <c r="U176" s="126"/>
      <c r="V176" s="139"/>
      <c r="W176" s="25"/>
    </row>
    <row r="177" spans="1:23" ht="19.95" customHeight="1">
      <c r="A177" s="369"/>
      <c r="B177" s="145">
        <v>127</v>
      </c>
      <c r="C177" s="126" t="str">
        <v/>
      </c>
      <c r="D177" s="126" t="str">
        <v/>
      </c>
      <c r="E177" s="126" t="str">
        <v>GIRLS</v>
      </c>
      <c r="F177" s="126" t="str">
        <v>U12</v>
      </c>
      <c r="G177" s="125" t="str">
        <v/>
      </c>
      <c r="H177" s="126">
        <v>0</v>
      </c>
      <c r="I177" s="126" t="str">
        <v/>
      </c>
      <c r="J177" s="127">
        <v>0</v>
      </c>
      <c r="K177" s="126">
        <v>0</v>
      </c>
      <c r="L177" s="126" t="str">
        <v/>
      </c>
      <c r="M177" s="128" t="str">
        <v/>
      </c>
      <c r="N177" s="126">
        <v>0</v>
      </c>
      <c r="O177" s="126">
        <v>0</v>
      </c>
      <c r="P177" s="128" t="str">
        <v/>
      </c>
      <c r="Q177" s="126">
        <v>0</v>
      </c>
      <c r="R177" s="126">
        <v>0</v>
      </c>
      <c r="S177" s="126" t="str">
        <v/>
      </c>
      <c r="T177" s="126" t="str">
        <v/>
      </c>
      <c r="U177" s="126"/>
      <c r="V177" s="139"/>
      <c r="W177" s="25"/>
    </row>
    <row r="178" spans="1:23" ht="19.95" customHeight="1">
      <c r="A178" s="369"/>
      <c r="B178" s="145">
        <v>128</v>
      </c>
      <c r="C178" s="126" t="str">
        <v/>
      </c>
      <c r="D178" s="126" t="str">
        <v/>
      </c>
      <c r="E178" s="126" t="str">
        <v>GIRLS</v>
      </c>
      <c r="F178" s="126" t="str">
        <v>U12</v>
      </c>
      <c r="G178" s="125" t="str">
        <v/>
      </c>
      <c r="H178" s="126">
        <v>0</v>
      </c>
      <c r="I178" s="126" t="str">
        <v/>
      </c>
      <c r="J178" s="127">
        <v>0</v>
      </c>
      <c r="K178" s="126">
        <v>0</v>
      </c>
      <c r="L178" s="126" t="str">
        <v/>
      </c>
      <c r="M178" s="128" t="str">
        <v/>
      </c>
      <c r="N178" s="126">
        <v>0</v>
      </c>
      <c r="O178" s="126">
        <v>0</v>
      </c>
      <c r="P178" s="128" t="str">
        <v/>
      </c>
      <c r="Q178" s="126">
        <v>0</v>
      </c>
      <c r="R178" s="126">
        <v>0</v>
      </c>
      <c r="S178" s="126" t="str">
        <v/>
      </c>
      <c r="T178" s="126" t="str">
        <v/>
      </c>
      <c r="U178" s="126"/>
      <c r="V178" s="139"/>
      <c r="W178" s="54"/>
    </row>
    <row r="179" spans="1:23" ht="19.95" customHeight="1">
      <c r="A179" s="369"/>
      <c r="B179" s="145">
        <v>129</v>
      </c>
      <c r="C179" s="126" t="str">
        <v/>
      </c>
      <c r="D179" s="126" t="str">
        <v/>
      </c>
      <c r="E179" s="126" t="str">
        <v>GIRLS</v>
      </c>
      <c r="F179" s="126" t="str">
        <v>U12</v>
      </c>
      <c r="G179" s="125" t="str">
        <v/>
      </c>
      <c r="H179" s="126">
        <v>0</v>
      </c>
      <c r="I179" s="126" t="str">
        <v/>
      </c>
      <c r="J179" s="127">
        <v>0</v>
      </c>
      <c r="K179" s="126">
        <v>0</v>
      </c>
      <c r="L179" s="126" t="str">
        <v/>
      </c>
      <c r="M179" s="128" t="str">
        <v/>
      </c>
      <c r="N179" s="126">
        <v>0</v>
      </c>
      <c r="O179" s="126">
        <v>0</v>
      </c>
      <c r="P179" s="128" t="str">
        <v/>
      </c>
      <c r="Q179" s="126">
        <v>0</v>
      </c>
      <c r="R179" s="126">
        <v>0</v>
      </c>
      <c r="S179" s="126" t="str">
        <v/>
      </c>
      <c r="T179" s="126" t="str">
        <v/>
      </c>
      <c r="U179" s="126"/>
      <c r="V179" s="139"/>
      <c r="W179" s="25"/>
    </row>
    <row r="180" spans="1:23" ht="19.95" customHeight="1">
      <c r="A180" s="369"/>
      <c r="B180" s="145">
        <v>130</v>
      </c>
      <c r="C180" s="126" t="str">
        <v/>
      </c>
      <c r="D180" s="126" t="str">
        <v/>
      </c>
      <c r="E180" s="126" t="str">
        <v>GIRLS</v>
      </c>
      <c r="F180" s="126" t="str">
        <v>U12</v>
      </c>
      <c r="G180" s="125" t="str">
        <v/>
      </c>
      <c r="H180" s="126">
        <v>0</v>
      </c>
      <c r="I180" s="126" t="str">
        <v/>
      </c>
      <c r="J180" s="127">
        <v>0</v>
      </c>
      <c r="K180" s="126">
        <v>0</v>
      </c>
      <c r="L180" s="126" t="str">
        <v/>
      </c>
      <c r="M180" s="128" t="str">
        <v/>
      </c>
      <c r="N180" s="126">
        <v>0</v>
      </c>
      <c r="O180" s="126">
        <v>0</v>
      </c>
      <c r="P180" s="128" t="str">
        <v/>
      </c>
      <c r="Q180" s="126">
        <v>0</v>
      </c>
      <c r="R180" s="126">
        <v>0</v>
      </c>
      <c r="S180" s="126" t="str">
        <v/>
      </c>
      <c r="T180" s="126" t="str">
        <v/>
      </c>
      <c r="U180" s="126"/>
      <c r="V180" s="139"/>
      <c r="W180" s="25"/>
    </row>
    <row r="181" spans="1:23" ht="19.95" customHeight="1">
      <c r="A181" s="369"/>
      <c r="B181" s="145"/>
      <c r="C181" s="126"/>
      <c r="D181" s="126"/>
      <c r="E181" s="126"/>
      <c r="F181" s="126"/>
      <c r="G181" s="125"/>
      <c r="H181" s="126"/>
      <c r="I181" s="126"/>
      <c r="J181" s="127"/>
      <c r="K181" s="126"/>
      <c r="L181" s="126"/>
      <c r="M181" s="128"/>
      <c r="N181" s="126"/>
      <c r="O181" s="126"/>
      <c r="P181" s="128"/>
      <c r="Q181" s="126"/>
      <c r="R181" s="126"/>
      <c r="S181" s="126"/>
      <c r="T181" s="126"/>
      <c r="U181" s="126"/>
      <c r="V181" s="139"/>
      <c r="W181" s="25"/>
    </row>
    <row r="182" spans="1:23" ht="19.95" customHeight="1">
      <c r="A182" s="369"/>
      <c r="B182" s="145"/>
      <c r="C182" s="126"/>
      <c r="D182" s="126"/>
      <c r="E182" s="126"/>
      <c r="F182" s="126"/>
      <c r="G182" s="125"/>
      <c r="H182" s="126"/>
      <c r="I182" s="126"/>
      <c r="J182" s="127"/>
      <c r="K182" s="126"/>
      <c r="L182" s="126"/>
      <c r="M182" s="128"/>
      <c r="N182" s="126"/>
      <c r="O182" s="126"/>
      <c r="P182" s="128"/>
      <c r="Q182" s="126"/>
      <c r="R182" s="126"/>
      <c r="S182" s="126"/>
      <c r="T182" s="126"/>
      <c r="U182" s="126"/>
      <c r="V182" s="139"/>
      <c r="W182" s="25"/>
    </row>
    <row r="183" spans="1:23" ht="19.95" customHeight="1">
      <c r="A183" s="369"/>
      <c r="B183" s="145"/>
      <c r="C183" s="126"/>
      <c r="D183" s="126"/>
      <c r="E183" s="126"/>
      <c r="F183" s="126"/>
      <c r="G183" s="125"/>
      <c r="H183" s="126"/>
      <c r="I183" s="126"/>
      <c r="J183" s="127"/>
      <c r="K183" s="126"/>
      <c r="L183" s="126"/>
      <c r="M183" s="128"/>
      <c r="N183" s="126"/>
      <c r="O183" s="126"/>
      <c r="P183" s="128"/>
      <c r="Q183" s="126"/>
      <c r="R183" s="126"/>
      <c r="S183" s="126"/>
      <c r="T183" s="126"/>
      <c r="U183" s="126"/>
      <c r="V183" s="139"/>
      <c r="W183" s="25"/>
    </row>
    <row r="184" spans="1:23" ht="19.95" customHeight="1">
      <c r="A184" s="369"/>
      <c r="B184" s="145"/>
      <c r="C184" s="126"/>
      <c r="D184" s="126"/>
      <c r="E184" s="126"/>
      <c r="F184" s="126"/>
      <c r="G184" s="125"/>
      <c r="H184" s="126"/>
      <c r="I184" s="126"/>
      <c r="J184" s="127"/>
      <c r="K184" s="126"/>
      <c r="L184" s="126"/>
      <c r="M184" s="128"/>
      <c r="N184" s="126"/>
      <c r="O184" s="126"/>
      <c r="P184" s="128"/>
      <c r="Q184" s="126"/>
      <c r="R184" s="126"/>
      <c r="S184" s="126"/>
      <c r="T184" s="126"/>
      <c r="U184" s="126"/>
      <c r="V184" s="139"/>
      <c r="W184" s="25"/>
    </row>
    <row r="185" spans="1:23" ht="19.95" customHeight="1">
      <c r="A185" s="369"/>
      <c r="B185" s="145"/>
      <c r="C185" s="126"/>
      <c r="D185" s="126"/>
      <c r="E185" s="126"/>
      <c r="F185" s="126"/>
      <c r="G185" s="125"/>
      <c r="H185" s="126"/>
      <c r="I185" s="126"/>
      <c r="J185" s="127"/>
      <c r="K185" s="126"/>
      <c r="L185" s="126"/>
      <c r="M185" s="128"/>
      <c r="N185" s="126"/>
      <c r="O185" s="126"/>
      <c r="P185" s="128"/>
      <c r="Q185" s="126"/>
      <c r="R185" s="126"/>
      <c r="S185" s="126"/>
      <c r="T185" s="126"/>
      <c r="U185" s="126"/>
      <c r="V185" s="139"/>
      <c r="W185" s="25"/>
    </row>
    <row r="186" spans="1:23" ht="19.95" customHeight="1">
      <c r="A186" s="369"/>
      <c r="B186" s="145"/>
      <c r="C186" s="126"/>
      <c r="D186" s="126"/>
      <c r="E186" s="126"/>
      <c r="F186" s="126"/>
      <c r="G186" s="125"/>
      <c r="H186" s="126"/>
      <c r="I186" s="126"/>
      <c r="J186" s="127"/>
      <c r="K186" s="126"/>
      <c r="L186" s="126"/>
      <c r="M186" s="128"/>
      <c r="N186" s="126"/>
      <c r="O186" s="126"/>
      <c r="P186" s="128"/>
      <c r="Q186" s="126"/>
      <c r="R186" s="126"/>
      <c r="S186" s="126"/>
      <c r="T186" s="126"/>
      <c r="U186" s="126"/>
      <c r="V186" s="139"/>
      <c r="W186" s="25"/>
    </row>
    <row r="187" spans="1:23" ht="19.95" customHeight="1">
      <c r="A187" s="369"/>
      <c r="B187" s="145"/>
      <c r="C187" s="126"/>
      <c r="D187" s="126"/>
      <c r="E187" s="126"/>
      <c r="F187" s="126"/>
      <c r="G187" s="125"/>
      <c r="H187" s="126"/>
      <c r="I187" s="126"/>
      <c r="J187" s="127"/>
      <c r="K187" s="126"/>
      <c r="L187" s="126"/>
      <c r="M187" s="128"/>
      <c r="N187" s="126"/>
      <c r="O187" s="126"/>
      <c r="P187" s="128"/>
      <c r="Q187" s="126"/>
      <c r="R187" s="126"/>
      <c r="S187" s="126"/>
      <c r="T187" s="126"/>
      <c r="U187" s="126"/>
      <c r="V187" s="139"/>
      <c r="W187" s="25"/>
    </row>
    <row r="188" spans="1:23" ht="19.95" customHeight="1">
      <c r="A188" s="369"/>
      <c r="B188" s="145"/>
      <c r="C188" s="126"/>
      <c r="D188" s="126"/>
      <c r="E188" s="126"/>
      <c r="F188" s="126"/>
      <c r="G188" s="125"/>
      <c r="H188" s="126"/>
      <c r="I188" s="126"/>
      <c r="J188" s="127"/>
      <c r="K188" s="126"/>
      <c r="L188" s="126"/>
      <c r="M188" s="128"/>
      <c r="N188" s="126"/>
      <c r="O188" s="126"/>
      <c r="P188" s="128"/>
      <c r="Q188" s="126"/>
      <c r="R188" s="126"/>
      <c r="S188" s="126"/>
      <c r="T188" s="126"/>
      <c r="U188" s="126"/>
      <c r="V188" s="139"/>
      <c r="W188" s="25"/>
    </row>
    <row r="189" spans="1:23" ht="19.95" customHeight="1">
      <c r="A189" s="369"/>
      <c r="B189" s="145"/>
      <c r="C189" s="126"/>
      <c r="D189" s="126"/>
      <c r="E189" s="126"/>
      <c r="F189" s="126"/>
      <c r="G189" s="125"/>
      <c r="H189" s="126"/>
      <c r="I189" s="126"/>
      <c r="J189" s="127"/>
      <c r="K189" s="126"/>
      <c r="L189" s="126"/>
      <c r="M189" s="128"/>
      <c r="N189" s="126"/>
      <c r="O189" s="126"/>
      <c r="P189" s="128"/>
      <c r="Q189" s="126"/>
      <c r="R189" s="126"/>
      <c r="S189" s="126"/>
      <c r="T189" s="126"/>
      <c r="U189" s="126"/>
      <c r="V189" s="139"/>
      <c r="W189" s="25"/>
    </row>
    <row r="190" spans="1:23" ht="19.95" customHeight="1" thickBot="1">
      <c r="A190" s="370"/>
      <c r="B190" s="146"/>
      <c r="C190" s="140"/>
      <c r="D190" s="140"/>
      <c r="E190" s="140"/>
      <c r="F190" s="140"/>
      <c r="G190" s="141"/>
      <c r="H190" s="140"/>
      <c r="I190" s="140"/>
      <c r="J190" s="142"/>
      <c r="K190" s="140"/>
      <c r="L190" s="140"/>
      <c r="M190" s="143"/>
      <c r="N190" s="140"/>
      <c r="O190" s="140"/>
      <c r="P190" s="143"/>
      <c r="Q190" s="140"/>
      <c r="R190" s="140"/>
      <c r="S190" s="140"/>
      <c r="T190" s="140"/>
      <c r="U190" s="140"/>
      <c r="V190" s="144"/>
      <c r="W190" s="25"/>
    </row>
    <row r="191" spans="1:23" ht="18" customHeight="1">
      <c r="B191" s="25"/>
      <c r="C191" s="41"/>
      <c r="D191" s="41"/>
      <c r="E191" s="41"/>
      <c r="F191" s="41"/>
      <c r="G191" s="42"/>
      <c r="H191" s="25"/>
      <c r="I191" s="25"/>
      <c r="J191" s="42"/>
      <c r="K191" s="25"/>
      <c r="L191" s="25"/>
      <c r="M191" s="43"/>
      <c r="N191" s="25"/>
      <c r="O191" s="25"/>
      <c r="P191" s="42"/>
      <c r="Q191" s="25"/>
      <c r="R191" s="25"/>
      <c r="S191" s="25"/>
      <c r="T191" s="25"/>
      <c r="U191" s="25"/>
      <c r="V191" s="25"/>
      <c r="W191" s="25"/>
    </row>
    <row r="192" spans="1:23" ht="18" customHeight="1">
      <c r="B192" s="25"/>
      <c r="C192" s="41"/>
      <c r="D192" s="41"/>
      <c r="E192" s="41"/>
      <c r="F192" s="41"/>
      <c r="G192" s="42"/>
      <c r="H192" s="25"/>
      <c r="I192" s="25"/>
      <c r="J192" s="42"/>
      <c r="K192" s="25"/>
      <c r="L192" s="25"/>
      <c r="M192" s="43"/>
      <c r="N192" s="25"/>
      <c r="O192" s="25"/>
      <c r="P192" s="42"/>
      <c r="Q192" s="25"/>
      <c r="R192" s="25"/>
      <c r="S192" s="25"/>
      <c r="T192" s="25"/>
      <c r="U192" s="25"/>
      <c r="V192" s="25"/>
      <c r="W192" s="25"/>
    </row>
    <row r="193" spans="1:23" ht="18" customHeight="1">
      <c r="B193" s="25"/>
      <c r="C193" s="41"/>
      <c r="D193" s="41"/>
      <c r="E193" s="41"/>
      <c r="F193" s="41"/>
      <c r="G193" s="42"/>
      <c r="H193" s="25"/>
      <c r="I193" s="25"/>
      <c r="J193" s="42"/>
      <c r="K193" s="25"/>
      <c r="L193" s="25"/>
      <c r="M193" s="43"/>
      <c r="N193" s="25"/>
      <c r="O193" s="25"/>
      <c r="P193" s="42"/>
      <c r="Q193" s="25"/>
      <c r="R193" s="25"/>
      <c r="S193" s="25"/>
      <c r="T193" s="25"/>
      <c r="U193" s="25"/>
      <c r="V193" s="25"/>
      <c r="W193" s="25"/>
    </row>
    <row r="194" spans="1:23" ht="18" customHeight="1">
      <c r="A194" s="41"/>
      <c r="B194" s="41"/>
      <c r="C194" s="41"/>
      <c r="D194" s="41"/>
      <c r="E194" s="41"/>
      <c r="F194" s="41"/>
      <c r="G194" s="42"/>
      <c r="H194" s="25"/>
      <c r="I194" s="25"/>
      <c r="J194" s="42"/>
      <c r="K194" s="25"/>
      <c r="L194" s="25"/>
      <c r="M194" s="43"/>
      <c r="N194" s="25"/>
      <c r="O194" s="25"/>
      <c r="P194" s="42"/>
      <c r="Q194" s="25"/>
      <c r="R194" s="25"/>
      <c r="S194" s="25"/>
      <c r="T194" s="25"/>
      <c r="U194" s="25"/>
      <c r="V194" s="25"/>
      <c r="W194" s="25"/>
    </row>
    <row r="195" spans="1:23" ht="18" customHeight="1">
      <c r="W195" s="25"/>
    </row>
    <row r="196" spans="1:23" ht="19.95" customHeight="1">
      <c r="A196" s="363"/>
      <c r="B196" s="363" t="s">
        <v>106</v>
      </c>
      <c r="C196" s="365" t="s">
        <v>107</v>
      </c>
      <c r="D196" s="365" t="s">
        <v>108</v>
      </c>
      <c r="E196" s="365" t="s">
        <v>15</v>
      </c>
      <c r="F196" s="371" t="s">
        <v>186</v>
      </c>
      <c r="G196" s="373" t="s">
        <v>85</v>
      </c>
      <c r="H196" s="374"/>
      <c r="I196" s="375"/>
      <c r="J196" s="373" t="s">
        <v>95</v>
      </c>
      <c r="K196" s="374"/>
      <c r="L196" s="375"/>
      <c r="M196" s="373" t="s">
        <v>110</v>
      </c>
      <c r="N196" s="374"/>
      <c r="O196" s="375"/>
      <c r="P196" s="376" t="s">
        <v>104</v>
      </c>
      <c r="Q196" s="377"/>
      <c r="R196" s="78" t="s">
        <v>81</v>
      </c>
      <c r="S196" s="529" t="s">
        <v>111</v>
      </c>
      <c r="T196" s="530"/>
      <c r="U196" s="529" t="s">
        <v>112</v>
      </c>
      <c r="V196" s="530"/>
      <c r="W196" s="25"/>
    </row>
    <row r="197" spans="1:23" ht="19.95" customHeight="1" thickBot="1">
      <c r="A197" s="364"/>
      <c r="B197" s="364"/>
      <c r="C197" s="366"/>
      <c r="D197" s="366"/>
      <c r="E197" s="366"/>
      <c r="F197" s="372"/>
      <c r="G197" s="130" t="s">
        <v>113</v>
      </c>
      <c r="H197" s="131" t="s">
        <v>81</v>
      </c>
      <c r="I197" s="131" t="s">
        <v>82</v>
      </c>
      <c r="J197" s="132" t="s">
        <v>113</v>
      </c>
      <c r="K197" s="131" t="s">
        <v>81</v>
      </c>
      <c r="L197" s="131" t="s">
        <v>82</v>
      </c>
      <c r="M197" s="130" t="s">
        <v>114</v>
      </c>
      <c r="N197" s="131" t="s">
        <v>81</v>
      </c>
      <c r="O197" s="131" t="s">
        <v>82</v>
      </c>
      <c r="P197" s="130" t="s">
        <v>114</v>
      </c>
      <c r="Q197" s="131" t="s">
        <v>81</v>
      </c>
      <c r="R197" s="318" t="s">
        <v>115</v>
      </c>
      <c r="S197" s="318" t="s">
        <v>169</v>
      </c>
      <c r="T197" s="318" t="s">
        <v>116</v>
      </c>
      <c r="U197" s="318" t="s">
        <v>169</v>
      </c>
      <c r="V197" s="318" t="s">
        <v>116</v>
      </c>
      <c r="W197" s="25"/>
    </row>
    <row r="198" spans="1:23" ht="19.95" customHeight="1">
      <c r="A198" s="360" t="str">
        <f>'Read Me First'!C11</f>
        <v>Camberley &amp; District AC</v>
      </c>
      <c r="B198" s="133" cm="1">
        <f t="array" ref="B198:V207">_xlfn.LET(_xlpm.x, _xlfn._xlws.SORT(_xlfn._xlws.FILTER(Data!$A$249:$U$536,(Data!$C$249:$C$536=$A198)*(Data!$D$249:$D$536=$E$196)*(Data!$E$249:$E$536="U10")),18),_xlpm.y,_xlfn._xlws.SORT(_xlfn._xlws.FILTER(Data!$A$249:$U$536,(Data!$C$249:$C$536=$A198)*(Data!$D$249:$D$536=$E$196)*(Data!$E$249:$E$536="U12")),19), IFERROR(_xlfn.VSTACK(_xlpm.x,_xlpm.y), IFERROR(_xlpm.y,IFERROR(_xlpm.x, ""))))</f>
        <v>11</v>
      </c>
      <c r="C198" s="134" t="str">
        <v>MATTHEW SCALES</v>
      </c>
      <c r="D198" s="134" t="str">
        <v>Camberley &amp; District AC</v>
      </c>
      <c r="E198" s="134" t="str">
        <v>BOYS</v>
      </c>
      <c r="F198" s="134" t="str">
        <v>U12</v>
      </c>
      <c r="G198" s="135">
        <v>11</v>
      </c>
      <c r="H198" s="134">
        <v>105</v>
      </c>
      <c r="I198" s="134" t="str">
        <v>PB9</v>
      </c>
      <c r="J198" s="136">
        <v>1.2789351851851853E-3</v>
      </c>
      <c r="K198" s="134">
        <v>85</v>
      </c>
      <c r="L198" s="134" t="str">
        <v>PB7</v>
      </c>
      <c r="M198" s="137">
        <v>3.83</v>
      </c>
      <c r="N198" s="134">
        <v>92</v>
      </c>
      <c r="O198" s="134" t="str">
        <v>PB8</v>
      </c>
      <c r="P198" s="137">
        <v>29.83</v>
      </c>
      <c r="Q198" s="134">
        <v>99</v>
      </c>
      <c r="R198" s="134">
        <v>381</v>
      </c>
      <c r="S198" s="134" t="str">
        <v/>
      </c>
      <c r="T198" s="134">
        <v>1</v>
      </c>
      <c r="U198" s="134" t="str">
        <v/>
      </c>
      <c r="V198" s="138">
        <v>2</v>
      </c>
      <c r="W198" s="25"/>
    </row>
    <row r="199" spans="1:23" ht="19.95" customHeight="1">
      <c r="A199" s="361"/>
      <c r="B199" s="145">
        <v>12</v>
      </c>
      <c r="C199" s="126" t="str">
        <v>OSCAR FROST</v>
      </c>
      <c r="D199" s="126" t="str">
        <v>Camberley &amp; District AC</v>
      </c>
      <c r="E199" s="126" t="str">
        <v>BOYS</v>
      </c>
      <c r="F199" s="126" t="str">
        <v>U12</v>
      </c>
      <c r="G199" s="125">
        <v>11.9</v>
      </c>
      <c r="H199" s="126">
        <v>82</v>
      </c>
      <c r="I199" s="126" t="str">
        <v>PB7</v>
      </c>
      <c r="J199" s="127">
        <v>1.3888888888888889E-3</v>
      </c>
      <c r="K199" s="126">
        <v>60</v>
      </c>
      <c r="L199" s="126" t="str">
        <v>PB5</v>
      </c>
      <c r="M199" s="128">
        <v>3.09</v>
      </c>
      <c r="N199" s="126">
        <v>63</v>
      </c>
      <c r="O199" s="126" t="str">
        <v>PB5</v>
      </c>
      <c r="P199" s="128">
        <v>22.86</v>
      </c>
      <c r="Q199" s="126">
        <v>64</v>
      </c>
      <c r="R199" s="126">
        <v>269</v>
      </c>
      <c r="S199" s="126" t="str">
        <v/>
      </c>
      <c r="T199" s="126">
        <v>2</v>
      </c>
      <c r="U199" s="126" t="str">
        <v/>
      </c>
      <c r="V199" s="139">
        <v>22</v>
      </c>
    </row>
    <row r="200" spans="1:23" ht="19.95" customHeight="1">
      <c r="A200" s="361"/>
      <c r="B200" s="145">
        <v>16</v>
      </c>
      <c r="C200" s="126" t="str">
        <v>RAFI PAYNE</v>
      </c>
      <c r="D200" s="126" t="str">
        <v>Camberley &amp; District AC</v>
      </c>
      <c r="E200" s="126" t="str">
        <v>BOYS</v>
      </c>
      <c r="F200" s="126" t="str">
        <v>U12</v>
      </c>
      <c r="G200" s="125">
        <v>12.6</v>
      </c>
      <c r="H200" s="126">
        <v>68</v>
      </c>
      <c r="I200" s="126" t="str">
        <v>PB5</v>
      </c>
      <c r="J200" s="127">
        <v>1.4583333333333334E-3</v>
      </c>
      <c r="K200" s="126">
        <v>48</v>
      </c>
      <c r="L200" s="126" t="str">
        <v>PB3</v>
      </c>
      <c r="M200" s="128">
        <v>3.21</v>
      </c>
      <c r="N200" s="126">
        <v>68</v>
      </c>
      <c r="O200" s="126" t="str">
        <v>PB5</v>
      </c>
      <c r="P200" s="128">
        <v>21.25</v>
      </c>
      <c r="Q200" s="126">
        <v>56</v>
      </c>
      <c r="R200" s="126">
        <v>240</v>
      </c>
      <c r="S200" s="126" t="str">
        <v/>
      </c>
      <c r="T200" s="126">
        <v>3</v>
      </c>
      <c r="U200" s="126" t="str">
        <v/>
      </c>
      <c r="V200" s="139">
        <v>28</v>
      </c>
      <c r="W200" s="19"/>
    </row>
    <row r="201" spans="1:23" ht="19.95" customHeight="1">
      <c r="A201" s="361"/>
      <c r="B201" s="145">
        <v>13</v>
      </c>
      <c r="C201" s="126" t="str">
        <v>HARRY COLLINS</v>
      </c>
      <c r="D201" s="126" t="str">
        <v>Camberley &amp; District AC</v>
      </c>
      <c r="E201" s="126" t="str">
        <v>BOYS</v>
      </c>
      <c r="F201" s="126" t="str">
        <v>U12</v>
      </c>
      <c r="G201" s="125">
        <v>12.5</v>
      </c>
      <c r="H201" s="126">
        <v>70</v>
      </c>
      <c r="I201" s="126" t="str">
        <v>PB6</v>
      </c>
      <c r="J201" s="127">
        <v>1.4212962962962964E-3</v>
      </c>
      <c r="K201" s="126">
        <v>54</v>
      </c>
      <c r="L201" s="126" t="str">
        <v>PB4</v>
      </c>
      <c r="M201" s="128">
        <v>2.99</v>
      </c>
      <c r="N201" s="126">
        <v>59</v>
      </c>
      <c r="O201" s="126" t="str">
        <v>PB4</v>
      </c>
      <c r="P201" s="128">
        <v>21.13</v>
      </c>
      <c r="Q201" s="126">
        <v>55</v>
      </c>
      <c r="R201" s="126">
        <v>238</v>
      </c>
      <c r="S201" s="126" t="str">
        <v/>
      </c>
      <c r="T201" s="126">
        <v>4</v>
      </c>
      <c r="U201" s="126" t="str">
        <v/>
      </c>
      <c r="V201" s="139">
        <v>29</v>
      </c>
      <c r="W201" s="25"/>
    </row>
    <row r="202" spans="1:23" ht="19.95" customHeight="1">
      <c r="A202" s="361"/>
      <c r="B202" s="145">
        <v>14</v>
      </c>
      <c r="C202" s="126" t="str">
        <v>DANIEL BURDON</v>
      </c>
      <c r="D202" s="126" t="str">
        <v>Camberley &amp; District AC</v>
      </c>
      <c r="E202" s="126" t="str">
        <v>BOYS</v>
      </c>
      <c r="F202" s="126" t="str">
        <v>U12</v>
      </c>
      <c r="G202" s="125">
        <v>11.8</v>
      </c>
      <c r="H202" s="126">
        <v>85</v>
      </c>
      <c r="I202" s="126" t="str">
        <v>PB7</v>
      </c>
      <c r="J202" s="127">
        <v>1.4849537037037038E-3</v>
      </c>
      <c r="K202" s="126">
        <v>43</v>
      </c>
      <c r="L202" s="126" t="str">
        <v>PB3</v>
      </c>
      <c r="M202" s="128">
        <v>3.3</v>
      </c>
      <c r="N202" s="126">
        <v>71</v>
      </c>
      <c r="O202" s="126" t="str">
        <v>PB6</v>
      </c>
      <c r="P202" s="128">
        <v>17.190000000000001</v>
      </c>
      <c r="Q202" s="126">
        <v>35</v>
      </c>
      <c r="R202" s="126">
        <v>234</v>
      </c>
      <c r="S202" s="126" t="str">
        <v/>
      </c>
      <c r="T202" s="126">
        <v>5</v>
      </c>
      <c r="U202" s="126" t="str">
        <v/>
      </c>
      <c r="V202" s="139">
        <v>30</v>
      </c>
      <c r="W202" s="25"/>
    </row>
    <row r="203" spans="1:23" ht="19.95" customHeight="1">
      <c r="A203" s="361"/>
      <c r="B203" s="145">
        <v>15</v>
      </c>
      <c r="C203" s="126" t="str">
        <v>TOBI AKINLUYI</v>
      </c>
      <c r="D203" s="126" t="str">
        <v>Camberley &amp; District AC</v>
      </c>
      <c r="E203" s="126" t="str">
        <v>BOYS</v>
      </c>
      <c r="F203" s="126" t="str">
        <v>U12</v>
      </c>
      <c r="G203" s="125">
        <v>10.9</v>
      </c>
      <c r="H203" s="126">
        <v>107</v>
      </c>
      <c r="I203" s="126" t="str">
        <v>PB9</v>
      </c>
      <c r="J203" s="127">
        <v>1.7604166666666666E-3</v>
      </c>
      <c r="K203" s="126">
        <v>19</v>
      </c>
      <c r="L203" s="126" t="str">
        <v/>
      </c>
      <c r="M203" s="128">
        <v>3.07</v>
      </c>
      <c r="N203" s="126">
        <v>62</v>
      </c>
      <c r="O203" s="126" t="str">
        <v>PB5</v>
      </c>
      <c r="P203" s="128">
        <v>15.01</v>
      </c>
      <c r="Q203" s="126">
        <v>25</v>
      </c>
      <c r="R203" s="126">
        <v>213</v>
      </c>
      <c r="S203" s="126" t="str">
        <v/>
      </c>
      <c r="T203" s="126">
        <v>6</v>
      </c>
      <c r="U203" s="126" t="str">
        <v/>
      </c>
      <c r="V203" s="139">
        <v>35</v>
      </c>
      <c r="W203" s="25"/>
    </row>
    <row r="204" spans="1:23" ht="19.95" customHeight="1">
      <c r="A204" s="361"/>
      <c r="B204" s="145">
        <v>17</v>
      </c>
      <c r="C204" s="126" t="str">
        <v>FELIX POWERS</v>
      </c>
      <c r="D204" s="126" t="str">
        <v>Camberley &amp; District AC</v>
      </c>
      <c r="E204" s="126" t="str">
        <v>BOYS</v>
      </c>
      <c r="F204" s="126" t="str">
        <v>U12</v>
      </c>
      <c r="G204" s="125">
        <v>12.8</v>
      </c>
      <c r="H204" s="126">
        <v>64</v>
      </c>
      <c r="I204" s="126" t="str">
        <v>PB5</v>
      </c>
      <c r="J204" s="127">
        <v>1.6319444444444445E-3</v>
      </c>
      <c r="K204" s="126">
        <v>29</v>
      </c>
      <c r="L204" s="126" t="str">
        <v>PB1</v>
      </c>
      <c r="M204" s="128">
        <v>2.72</v>
      </c>
      <c r="N204" s="126">
        <v>48</v>
      </c>
      <c r="O204" s="126" t="str">
        <v>PB3</v>
      </c>
      <c r="P204" s="128">
        <v>22.11</v>
      </c>
      <c r="Q204" s="126">
        <v>60</v>
      </c>
      <c r="R204" s="126">
        <v>201</v>
      </c>
      <c r="S204" s="126" t="str">
        <v/>
      </c>
      <c r="T204" s="126">
        <v>7</v>
      </c>
      <c r="U204" s="126" t="str">
        <v/>
      </c>
      <c r="V204" s="139">
        <v>37</v>
      </c>
      <c r="W204" s="25"/>
    </row>
    <row r="205" spans="1:23" ht="19.95" customHeight="1">
      <c r="A205" s="361"/>
      <c r="B205" s="145">
        <v>18</v>
      </c>
      <c r="C205" s="126" t="str">
        <v>CADEN LUCAS</v>
      </c>
      <c r="D205" s="126" t="str">
        <v>Camberley &amp; District AC</v>
      </c>
      <c r="E205" s="126" t="str">
        <v>BOYS</v>
      </c>
      <c r="F205" s="126" t="str">
        <v>U12</v>
      </c>
      <c r="G205" s="125">
        <v>13.7</v>
      </c>
      <c r="H205" s="126">
        <v>46</v>
      </c>
      <c r="I205" s="126" t="str">
        <v>PB3</v>
      </c>
      <c r="J205" s="127">
        <v>1.8692129629629629E-3</v>
      </c>
      <c r="K205" s="126">
        <v>16</v>
      </c>
      <c r="L205" s="126" t="str">
        <v/>
      </c>
      <c r="M205" s="128">
        <v>2.72</v>
      </c>
      <c r="N205" s="126">
        <v>48</v>
      </c>
      <c r="O205" s="126" t="str">
        <v>PB3</v>
      </c>
      <c r="P205" s="128">
        <v>18.940000000000001</v>
      </c>
      <c r="Q205" s="126">
        <v>44</v>
      </c>
      <c r="R205" s="126">
        <v>154</v>
      </c>
      <c r="S205" s="126" t="str">
        <v/>
      </c>
      <c r="T205" s="126">
        <v>8</v>
      </c>
      <c r="U205" s="126" t="str">
        <v/>
      </c>
      <c r="V205" s="139">
        <v>45</v>
      </c>
      <c r="W205" s="25"/>
    </row>
    <row r="206" spans="1:23" ht="19.95" customHeight="1">
      <c r="A206" s="361"/>
      <c r="B206" s="145">
        <v>19</v>
      </c>
      <c r="C206" s="126" t="str">
        <v/>
      </c>
      <c r="D206" s="126" t="str">
        <v>Camberley &amp; District AC</v>
      </c>
      <c r="E206" s="126" t="str">
        <v>BOYS</v>
      </c>
      <c r="F206" s="126" t="str">
        <v>U12</v>
      </c>
      <c r="G206" s="125" t="str">
        <v/>
      </c>
      <c r="H206" s="126">
        <v>0</v>
      </c>
      <c r="I206" s="126" t="str">
        <v/>
      </c>
      <c r="J206" s="127">
        <v>0</v>
      </c>
      <c r="K206" s="126">
        <v>0</v>
      </c>
      <c r="L206" s="126" t="str">
        <v/>
      </c>
      <c r="M206" s="128" t="str">
        <v/>
      </c>
      <c r="N206" s="126">
        <v>0</v>
      </c>
      <c r="O206" s="126" t="str">
        <v/>
      </c>
      <c r="P206" s="128" t="str">
        <v/>
      </c>
      <c r="Q206" s="126">
        <v>0</v>
      </c>
      <c r="R206" s="126">
        <v>0</v>
      </c>
      <c r="S206" s="126" t="str">
        <v/>
      </c>
      <c r="T206" s="126" t="str">
        <v/>
      </c>
      <c r="U206" s="126" t="str">
        <v/>
      </c>
      <c r="V206" s="139" t="str">
        <v/>
      </c>
      <c r="W206" s="25"/>
    </row>
    <row r="207" spans="1:23" ht="19.95" customHeight="1">
      <c r="A207" s="361"/>
      <c r="B207" s="145">
        <v>20</v>
      </c>
      <c r="C207" s="126" t="str">
        <v/>
      </c>
      <c r="D207" s="126" t="str">
        <v>Camberley &amp; District AC</v>
      </c>
      <c r="E207" s="126" t="str">
        <v>BOYS</v>
      </c>
      <c r="F207" s="126" t="str">
        <v>U12</v>
      </c>
      <c r="G207" s="125" t="str">
        <v/>
      </c>
      <c r="H207" s="126">
        <v>0</v>
      </c>
      <c r="I207" s="126" t="str">
        <v/>
      </c>
      <c r="J207" s="127">
        <v>0</v>
      </c>
      <c r="K207" s="126">
        <v>0</v>
      </c>
      <c r="L207" s="126" t="str">
        <v/>
      </c>
      <c r="M207" s="128" t="str">
        <v/>
      </c>
      <c r="N207" s="126">
        <v>0</v>
      </c>
      <c r="O207" s="126" t="str">
        <v/>
      </c>
      <c r="P207" s="128" t="str">
        <v/>
      </c>
      <c r="Q207" s="126">
        <v>0</v>
      </c>
      <c r="R207" s="126">
        <v>0</v>
      </c>
      <c r="S207" s="126" t="str">
        <v/>
      </c>
      <c r="T207" s="126" t="str">
        <v/>
      </c>
      <c r="U207" s="126" t="str">
        <v/>
      </c>
      <c r="V207" s="139" t="str">
        <v/>
      </c>
      <c r="W207" s="25"/>
    </row>
    <row r="208" spans="1:23" ht="19.95" customHeight="1">
      <c r="A208" s="361"/>
      <c r="B208" s="145"/>
      <c r="C208" s="126"/>
      <c r="D208" s="126"/>
      <c r="E208" s="126"/>
      <c r="F208" s="126"/>
      <c r="G208" s="125"/>
      <c r="H208" s="126"/>
      <c r="I208" s="126"/>
      <c r="J208" s="127"/>
      <c r="K208" s="126"/>
      <c r="L208" s="126"/>
      <c r="M208" s="128"/>
      <c r="N208" s="126"/>
      <c r="O208" s="126"/>
      <c r="P208" s="128"/>
      <c r="Q208" s="126"/>
      <c r="R208" s="126"/>
      <c r="S208" s="126"/>
      <c r="T208" s="126"/>
      <c r="U208" s="126"/>
      <c r="V208" s="139"/>
      <c r="W208" s="25"/>
    </row>
    <row r="209" spans="1:23" ht="19.95" customHeight="1">
      <c r="A209" s="361"/>
      <c r="B209" s="145"/>
      <c r="C209" s="126"/>
      <c r="D209" s="126"/>
      <c r="E209" s="126"/>
      <c r="F209" s="126"/>
      <c r="G209" s="125"/>
      <c r="H209" s="126"/>
      <c r="I209" s="126"/>
      <c r="J209" s="127"/>
      <c r="K209" s="126"/>
      <c r="L209" s="126"/>
      <c r="M209" s="128"/>
      <c r="N209" s="126"/>
      <c r="O209" s="126"/>
      <c r="P209" s="128"/>
      <c r="Q209" s="126"/>
      <c r="R209" s="126"/>
      <c r="S209" s="126"/>
      <c r="T209" s="126"/>
      <c r="U209" s="126"/>
      <c r="V209" s="139"/>
      <c r="W209" s="25"/>
    </row>
    <row r="210" spans="1:23" ht="19.95" customHeight="1">
      <c r="A210" s="361"/>
      <c r="B210" s="145"/>
      <c r="C210" s="126"/>
      <c r="D210" s="126"/>
      <c r="E210" s="126"/>
      <c r="F210" s="126"/>
      <c r="G210" s="125"/>
      <c r="H210" s="126"/>
      <c r="I210" s="126"/>
      <c r="J210" s="127"/>
      <c r="K210" s="126"/>
      <c r="L210" s="126"/>
      <c r="M210" s="128"/>
      <c r="N210" s="126"/>
      <c r="O210" s="126"/>
      <c r="P210" s="128"/>
      <c r="Q210" s="126"/>
      <c r="R210" s="126"/>
      <c r="S210" s="126"/>
      <c r="T210" s="126"/>
      <c r="U210" s="126"/>
      <c r="V210" s="139"/>
      <c r="W210" s="25"/>
    </row>
    <row r="211" spans="1:23" ht="19.95" customHeight="1">
      <c r="A211" s="361"/>
      <c r="B211" s="145"/>
      <c r="C211" s="126"/>
      <c r="D211" s="126"/>
      <c r="E211" s="126"/>
      <c r="F211" s="126"/>
      <c r="G211" s="125"/>
      <c r="H211" s="126"/>
      <c r="I211" s="126"/>
      <c r="J211" s="127"/>
      <c r="K211" s="126"/>
      <c r="L211" s="126"/>
      <c r="M211" s="128"/>
      <c r="N211" s="126"/>
      <c r="O211" s="126"/>
      <c r="P211" s="128"/>
      <c r="Q211" s="126"/>
      <c r="R211" s="126"/>
      <c r="S211" s="126"/>
      <c r="T211" s="126"/>
      <c r="U211" s="126"/>
      <c r="V211" s="139"/>
      <c r="W211" s="25"/>
    </row>
    <row r="212" spans="1:23" ht="19.95" customHeight="1">
      <c r="A212" s="361"/>
      <c r="B212" s="145"/>
      <c r="C212" s="126"/>
      <c r="D212" s="126"/>
      <c r="E212" s="126"/>
      <c r="F212" s="126"/>
      <c r="G212" s="125"/>
      <c r="H212" s="126"/>
      <c r="I212" s="126"/>
      <c r="J212" s="127"/>
      <c r="K212" s="126"/>
      <c r="L212" s="126"/>
      <c r="M212" s="128"/>
      <c r="N212" s="126"/>
      <c r="O212" s="126"/>
      <c r="P212" s="128"/>
      <c r="Q212" s="126"/>
      <c r="R212" s="126"/>
      <c r="S212" s="126"/>
      <c r="T212" s="126"/>
      <c r="U212" s="126"/>
      <c r="V212" s="139"/>
      <c r="W212" s="25"/>
    </row>
    <row r="213" spans="1:23" ht="19.95" customHeight="1">
      <c r="A213" s="361"/>
      <c r="B213" s="145"/>
      <c r="C213" s="126"/>
      <c r="D213" s="126"/>
      <c r="E213" s="126"/>
      <c r="F213" s="126"/>
      <c r="G213" s="125"/>
      <c r="H213" s="126"/>
      <c r="I213" s="126"/>
      <c r="J213" s="127"/>
      <c r="K213" s="126"/>
      <c r="L213" s="126"/>
      <c r="M213" s="128"/>
      <c r="N213" s="126"/>
      <c r="O213" s="126"/>
      <c r="P213" s="128"/>
      <c r="Q213" s="126"/>
      <c r="R213" s="126"/>
      <c r="S213" s="126"/>
      <c r="T213" s="126"/>
      <c r="U213" s="126"/>
      <c r="V213" s="139"/>
      <c r="W213" s="25"/>
    </row>
    <row r="214" spans="1:23" ht="19.95" customHeight="1">
      <c r="A214" s="361"/>
      <c r="B214" s="145"/>
      <c r="C214" s="126"/>
      <c r="D214" s="126"/>
      <c r="E214" s="126"/>
      <c r="F214" s="126"/>
      <c r="G214" s="125"/>
      <c r="H214" s="126"/>
      <c r="I214" s="126"/>
      <c r="J214" s="127"/>
      <c r="K214" s="126"/>
      <c r="L214" s="126"/>
      <c r="M214" s="128"/>
      <c r="N214" s="126"/>
      <c r="O214" s="126"/>
      <c r="P214" s="128"/>
      <c r="Q214" s="126"/>
      <c r="R214" s="126"/>
      <c r="S214" s="126"/>
      <c r="T214" s="126"/>
      <c r="U214" s="126"/>
      <c r="V214" s="139"/>
      <c r="W214" s="25"/>
    </row>
    <row r="215" spans="1:23" ht="19.95" customHeight="1">
      <c r="A215" s="361"/>
      <c r="B215" s="145"/>
      <c r="C215" s="126"/>
      <c r="D215" s="126"/>
      <c r="E215" s="126"/>
      <c r="F215" s="126"/>
      <c r="G215" s="125"/>
      <c r="H215" s="126"/>
      <c r="I215" s="126"/>
      <c r="J215" s="127"/>
      <c r="K215" s="126"/>
      <c r="L215" s="126"/>
      <c r="M215" s="128"/>
      <c r="N215" s="126"/>
      <c r="O215" s="126"/>
      <c r="P215" s="128"/>
      <c r="Q215" s="126"/>
      <c r="R215" s="126"/>
      <c r="S215" s="126"/>
      <c r="T215" s="126"/>
      <c r="U215" s="126"/>
      <c r="V215" s="139"/>
      <c r="W215" s="25"/>
    </row>
    <row r="216" spans="1:23" ht="19.95" customHeight="1">
      <c r="A216" s="361"/>
      <c r="B216" s="145"/>
      <c r="C216" s="126"/>
      <c r="D216" s="126"/>
      <c r="E216" s="126"/>
      <c r="F216" s="126"/>
      <c r="G216" s="125"/>
      <c r="H216" s="126"/>
      <c r="I216" s="126"/>
      <c r="J216" s="127"/>
      <c r="K216" s="126"/>
      <c r="L216" s="126"/>
      <c r="M216" s="128"/>
      <c r="N216" s="126"/>
      <c r="O216" s="126"/>
      <c r="P216" s="128"/>
      <c r="Q216" s="126"/>
      <c r="R216" s="126"/>
      <c r="S216" s="126"/>
      <c r="T216" s="126"/>
      <c r="U216" s="126"/>
      <c r="V216" s="139"/>
      <c r="W216" s="25"/>
    </row>
    <row r="217" spans="1:23" ht="19.95" customHeight="1" thickBot="1">
      <c r="A217" s="362"/>
      <c r="B217" s="146"/>
      <c r="C217" s="140"/>
      <c r="D217" s="140"/>
      <c r="E217" s="140"/>
      <c r="F217" s="140"/>
      <c r="G217" s="141"/>
      <c r="H217" s="140"/>
      <c r="I217" s="140"/>
      <c r="J217" s="142"/>
      <c r="K217" s="140"/>
      <c r="L217" s="140"/>
      <c r="M217" s="143"/>
      <c r="N217" s="140"/>
      <c r="O217" s="140"/>
      <c r="P217" s="143"/>
      <c r="Q217" s="140"/>
      <c r="R217" s="140"/>
      <c r="S217" s="140"/>
      <c r="T217" s="140"/>
      <c r="U217" s="140"/>
      <c r="V217" s="144"/>
      <c r="W217" s="25"/>
    </row>
    <row r="218" spans="1:23" ht="19.95" customHeight="1">
      <c r="A218" s="360" t="str">
        <f>'Read Me First'!C12</f>
        <v>Woking AC</v>
      </c>
      <c r="B218" s="133" cm="1">
        <f t="array" ref="B218:V227">_xlfn.LET(_xlpm.x, _xlfn._xlws.SORT(_xlfn._xlws.FILTER(Data!$A$249:$U$536,(Data!$C$249:$C$536=$A218)*(Data!$D$249:$D$536=$E$196)*(Data!$E$249:$E$536="U10")),18),_xlpm.y,_xlfn._xlws.SORT(_xlfn._xlws.FILTER(Data!$A$249:$U$536,(Data!$C$249:$C$536=$A218)*(Data!$D$249:$D$536=$E$196)*(Data!$E$249:$E$536="U12")),19), IFERROR(_xlfn.VSTACK(_xlpm.x,_xlpm.y), IFERROR(_xlpm.y,IFERROR(_xlpm.x, ""))))</f>
        <v>33</v>
      </c>
      <c r="C218" s="134" t="str">
        <v>WILLIAM PEARCE</v>
      </c>
      <c r="D218" s="134" t="str">
        <v>Woking AC</v>
      </c>
      <c r="E218" s="134" t="str">
        <v>BOYS</v>
      </c>
      <c r="F218" s="134" t="str">
        <v>U12</v>
      </c>
      <c r="G218" s="135">
        <v>11.2</v>
      </c>
      <c r="H218" s="134">
        <v>100</v>
      </c>
      <c r="I218" s="134" t="str">
        <v>PB9</v>
      </c>
      <c r="J218" s="136">
        <v>1.2893518518518519E-3</v>
      </c>
      <c r="K218" s="134">
        <v>82</v>
      </c>
      <c r="L218" s="134" t="str">
        <v>PB7</v>
      </c>
      <c r="M218" s="137">
        <v>3.79</v>
      </c>
      <c r="N218" s="134">
        <v>91</v>
      </c>
      <c r="O218" s="134" t="str">
        <v>PB8</v>
      </c>
      <c r="P218" s="137">
        <v>45.44</v>
      </c>
      <c r="Q218" s="134">
        <v>142</v>
      </c>
      <c r="R218" s="134">
        <v>415</v>
      </c>
      <c r="S218" s="134" t="str">
        <v/>
      </c>
      <c r="T218" s="134">
        <v>1</v>
      </c>
      <c r="U218" s="134" t="str">
        <v/>
      </c>
      <c r="V218" s="138">
        <v>1</v>
      </c>
      <c r="W218" s="25"/>
    </row>
    <row r="219" spans="1:23" ht="19.95" customHeight="1">
      <c r="A219" s="361"/>
      <c r="B219" s="145">
        <v>36</v>
      </c>
      <c r="C219" s="126" t="str">
        <v>KAI TEGG</v>
      </c>
      <c r="D219" s="126" t="str">
        <v>Woking AC</v>
      </c>
      <c r="E219" s="126" t="str">
        <v>BOYS</v>
      </c>
      <c r="F219" s="126" t="str">
        <v>U12</v>
      </c>
      <c r="G219" s="125">
        <v>11.6</v>
      </c>
      <c r="H219" s="126">
        <v>90</v>
      </c>
      <c r="I219" s="126" t="str">
        <v>PB8</v>
      </c>
      <c r="J219" s="127">
        <v>1.2824074074074075E-3</v>
      </c>
      <c r="K219" s="126">
        <v>84</v>
      </c>
      <c r="L219" s="126" t="str">
        <v>PB7</v>
      </c>
      <c r="M219" s="128">
        <v>3.75</v>
      </c>
      <c r="N219" s="126">
        <v>90</v>
      </c>
      <c r="O219" s="126" t="str">
        <v>PB8</v>
      </c>
      <c r="P219" s="128">
        <v>31.26</v>
      </c>
      <c r="Q219" s="126">
        <v>106</v>
      </c>
      <c r="R219" s="126">
        <v>370</v>
      </c>
      <c r="S219" s="126" t="str">
        <v/>
      </c>
      <c r="T219" s="126">
        <v>2</v>
      </c>
      <c r="U219" s="126" t="str">
        <v/>
      </c>
      <c r="V219" s="139">
        <v>4</v>
      </c>
      <c r="W219" s="25"/>
    </row>
    <row r="220" spans="1:23" ht="19.95" customHeight="1">
      <c r="A220" s="361"/>
      <c r="B220" s="145">
        <v>40</v>
      </c>
      <c r="C220" s="126" t="str">
        <v>OWEN BRAYBOOKE</v>
      </c>
      <c r="D220" s="126" t="str">
        <v>Woking AC</v>
      </c>
      <c r="E220" s="126" t="str">
        <v>BOYS</v>
      </c>
      <c r="F220" s="126" t="str">
        <v>U12</v>
      </c>
      <c r="G220" s="125">
        <v>11.1</v>
      </c>
      <c r="H220" s="126">
        <v>102</v>
      </c>
      <c r="I220" s="126" t="str">
        <v>PB9</v>
      </c>
      <c r="J220" s="127">
        <v>1.6226851851851851E-3</v>
      </c>
      <c r="K220" s="126">
        <v>29</v>
      </c>
      <c r="L220" s="126" t="str">
        <v>PB1</v>
      </c>
      <c r="M220" s="128">
        <v>4.07</v>
      </c>
      <c r="N220" s="126">
        <v>102</v>
      </c>
      <c r="O220" s="126" t="str">
        <v>PB9</v>
      </c>
      <c r="P220" s="128">
        <v>38.74</v>
      </c>
      <c r="Q220" s="126">
        <v>129</v>
      </c>
      <c r="R220" s="126">
        <v>362</v>
      </c>
      <c r="S220" s="126" t="str">
        <v/>
      </c>
      <c r="T220" s="126">
        <v>3</v>
      </c>
      <c r="U220" s="126" t="str">
        <v/>
      </c>
      <c r="V220" s="139">
        <v>5</v>
      </c>
      <c r="W220" s="25"/>
    </row>
    <row r="221" spans="1:23" ht="19.95" customHeight="1">
      <c r="A221" s="361"/>
      <c r="B221" s="145">
        <v>34</v>
      </c>
      <c r="C221" s="126" t="str">
        <v>LOUIS MASON</v>
      </c>
      <c r="D221" s="126" t="str">
        <v>Woking AC</v>
      </c>
      <c r="E221" s="126" t="str">
        <v>BOYS</v>
      </c>
      <c r="F221" s="126" t="str">
        <v>U12</v>
      </c>
      <c r="G221" s="125">
        <v>11.6</v>
      </c>
      <c r="H221" s="126">
        <v>90</v>
      </c>
      <c r="I221" s="126" t="str">
        <v>PB8</v>
      </c>
      <c r="J221" s="127">
        <v>1.3888888888888889E-3</v>
      </c>
      <c r="K221" s="126">
        <v>60</v>
      </c>
      <c r="L221" s="126" t="str">
        <v>PB5</v>
      </c>
      <c r="M221" s="128">
        <v>3.3</v>
      </c>
      <c r="N221" s="126">
        <v>71</v>
      </c>
      <c r="O221" s="126" t="str">
        <v>PB6</v>
      </c>
      <c r="P221" s="128">
        <v>32.17</v>
      </c>
      <c r="Q221" s="126">
        <v>110</v>
      </c>
      <c r="R221" s="126">
        <v>331</v>
      </c>
      <c r="S221" s="126" t="str">
        <v/>
      </c>
      <c r="T221" s="126">
        <v>4</v>
      </c>
      <c r="U221" s="126" t="str">
        <v/>
      </c>
      <c r="V221" s="139">
        <v>8</v>
      </c>
      <c r="W221" s="19"/>
    </row>
    <row r="222" spans="1:23" ht="19.95" customHeight="1">
      <c r="A222" s="361"/>
      <c r="B222" s="145">
        <v>39</v>
      </c>
      <c r="C222" s="126" t="str">
        <v>FREDDIE SMITH</v>
      </c>
      <c r="D222" s="126" t="str">
        <v>Woking AC</v>
      </c>
      <c r="E222" s="126" t="str">
        <v>BOYS</v>
      </c>
      <c r="F222" s="126" t="str">
        <v>U12</v>
      </c>
      <c r="G222" s="125">
        <v>11.8</v>
      </c>
      <c r="H222" s="126">
        <v>85</v>
      </c>
      <c r="I222" s="126" t="str">
        <v>PB7</v>
      </c>
      <c r="J222" s="127">
        <v>1.7083333333333332E-3</v>
      </c>
      <c r="K222" s="126">
        <v>22</v>
      </c>
      <c r="L222" s="126" t="str">
        <v>PB1</v>
      </c>
      <c r="M222" s="128">
        <v>3.67</v>
      </c>
      <c r="N222" s="126">
        <v>86</v>
      </c>
      <c r="O222" s="126" t="str">
        <v>PB7</v>
      </c>
      <c r="P222" s="128">
        <v>32.340000000000003</v>
      </c>
      <c r="Q222" s="126">
        <v>111</v>
      </c>
      <c r="R222" s="126">
        <v>304</v>
      </c>
      <c r="S222" s="126" t="str">
        <v/>
      </c>
      <c r="T222" s="126">
        <v>5</v>
      </c>
      <c r="U222" s="126" t="str">
        <v/>
      </c>
      <c r="V222" s="139">
        <v>14</v>
      </c>
      <c r="W222" s="19"/>
    </row>
    <row r="223" spans="1:23" ht="19.95" customHeight="1">
      <c r="A223" s="361"/>
      <c r="B223" s="145">
        <v>35</v>
      </c>
      <c r="C223" s="126" t="str">
        <v>MATTHIAS DE PAULA DENS</v>
      </c>
      <c r="D223" s="126" t="str">
        <v>Woking AC</v>
      </c>
      <c r="E223" s="126" t="str">
        <v>BOYS</v>
      </c>
      <c r="F223" s="126" t="str">
        <v>U12</v>
      </c>
      <c r="G223" s="125">
        <v>11</v>
      </c>
      <c r="H223" s="126">
        <v>105</v>
      </c>
      <c r="I223" s="126" t="str">
        <v>PB9</v>
      </c>
      <c r="J223" s="127">
        <v>1.4409722222222222E-3</v>
      </c>
      <c r="K223" s="126">
        <v>51</v>
      </c>
      <c r="L223" s="126" t="str">
        <v>PB4</v>
      </c>
      <c r="M223" s="128">
        <v>3.08</v>
      </c>
      <c r="N223" s="126">
        <v>62</v>
      </c>
      <c r="O223" s="126" t="str">
        <v>PB5</v>
      </c>
      <c r="P223" s="128">
        <v>24.79</v>
      </c>
      <c r="Q223" s="126">
        <v>73</v>
      </c>
      <c r="R223" s="126">
        <v>291</v>
      </c>
      <c r="S223" s="126" t="str">
        <v/>
      </c>
      <c r="T223" s="126">
        <v>6</v>
      </c>
      <c r="U223" s="126" t="str">
        <v/>
      </c>
      <c r="V223" s="139">
        <v>16</v>
      </c>
      <c r="W223" s="19"/>
    </row>
    <row r="224" spans="1:23" ht="19.95" customHeight="1">
      <c r="A224" s="361"/>
      <c r="B224" s="145">
        <v>31</v>
      </c>
      <c r="C224" s="126" t="str">
        <v>OLI THOMPSON</v>
      </c>
      <c r="D224" s="126" t="str">
        <v>Woking AC</v>
      </c>
      <c r="E224" s="126" t="str">
        <v>BOYS</v>
      </c>
      <c r="F224" s="126" t="str">
        <v>U12</v>
      </c>
      <c r="G224" s="125">
        <v>12.8</v>
      </c>
      <c r="H224" s="126">
        <v>64</v>
      </c>
      <c r="I224" s="126" t="str">
        <v>PB5</v>
      </c>
      <c r="J224" s="127">
        <v>1.4074074074074073E-3</v>
      </c>
      <c r="K224" s="126">
        <v>56</v>
      </c>
      <c r="L224" s="126" t="str">
        <v>PB4</v>
      </c>
      <c r="M224" s="128">
        <v>3.06</v>
      </c>
      <c r="N224" s="126">
        <v>62</v>
      </c>
      <c r="O224" s="126" t="str">
        <v>PB5</v>
      </c>
      <c r="P224" s="128">
        <v>30.85</v>
      </c>
      <c r="Q224" s="126">
        <v>104</v>
      </c>
      <c r="R224" s="126">
        <v>286</v>
      </c>
      <c r="S224" s="126" t="str">
        <v/>
      </c>
      <c r="T224" s="126">
        <v>7</v>
      </c>
      <c r="U224" s="126" t="str">
        <v/>
      </c>
      <c r="V224" s="139">
        <v>17</v>
      </c>
      <c r="W224" s="19"/>
    </row>
    <row r="225" spans="1:23" ht="19.95" customHeight="1">
      <c r="A225" s="361"/>
      <c r="B225" s="145">
        <v>38</v>
      </c>
      <c r="C225" s="126" t="str">
        <v>MATTHEW LEWIS</v>
      </c>
      <c r="D225" s="126" t="str">
        <v>Woking AC</v>
      </c>
      <c r="E225" s="126" t="str">
        <v>BOYS</v>
      </c>
      <c r="F225" s="126" t="str">
        <v>U12</v>
      </c>
      <c r="G225" s="125">
        <v>12.9</v>
      </c>
      <c r="H225" s="126">
        <v>62</v>
      </c>
      <c r="I225" s="126" t="str">
        <v>PB5</v>
      </c>
      <c r="J225" s="127">
        <v>1.4826388888888888E-3</v>
      </c>
      <c r="K225" s="126">
        <v>43</v>
      </c>
      <c r="L225" s="126" t="str">
        <v>PB3</v>
      </c>
      <c r="M225" s="128">
        <v>3.07</v>
      </c>
      <c r="N225" s="126">
        <v>62</v>
      </c>
      <c r="O225" s="126" t="str">
        <v>PB5</v>
      </c>
      <c r="P225" s="128">
        <v>31.88</v>
      </c>
      <c r="Q225" s="126">
        <v>109</v>
      </c>
      <c r="R225" s="126">
        <v>276</v>
      </c>
      <c r="S225" s="126" t="str">
        <v/>
      </c>
      <c r="T225" s="126">
        <v>8</v>
      </c>
      <c r="U225" s="126" t="str">
        <v/>
      </c>
      <c r="V225" s="139">
        <v>20</v>
      </c>
      <c r="W225" s="19"/>
    </row>
    <row r="226" spans="1:23" ht="19.95" customHeight="1">
      <c r="A226" s="361"/>
      <c r="B226" s="145">
        <v>32</v>
      </c>
      <c r="C226" s="126" t="str">
        <v>ISAAC HUTCHISON</v>
      </c>
      <c r="D226" s="126" t="str">
        <v>Woking AC</v>
      </c>
      <c r="E226" s="126" t="str">
        <v>BOYS</v>
      </c>
      <c r="F226" s="126" t="str">
        <v>U12</v>
      </c>
      <c r="G226" s="125">
        <v>11.8</v>
      </c>
      <c r="H226" s="126">
        <v>85</v>
      </c>
      <c r="I226" s="126" t="str">
        <v>PB7</v>
      </c>
      <c r="J226" s="127">
        <v>1.5312500000000001E-3</v>
      </c>
      <c r="K226" s="126">
        <v>37</v>
      </c>
      <c r="L226" s="126" t="str">
        <v>PB2</v>
      </c>
      <c r="M226" s="128">
        <v>3.01</v>
      </c>
      <c r="N226" s="126">
        <v>60</v>
      </c>
      <c r="O226" s="126" t="str">
        <v>PB5</v>
      </c>
      <c r="P226" s="128">
        <v>22.53</v>
      </c>
      <c r="Q226" s="126">
        <v>62</v>
      </c>
      <c r="R226" s="126">
        <v>244</v>
      </c>
      <c r="S226" s="126" t="str">
        <v/>
      </c>
      <c r="T226" s="126">
        <v>9</v>
      </c>
      <c r="U226" s="126" t="str">
        <v/>
      </c>
      <c r="V226" s="139">
        <v>26</v>
      </c>
      <c r="W226" s="25"/>
    </row>
    <row r="227" spans="1:23" ht="19.95" customHeight="1">
      <c r="A227" s="361"/>
      <c r="B227" s="145">
        <v>37</v>
      </c>
      <c r="C227" s="126" t="str">
        <v>ADAM PRICE</v>
      </c>
      <c r="D227" s="126" t="str">
        <v>Woking AC</v>
      </c>
      <c r="E227" s="126" t="str">
        <v>BOYS</v>
      </c>
      <c r="F227" s="126" t="str">
        <v>U12</v>
      </c>
      <c r="G227" s="125">
        <v>12.2</v>
      </c>
      <c r="H227" s="126">
        <v>76</v>
      </c>
      <c r="I227" s="126" t="str">
        <v>PB6</v>
      </c>
      <c r="J227" s="127">
        <v>1.5578703703703703E-3</v>
      </c>
      <c r="K227" s="126">
        <v>35</v>
      </c>
      <c r="L227" s="126" t="str">
        <v>PB2</v>
      </c>
      <c r="M227" s="128">
        <v>1.52</v>
      </c>
      <c r="N227" s="126">
        <v>6</v>
      </c>
      <c r="O227" s="126" t="str">
        <v/>
      </c>
      <c r="P227" s="128">
        <v>23.06</v>
      </c>
      <c r="Q227" s="126">
        <v>65</v>
      </c>
      <c r="R227" s="126">
        <v>182</v>
      </c>
      <c r="S227" s="126" t="str">
        <v/>
      </c>
      <c r="T227" s="126">
        <v>10</v>
      </c>
      <c r="U227" s="126" t="str">
        <v/>
      </c>
      <c r="V227" s="139">
        <v>38</v>
      </c>
      <c r="W227" s="25"/>
    </row>
    <row r="228" spans="1:23" ht="19.95" customHeight="1">
      <c r="A228" s="361"/>
      <c r="B228" s="145"/>
      <c r="C228" s="126"/>
      <c r="D228" s="126"/>
      <c r="E228" s="126"/>
      <c r="F228" s="126"/>
      <c r="G228" s="125"/>
      <c r="H228" s="126"/>
      <c r="I228" s="126"/>
      <c r="J228" s="127"/>
      <c r="K228" s="126"/>
      <c r="L228" s="126"/>
      <c r="M228" s="128"/>
      <c r="N228" s="126"/>
      <c r="O228" s="126"/>
      <c r="P228" s="128"/>
      <c r="Q228" s="126"/>
      <c r="R228" s="126"/>
      <c r="S228" s="126"/>
      <c r="T228" s="126"/>
      <c r="U228" s="126"/>
      <c r="V228" s="139"/>
      <c r="W228" s="25"/>
    </row>
    <row r="229" spans="1:23" ht="19.95" customHeight="1">
      <c r="A229" s="361"/>
      <c r="B229" s="145"/>
      <c r="C229" s="126"/>
      <c r="D229" s="126"/>
      <c r="E229" s="126"/>
      <c r="F229" s="126"/>
      <c r="G229" s="125"/>
      <c r="H229" s="126"/>
      <c r="I229" s="126"/>
      <c r="J229" s="127"/>
      <c r="K229" s="126"/>
      <c r="L229" s="126"/>
      <c r="M229" s="128"/>
      <c r="N229" s="126"/>
      <c r="O229" s="126"/>
      <c r="P229" s="128"/>
      <c r="Q229" s="126"/>
      <c r="R229" s="126"/>
      <c r="S229" s="126"/>
      <c r="T229" s="126"/>
      <c r="U229" s="126"/>
      <c r="V229" s="139"/>
      <c r="W229" s="25"/>
    </row>
    <row r="230" spans="1:23" ht="19.95" customHeight="1">
      <c r="A230" s="361"/>
      <c r="B230" s="145"/>
      <c r="C230" s="126"/>
      <c r="D230" s="126"/>
      <c r="E230" s="126"/>
      <c r="F230" s="126"/>
      <c r="G230" s="125"/>
      <c r="H230" s="126"/>
      <c r="I230" s="126"/>
      <c r="J230" s="127"/>
      <c r="K230" s="126"/>
      <c r="L230" s="126"/>
      <c r="M230" s="128"/>
      <c r="N230" s="126"/>
      <c r="O230" s="126"/>
      <c r="P230" s="128"/>
      <c r="Q230" s="126"/>
      <c r="R230" s="126"/>
      <c r="S230" s="126"/>
      <c r="T230" s="126"/>
      <c r="U230" s="126"/>
      <c r="V230" s="139"/>
      <c r="W230" s="25"/>
    </row>
    <row r="231" spans="1:23" ht="19.95" customHeight="1">
      <c r="A231" s="361"/>
      <c r="B231" s="145"/>
      <c r="C231" s="126"/>
      <c r="D231" s="126"/>
      <c r="E231" s="126"/>
      <c r="F231" s="126"/>
      <c r="G231" s="125"/>
      <c r="H231" s="126"/>
      <c r="I231" s="126"/>
      <c r="J231" s="127"/>
      <c r="K231" s="126"/>
      <c r="L231" s="126"/>
      <c r="M231" s="128"/>
      <c r="N231" s="126"/>
      <c r="O231" s="126"/>
      <c r="P231" s="128"/>
      <c r="Q231" s="126"/>
      <c r="R231" s="126"/>
      <c r="S231" s="126"/>
      <c r="T231" s="126"/>
      <c r="U231" s="126"/>
      <c r="V231" s="139"/>
      <c r="W231" s="25"/>
    </row>
    <row r="232" spans="1:23" ht="19.95" customHeight="1">
      <c r="A232" s="361"/>
      <c r="B232" s="145"/>
      <c r="C232" s="126"/>
      <c r="D232" s="126"/>
      <c r="E232" s="126"/>
      <c r="F232" s="126"/>
      <c r="G232" s="125"/>
      <c r="H232" s="126"/>
      <c r="I232" s="126"/>
      <c r="J232" s="127"/>
      <c r="K232" s="126"/>
      <c r="L232" s="126"/>
      <c r="M232" s="128"/>
      <c r="N232" s="126"/>
      <c r="O232" s="126"/>
      <c r="P232" s="128"/>
      <c r="Q232" s="126"/>
      <c r="R232" s="126"/>
      <c r="S232" s="126"/>
      <c r="T232" s="126"/>
      <c r="U232" s="126"/>
      <c r="V232" s="139"/>
      <c r="W232" s="25"/>
    </row>
    <row r="233" spans="1:23" ht="19.95" customHeight="1">
      <c r="A233" s="361"/>
      <c r="B233" s="145"/>
      <c r="C233" s="126"/>
      <c r="D233" s="126"/>
      <c r="E233" s="126"/>
      <c r="F233" s="126"/>
      <c r="G233" s="125"/>
      <c r="H233" s="126"/>
      <c r="I233" s="126"/>
      <c r="J233" s="127"/>
      <c r="K233" s="126"/>
      <c r="L233" s="126"/>
      <c r="M233" s="128"/>
      <c r="N233" s="126"/>
      <c r="O233" s="126"/>
      <c r="P233" s="128"/>
      <c r="Q233" s="126"/>
      <c r="R233" s="126"/>
      <c r="S233" s="126"/>
      <c r="T233" s="126"/>
      <c r="U233" s="126"/>
      <c r="V233" s="139"/>
      <c r="W233" s="25"/>
    </row>
    <row r="234" spans="1:23" ht="19.95" customHeight="1">
      <c r="A234" s="361"/>
      <c r="B234" s="145"/>
      <c r="C234" s="126"/>
      <c r="D234" s="126"/>
      <c r="E234" s="126"/>
      <c r="F234" s="126"/>
      <c r="G234" s="125"/>
      <c r="H234" s="126"/>
      <c r="I234" s="126"/>
      <c r="J234" s="127"/>
      <c r="K234" s="126"/>
      <c r="L234" s="126"/>
      <c r="M234" s="128"/>
      <c r="N234" s="126"/>
      <c r="O234" s="126"/>
      <c r="P234" s="128"/>
      <c r="Q234" s="126"/>
      <c r="R234" s="126"/>
      <c r="S234" s="126"/>
      <c r="T234" s="126"/>
      <c r="U234" s="126"/>
      <c r="V234" s="139"/>
      <c r="W234" s="25"/>
    </row>
    <row r="235" spans="1:23" ht="19.95" customHeight="1">
      <c r="A235" s="361"/>
      <c r="B235" s="145"/>
      <c r="C235" s="126"/>
      <c r="D235" s="126"/>
      <c r="E235" s="126"/>
      <c r="F235" s="126"/>
      <c r="G235" s="125"/>
      <c r="H235" s="126"/>
      <c r="I235" s="126"/>
      <c r="J235" s="127"/>
      <c r="K235" s="126"/>
      <c r="L235" s="126"/>
      <c r="M235" s="128"/>
      <c r="N235" s="126"/>
      <c r="O235" s="126"/>
      <c r="P235" s="128"/>
      <c r="Q235" s="126"/>
      <c r="R235" s="126"/>
      <c r="S235" s="126"/>
      <c r="T235" s="126"/>
      <c r="U235" s="126"/>
      <c r="V235" s="139"/>
      <c r="W235" s="25"/>
    </row>
    <row r="236" spans="1:23" ht="19.95" customHeight="1">
      <c r="A236" s="361"/>
      <c r="B236" s="145"/>
      <c r="C236" s="126"/>
      <c r="D236" s="126"/>
      <c r="E236" s="126"/>
      <c r="F236" s="126"/>
      <c r="G236" s="125"/>
      <c r="H236" s="126"/>
      <c r="I236" s="126"/>
      <c r="J236" s="127"/>
      <c r="K236" s="126"/>
      <c r="L236" s="126"/>
      <c r="M236" s="128"/>
      <c r="N236" s="126"/>
      <c r="O236" s="126"/>
      <c r="P236" s="128"/>
      <c r="Q236" s="126"/>
      <c r="R236" s="126"/>
      <c r="S236" s="126"/>
      <c r="T236" s="126"/>
      <c r="U236" s="126"/>
      <c r="V236" s="139"/>
      <c r="W236" s="25"/>
    </row>
    <row r="237" spans="1:23" ht="19.95" customHeight="1" thickBot="1">
      <c r="A237" s="362"/>
      <c r="B237" s="146"/>
      <c r="C237" s="140"/>
      <c r="D237" s="140"/>
      <c r="E237" s="140"/>
      <c r="F237" s="140"/>
      <c r="G237" s="141"/>
      <c r="H237" s="140"/>
      <c r="I237" s="140"/>
      <c r="J237" s="142"/>
      <c r="K237" s="140"/>
      <c r="L237" s="140"/>
      <c r="M237" s="143"/>
      <c r="N237" s="140"/>
      <c r="O237" s="140"/>
      <c r="P237" s="143"/>
      <c r="Q237" s="140"/>
      <c r="R237" s="140"/>
      <c r="S237" s="140"/>
      <c r="T237" s="140"/>
      <c r="U237" s="140"/>
      <c r="V237" s="144"/>
      <c r="W237" s="25"/>
    </row>
    <row r="238" spans="1:23" ht="19.95" customHeight="1">
      <c r="A238" s="360" t="str">
        <f>'Read Me First'!C13</f>
        <v>Poole Runners</v>
      </c>
      <c r="B238" s="133" cm="1">
        <f t="array" ref="B238:V247">_xlfn.LET(_xlpm.x, _xlfn._xlws.SORT(_xlfn._xlws.FILTER(Data!$A$249:$U$536,(Data!$C$249:$C$536=$A238)*(Data!$D$249:$D$536=$E$196)*(Data!$E$249:$E$536="U10")),18),_xlpm.y,_xlfn._xlws.SORT(_xlfn._xlws.FILTER(Data!$A$249:$U$536,(Data!$C$249:$C$536=$A238)*(Data!$D$249:$D$536=$E$196)*(Data!$E$249:$E$536="U12")),19), IFERROR(_xlfn.VSTACK(_xlpm.x,_xlpm.y), IFERROR(_xlpm.y,IFERROR(_xlpm.x, ""))))</f>
        <v>56</v>
      </c>
      <c r="C238" s="134" t="str">
        <v>LEO AMEY</v>
      </c>
      <c r="D238" s="134" t="str">
        <v>Poole Runners</v>
      </c>
      <c r="E238" s="134" t="str">
        <v>BOYS</v>
      </c>
      <c r="F238" s="134" t="str">
        <v>U12</v>
      </c>
      <c r="G238" s="135">
        <v>12</v>
      </c>
      <c r="H238" s="134">
        <v>80</v>
      </c>
      <c r="I238" s="134" t="str">
        <v>PB7</v>
      </c>
      <c r="J238" s="136">
        <v>1.4872685185185186E-3</v>
      </c>
      <c r="K238" s="134">
        <v>43</v>
      </c>
      <c r="L238" s="134" t="str">
        <v>PB3</v>
      </c>
      <c r="M238" s="137">
        <v>3.37</v>
      </c>
      <c r="N238" s="134">
        <v>74</v>
      </c>
      <c r="O238" s="134" t="str">
        <v>PB6</v>
      </c>
      <c r="P238" s="137">
        <v>33.67</v>
      </c>
      <c r="Q238" s="134">
        <v>118</v>
      </c>
      <c r="R238" s="134">
        <v>315</v>
      </c>
      <c r="S238" s="134" t="str">
        <v/>
      </c>
      <c r="T238" s="134">
        <v>1</v>
      </c>
      <c r="U238" s="134" t="str">
        <v/>
      </c>
      <c r="V238" s="138">
        <v>11</v>
      </c>
      <c r="W238" s="25"/>
    </row>
    <row r="239" spans="1:23" ht="19.95" customHeight="1">
      <c r="A239" s="361"/>
      <c r="B239" s="145">
        <v>51</v>
      </c>
      <c r="C239" s="126" t="str">
        <v>OSCAR CARTWRIGHT</v>
      </c>
      <c r="D239" s="126" t="str">
        <v>Poole Runners</v>
      </c>
      <c r="E239" s="126" t="str">
        <v>BOYS</v>
      </c>
      <c r="F239" s="126" t="str">
        <v>U12</v>
      </c>
      <c r="G239" s="125">
        <v>11.6</v>
      </c>
      <c r="H239" s="126">
        <v>90</v>
      </c>
      <c r="I239" s="126" t="str">
        <v>PB8</v>
      </c>
      <c r="J239" s="127">
        <v>1.4386574074074074E-3</v>
      </c>
      <c r="K239" s="126">
        <v>51</v>
      </c>
      <c r="L239" s="126" t="str">
        <v>PB4</v>
      </c>
      <c r="M239" s="128">
        <v>3.38</v>
      </c>
      <c r="N239" s="126">
        <v>74</v>
      </c>
      <c r="O239" s="126" t="str">
        <v>PB6</v>
      </c>
      <c r="P239" s="128">
        <v>28.67</v>
      </c>
      <c r="Q239" s="126">
        <v>93</v>
      </c>
      <c r="R239" s="126">
        <v>308</v>
      </c>
      <c r="S239" s="126" t="str">
        <v/>
      </c>
      <c r="T239" s="126">
        <v>2</v>
      </c>
      <c r="U239" s="126" t="str">
        <v/>
      </c>
      <c r="V239" s="139">
        <v>13</v>
      </c>
      <c r="W239" s="25"/>
    </row>
    <row r="240" spans="1:23" ht="19.95" customHeight="1">
      <c r="A240" s="361"/>
      <c r="B240" s="145">
        <v>58</v>
      </c>
      <c r="C240" s="126" t="str">
        <v>FINLAY KENYON</v>
      </c>
      <c r="D240" s="126" t="str">
        <v>Poole Runners</v>
      </c>
      <c r="E240" s="126" t="str">
        <v>BOYS</v>
      </c>
      <c r="F240" s="126" t="str">
        <v>U12</v>
      </c>
      <c r="G240" s="125">
        <v>12</v>
      </c>
      <c r="H240" s="126">
        <v>80</v>
      </c>
      <c r="I240" s="126" t="str">
        <v>PB7</v>
      </c>
      <c r="J240" s="127">
        <v>1.3541666666666667E-3</v>
      </c>
      <c r="K240" s="126">
        <v>66</v>
      </c>
      <c r="L240" s="126" t="str">
        <v>PB5</v>
      </c>
      <c r="M240" s="128">
        <v>3.33</v>
      </c>
      <c r="N240" s="126">
        <v>72</v>
      </c>
      <c r="O240" s="126" t="str">
        <v>PB6</v>
      </c>
      <c r="P240" s="128">
        <v>21.39</v>
      </c>
      <c r="Q240" s="126">
        <v>56</v>
      </c>
      <c r="R240" s="126">
        <v>274</v>
      </c>
      <c r="S240" s="126" t="str">
        <v/>
      </c>
      <c r="T240" s="126">
        <v>3</v>
      </c>
      <c r="U240" s="126" t="str">
        <v/>
      </c>
      <c r="V240" s="139">
        <v>21</v>
      </c>
      <c r="W240" s="25"/>
    </row>
    <row r="241" spans="1:23" ht="19.95" customHeight="1">
      <c r="A241" s="361"/>
      <c r="B241" s="145">
        <v>54</v>
      </c>
      <c r="C241" s="126" t="str">
        <v>FERGUS STANNING</v>
      </c>
      <c r="D241" s="126" t="str">
        <v>Poole Runners</v>
      </c>
      <c r="E241" s="126" t="str">
        <v>BOYS</v>
      </c>
      <c r="F241" s="126" t="str">
        <v>U12</v>
      </c>
      <c r="G241" s="125">
        <v>13</v>
      </c>
      <c r="H241" s="126">
        <v>60</v>
      </c>
      <c r="I241" s="126" t="str">
        <v>PB5</v>
      </c>
      <c r="J241" s="127">
        <v>1.4803240740740742E-3</v>
      </c>
      <c r="K241" s="126">
        <v>44</v>
      </c>
      <c r="L241" s="126" t="str">
        <v>PB3</v>
      </c>
      <c r="M241" s="128">
        <v>3.09</v>
      </c>
      <c r="N241" s="126">
        <v>63</v>
      </c>
      <c r="O241" s="126" t="str">
        <v>PB5</v>
      </c>
      <c r="P241" s="128">
        <v>25.15</v>
      </c>
      <c r="Q241" s="126">
        <v>75</v>
      </c>
      <c r="R241" s="126">
        <v>242</v>
      </c>
      <c r="S241" s="126" t="str">
        <v/>
      </c>
      <c r="T241" s="126">
        <v>4</v>
      </c>
      <c r="U241" s="126" t="str">
        <v/>
      </c>
      <c r="V241" s="139">
        <v>27</v>
      </c>
      <c r="W241" s="25"/>
    </row>
    <row r="242" spans="1:23" ht="19.95" customHeight="1">
      <c r="A242" s="361"/>
      <c r="B242" s="145">
        <v>55</v>
      </c>
      <c r="C242" s="126" t="str">
        <v>BERTIE LEIGH</v>
      </c>
      <c r="D242" s="126" t="str">
        <v>Poole Runners</v>
      </c>
      <c r="E242" s="126" t="str">
        <v>BOYS</v>
      </c>
      <c r="F242" s="126" t="str">
        <v>U12</v>
      </c>
      <c r="G242" s="125">
        <v>13.1</v>
      </c>
      <c r="H242" s="126">
        <v>58</v>
      </c>
      <c r="I242" s="126" t="str">
        <v>PB4</v>
      </c>
      <c r="J242" s="127">
        <v>1.5729166666666667E-3</v>
      </c>
      <c r="K242" s="126">
        <v>34</v>
      </c>
      <c r="L242" s="126" t="str">
        <v>PB2</v>
      </c>
      <c r="M242" s="128">
        <v>3.13</v>
      </c>
      <c r="N242" s="126">
        <v>64</v>
      </c>
      <c r="O242" s="126" t="str">
        <v>PB5</v>
      </c>
      <c r="P242" s="128">
        <v>24.11</v>
      </c>
      <c r="Q242" s="126">
        <v>70</v>
      </c>
      <c r="R242" s="126">
        <v>226</v>
      </c>
      <c r="S242" s="126" t="str">
        <v/>
      </c>
      <c r="T242" s="126">
        <v>5</v>
      </c>
      <c r="U242" s="126" t="str">
        <v/>
      </c>
      <c r="V242" s="139">
        <v>33</v>
      </c>
      <c r="W242" s="25"/>
    </row>
    <row r="243" spans="1:23" ht="19.95" customHeight="1">
      <c r="A243" s="361"/>
      <c r="B243" s="145">
        <v>53</v>
      </c>
      <c r="C243" s="126" t="str">
        <v>OAKLEY SHEAN-STEVENS</v>
      </c>
      <c r="D243" s="126" t="str">
        <v>Poole Runners</v>
      </c>
      <c r="E243" s="126" t="str">
        <v>BOYS</v>
      </c>
      <c r="F243" s="126" t="str">
        <v>U12</v>
      </c>
      <c r="G243" s="125">
        <v>12.8</v>
      </c>
      <c r="H243" s="126">
        <v>64</v>
      </c>
      <c r="I243" s="126" t="str">
        <v>PB5</v>
      </c>
      <c r="J243" s="127">
        <v>1.646990740740741E-3</v>
      </c>
      <c r="K243" s="126">
        <v>27</v>
      </c>
      <c r="L243" s="126" t="str">
        <v>PB1</v>
      </c>
      <c r="M243" s="128">
        <v>3.27</v>
      </c>
      <c r="N243" s="126">
        <v>70</v>
      </c>
      <c r="O243" s="126" t="str">
        <v>PB6</v>
      </c>
      <c r="P243" s="128">
        <v>20.63</v>
      </c>
      <c r="Q243" s="126">
        <v>53</v>
      </c>
      <c r="R243" s="126">
        <v>214</v>
      </c>
      <c r="S243" s="126" t="str">
        <v/>
      </c>
      <c r="T243" s="126">
        <v>6</v>
      </c>
      <c r="U243" s="126" t="str">
        <v/>
      </c>
      <c r="V243" s="139">
        <v>34</v>
      </c>
      <c r="W243" s="25"/>
    </row>
    <row r="244" spans="1:23" ht="19.95" customHeight="1">
      <c r="A244" s="361"/>
      <c r="B244" s="145">
        <v>57</v>
      </c>
      <c r="C244" s="126" t="str">
        <v>SAM SUCKLING</v>
      </c>
      <c r="D244" s="126" t="str">
        <v>Poole Runners</v>
      </c>
      <c r="E244" s="126" t="str">
        <v>BOYS</v>
      </c>
      <c r="F244" s="126" t="str">
        <v>U12</v>
      </c>
      <c r="G244" s="125">
        <v>13.1</v>
      </c>
      <c r="H244" s="126">
        <v>58</v>
      </c>
      <c r="I244" s="126" t="str">
        <v>PB4</v>
      </c>
      <c r="J244" s="127">
        <v>1.5671296296296297E-3</v>
      </c>
      <c r="K244" s="126">
        <v>34</v>
      </c>
      <c r="L244" s="126" t="str">
        <v>PB2</v>
      </c>
      <c r="M244" s="128">
        <v>2.3199999999999998</v>
      </c>
      <c r="N244" s="126">
        <v>32</v>
      </c>
      <c r="O244" s="126" t="str">
        <v>PB2</v>
      </c>
      <c r="P244" s="128">
        <v>18.059999999999999</v>
      </c>
      <c r="Q244" s="126">
        <v>40</v>
      </c>
      <c r="R244" s="126">
        <v>164</v>
      </c>
      <c r="S244" s="126" t="str">
        <v/>
      </c>
      <c r="T244" s="126">
        <v>7</v>
      </c>
      <c r="U244" s="126" t="str">
        <v/>
      </c>
      <c r="V244" s="139">
        <v>42</v>
      </c>
      <c r="W244" s="25"/>
    </row>
    <row r="245" spans="1:23" ht="19.95" customHeight="1">
      <c r="A245" s="361"/>
      <c r="B245" s="145">
        <v>52</v>
      </c>
      <c r="C245" s="126" t="str">
        <v>MARLOWE PEACH</v>
      </c>
      <c r="D245" s="126" t="str">
        <v>Poole Runners</v>
      </c>
      <c r="E245" s="126" t="str">
        <v>BOYS</v>
      </c>
      <c r="F245" s="126" t="str">
        <v>U12</v>
      </c>
      <c r="G245" s="125">
        <v>13.1</v>
      </c>
      <c r="H245" s="126">
        <v>58</v>
      </c>
      <c r="I245" s="126" t="str">
        <v>PB4</v>
      </c>
      <c r="J245" s="127">
        <v>1.965277777777778E-3</v>
      </c>
      <c r="K245" s="126">
        <v>13</v>
      </c>
      <c r="L245" s="126" t="str">
        <v/>
      </c>
      <c r="M245" s="128">
        <v>2.36</v>
      </c>
      <c r="N245" s="126">
        <v>33</v>
      </c>
      <c r="O245" s="126" t="str">
        <v>PB2</v>
      </c>
      <c r="P245" s="128">
        <v>11.36</v>
      </c>
      <c r="Q245" s="126">
        <v>14</v>
      </c>
      <c r="R245" s="126">
        <v>118</v>
      </c>
      <c r="S245" s="126" t="str">
        <v/>
      </c>
      <c r="T245" s="126">
        <v>8</v>
      </c>
      <c r="U245" s="126" t="str">
        <v/>
      </c>
      <c r="V245" s="139">
        <v>46</v>
      </c>
      <c r="W245" s="25"/>
    </row>
    <row r="246" spans="1:23" ht="19.95" customHeight="1">
      <c r="A246" s="361"/>
      <c r="B246" s="145">
        <v>59</v>
      </c>
      <c r="C246" s="126" t="str">
        <v/>
      </c>
      <c r="D246" s="126" t="str">
        <v>Poole Runners</v>
      </c>
      <c r="E246" s="126" t="str">
        <v>BOYS</v>
      </c>
      <c r="F246" s="126" t="str">
        <v>U12</v>
      </c>
      <c r="G246" s="125" t="str">
        <v/>
      </c>
      <c r="H246" s="126">
        <v>0</v>
      </c>
      <c r="I246" s="126" t="str">
        <v/>
      </c>
      <c r="J246" s="127">
        <v>0</v>
      </c>
      <c r="K246" s="126">
        <v>0</v>
      </c>
      <c r="L246" s="126" t="str">
        <v/>
      </c>
      <c r="M246" s="128" t="str">
        <v/>
      </c>
      <c r="N246" s="126">
        <v>0</v>
      </c>
      <c r="O246" s="126" t="str">
        <v/>
      </c>
      <c r="P246" s="128" t="str">
        <v/>
      </c>
      <c r="Q246" s="126">
        <v>0</v>
      </c>
      <c r="R246" s="126">
        <v>0</v>
      </c>
      <c r="S246" s="126" t="str">
        <v/>
      </c>
      <c r="T246" s="126" t="str">
        <v/>
      </c>
      <c r="U246" s="126" t="str">
        <v/>
      </c>
      <c r="V246" s="139" t="str">
        <v/>
      </c>
      <c r="W246" s="19"/>
    </row>
    <row r="247" spans="1:23" ht="19.95" customHeight="1">
      <c r="A247" s="361"/>
      <c r="B247" s="145">
        <v>60</v>
      </c>
      <c r="C247" s="126" t="str">
        <v/>
      </c>
      <c r="D247" s="126" t="str">
        <v>Poole Runners</v>
      </c>
      <c r="E247" s="126" t="str">
        <v>BOYS</v>
      </c>
      <c r="F247" s="126" t="str">
        <v>U12</v>
      </c>
      <c r="G247" s="125" t="str">
        <v/>
      </c>
      <c r="H247" s="126">
        <v>0</v>
      </c>
      <c r="I247" s="126" t="str">
        <v/>
      </c>
      <c r="J247" s="127">
        <v>0</v>
      </c>
      <c r="K247" s="126">
        <v>0</v>
      </c>
      <c r="L247" s="126" t="str">
        <v/>
      </c>
      <c r="M247" s="128" t="str">
        <v/>
      </c>
      <c r="N247" s="126">
        <v>0</v>
      </c>
      <c r="O247" s="126" t="str">
        <v/>
      </c>
      <c r="P247" s="128" t="str">
        <v/>
      </c>
      <c r="Q247" s="126">
        <v>0</v>
      </c>
      <c r="R247" s="126">
        <v>0</v>
      </c>
      <c r="S247" s="126" t="str">
        <v/>
      </c>
      <c r="T247" s="126" t="str">
        <v/>
      </c>
      <c r="U247" s="126" t="str">
        <v/>
      </c>
      <c r="V247" s="139" t="str">
        <v/>
      </c>
      <c r="W247" s="25"/>
    </row>
    <row r="248" spans="1:23" ht="19.95" customHeight="1">
      <c r="A248" s="361"/>
      <c r="B248" s="145"/>
      <c r="C248" s="126"/>
      <c r="D248" s="126"/>
      <c r="E248" s="126"/>
      <c r="F248" s="126"/>
      <c r="G248" s="125"/>
      <c r="H248" s="126"/>
      <c r="I248" s="126"/>
      <c r="J248" s="127"/>
      <c r="K248" s="126"/>
      <c r="L248" s="126"/>
      <c r="M248" s="128"/>
      <c r="N248" s="126"/>
      <c r="O248" s="126"/>
      <c r="P248" s="128"/>
      <c r="Q248" s="126"/>
      <c r="R248" s="126"/>
      <c r="S248" s="126"/>
      <c r="T248" s="126"/>
      <c r="U248" s="126"/>
      <c r="V248" s="139"/>
      <c r="W248" s="25"/>
    </row>
    <row r="249" spans="1:23" ht="19.95" customHeight="1">
      <c r="A249" s="361"/>
      <c r="B249" s="145"/>
      <c r="C249" s="126"/>
      <c r="D249" s="126"/>
      <c r="E249" s="126"/>
      <c r="F249" s="126"/>
      <c r="G249" s="125"/>
      <c r="H249" s="126"/>
      <c r="I249" s="126"/>
      <c r="J249" s="127"/>
      <c r="K249" s="126"/>
      <c r="L249" s="126"/>
      <c r="M249" s="128"/>
      <c r="N249" s="126"/>
      <c r="O249" s="126"/>
      <c r="P249" s="128"/>
      <c r="Q249" s="126"/>
      <c r="R249" s="126"/>
      <c r="S249" s="126"/>
      <c r="T249" s="126"/>
      <c r="U249" s="126"/>
      <c r="V249" s="139"/>
      <c r="W249" s="25"/>
    </row>
    <row r="250" spans="1:23" ht="19.95" customHeight="1">
      <c r="A250" s="361"/>
      <c r="B250" s="145"/>
      <c r="C250" s="126"/>
      <c r="D250" s="126"/>
      <c r="E250" s="126"/>
      <c r="F250" s="126"/>
      <c r="G250" s="125"/>
      <c r="H250" s="126"/>
      <c r="I250" s="126"/>
      <c r="J250" s="127"/>
      <c r="K250" s="126"/>
      <c r="L250" s="126"/>
      <c r="M250" s="128"/>
      <c r="N250" s="126"/>
      <c r="O250" s="126"/>
      <c r="P250" s="128"/>
      <c r="Q250" s="126"/>
      <c r="R250" s="126"/>
      <c r="S250" s="126"/>
      <c r="T250" s="126"/>
      <c r="U250" s="126"/>
      <c r="V250" s="139"/>
      <c r="W250" s="25"/>
    </row>
    <row r="251" spans="1:23" ht="19.95" customHeight="1">
      <c r="A251" s="361"/>
      <c r="B251" s="145"/>
      <c r="C251" s="126"/>
      <c r="D251" s="126"/>
      <c r="E251" s="126"/>
      <c r="F251" s="126"/>
      <c r="G251" s="125"/>
      <c r="H251" s="126"/>
      <c r="I251" s="126"/>
      <c r="J251" s="127"/>
      <c r="K251" s="126"/>
      <c r="L251" s="126"/>
      <c r="M251" s="128"/>
      <c r="N251" s="126"/>
      <c r="O251" s="126"/>
      <c r="P251" s="128"/>
      <c r="Q251" s="126"/>
      <c r="R251" s="126"/>
      <c r="S251" s="126"/>
      <c r="T251" s="126"/>
      <c r="U251" s="126"/>
      <c r="V251" s="139"/>
      <c r="W251" s="25"/>
    </row>
    <row r="252" spans="1:23" ht="19.95" customHeight="1">
      <c r="A252" s="361"/>
      <c r="B252" s="145"/>
      <c r="C252" s="126"/>
      <c r="D252" s="126"/>
      <c r="E252" s="126"/>
      <c r="F252" s="126"/>
      <c r="G252" s="125"/>
      <c r="H252" s="126"/>
      <c r="I252" s="126"/>
      <c r="J252" s="127"/>
      <c r="K252" s="126"/>
      <c r="L252" s="126"/>
      <c r="M252" s="128"/>
      <c r="N252" s="126"/>
      <c r="O252" s="126"/>
      <c r="P252" s="128"/>
      <c r="Q252" s="126"/>
      <c r="R252" s="126"/>
      <c r="S252" s="126"/>
      <c r="T252" s="126"/>
      <c r="U252" s="126"/>
      <c r="V252" s="139"/>
      <c r="W252" s="25"/>
    </row>
    <row r="253" spans="1:23" ht="19.95" customHeight="1">
      <c r="A253" s="361"/>
      <c r="B253" s="145"/>
      <c r="C253" s="126"/>
      <c r="D253" s="126"/>
      <c r="E253" s="126"/>
      <c r="F253" s="126"/>
      <c r="G253" s="125"/>
      <c r="H253" s="126"/>
      <c r="I253" s="126"/>
      <c r="J253" s="127"/>
      <c r="K253" s="126"/>
      <c r="L253" s="126"/>
      <c r="M253" s="128"/>
      <c r="N253" s="126"/>
      <c r="O253" s="126"/>
      <c r="P253" s="128"/>
      <c r="Q253" s="126"/>
      <c r="R253" s="126"/>
      <c r="S253" s="126"/>
      <c r="T253" s="126"/>
      <c r="U253" s="126"/>
      <c r="V253" s="139"/>
      <c r="W253" s="25"/>
    </row>
    <row r="254" spans="1:23" ht="19.95" customHeight="1">
      <c r="A254" s="361"/>
      <c r="B254" s="145"/>
      <c r="C254" s="126"/>
      <c r="D254" s="126"/>
      <c r="E254" s="126"/>
      <c r="F254" s="126"/>
      <c r="G254" s="125"/>
      <c r="H254" s="126"/>
      <c r="I254" s="126"/>
      <c r="J254" s="127"/>
      <c r="K254" s="126"/>
      <c r="L254" s="126"/>
      <c r="M254" s="128"/>
      <c r="N254" s="126"/>
      <c r="O254" s="126"/>
      <c r="P254" s="128"/>
      <c r="Q254" s="126"/>
      <c r="R254" s="126"/>
      <c r="S254" s="126"/>
      <c r="T254" s="126"/>
      <c r="U254" s="126"/>
      <c r="V254" s="139"/>
      <c r="W254" s="25"/>
    </row>
    <row r="255" spans="1:23" ht="19.95" customHeight="1">
      <c r="A255" s="361"/>
      <c r="B255" s="145"/>
      <c r="C255" s="126"/>
      <c r="D255" s="126"/>
      <c r="E255" s="126"/>
      <c r="F255" s="126"/>
      <c r="G255" s="125"/>
      <c r="H255" s="126"/>
      <c r="I255" s="126"/>
      <c r="J255" s="127"/>
      <c r="K255" s="126"/>
      <c r="L255" s="126"/>
      <c r="M255" s="128"/>
      <c r="N255" s="126"/>
      <c r="O255" s="126"/>
      <c r="P255" s="128"/>
      <c r="Q255" s="126"/>
      <c r="R255" s="126"/>
      <c r="S255" s="126"/>
      <c r="T255" s="126"/>
      <c r="U255" s="126"/>
      <c r="V255" s="139"/>
      <c r="W255" s="25"/>
    </row>
    <row r="256" spans="1:23" ht="19.95" customHeight="1">
      <c r="A256" s="361"/>
      <c r="B256" s="145"/>
      <c r="C256" s="126"/>
      <c r="D256" s="126"/>
      <c r="E256" s="126"/>
      <c r="F256" s="126"/>
      <c r="G256" s="125"/>
      <c r="H256" s="126"/>
      <c r="I256" s="126"/>
      <c r="J256" s="127"/>
      <c r="K256" s="126"/>
      <c r="L256" s="126"/>
      <c r="M256" s="128"/>
      <c r="N256" s="126"/>
      <c r="O256" s="126"/>
      <c r="P256" s="128"/>
      <c r="Q256" s="126"/>
      <c r="R256" s="126"/>
      <c r="S256" s="126"/>
      <c r="T256" s="126"/>
      <c r="U256" s="126"/>
      <c r="V256" s="139"/>
      <c r="W256" s="25"/>
    </row>
    <row r="257" spans="1:23" ht="19.95" customHeight="1" thickBot="1">
      <c r="A257" s="362"/>
      <c r="B257" s="146"/>
      <c r="C257" s="140"/>
      <c r="D257" s="140"/>
      <c r="E257" s="140"/>
      <c r="F257" s="140"/>
      <c r="G257" s="141"/>
      <c r="H257" s="140"/>
      <c r="I257" s="140"/>
      <c r="J257" s="142"/>
      <c r="K257" s="140"/>
      <c r="L257" s="140"/>
      <c r="M257" s="143"/>
      <c r="N257" s="140"/>
      <c r="O257" s="140"/>
      <c r="P257" s="143"/>
      <c r="Q257" s="140"/>
      <c r="R257" s="140"/>
      <c r="S257" s="140"/>
      <c r="T257" s="140"/>
      <c r="U257" s="140"/>
      <c r="V257" s="144"/>
      <c r="W257" s="25"/>
    </row>
    <row r="258" spans="1:23" ht="19.95" customHeight="1">
      <c r="A258" s="360" t="str">
        <f>'Read Me First'!C14</f>
        <v>Fleet &amp; Crookham AC</v>
      </c>
      <c r="B258" s="133" cm="1">
        <f t="array" ref="B258:V267">_xlfn.LET(_xlpm.x, _xlfn._xlws.SORT(_xlfn._xlws.FILTER(Data!$A$249:$U$536,(Data!$C$249:$C$536=$A258)*(Data!$D$249:$D$536=$E$196)*(Data!$E$249:$E$536="U10")),18),_xlpm.y,_xlfn._xlws.SORT(_xlfn._xlws.FILTER(Data!$A$249:$U$536,(Data!$C$249:$C$536=$A258)*(Data!$D$249:$D$536=$E$196)*(Data!$E$249:$E$536="U12")),19), IFERROR(_xlfn.VSTACK(_xlpm.x,_xlpm.y), IFERROR(_xlpm.y,IFERROR(_xlpm.x, ""))))</f>
        <v>73</v>
      </c>
      <c r="C258" s="134" t="str">
        <v>CHARLIE BLACKWELL</v>
      </c>
      <c r="D258" s="134" t="str">
        <v>Fleet &amp; Crookham AC</v>
      </c>
      <c r="E258" s="134" t="str">
        <v>BOYS</v>
      </c>
      <c r="F258" s="134" t="str">
        <v>U12</v>
      </c>
      <c r="G258" s="135">
        <v>10.9</v>
      </c>
      <c r="H258" s="134">
        <v>107</v>
      </c>
      <c r="I258" s="134" t="str">
        <v>PB9</v>
      </c>
      <c r="J258" s="136">
        <v>1.4062499999999999E-3</v>
      </c>
      <c r="K258" s="134">
        <v>57</v>
      </c>
      <c r="L258" s="134" t="str">
        <v>PB4</v>
      </c>
      <c r="M258" s="137">
        <v>3.6</v>
      </c>
      <c r="N258" s="134">
        <v>83</v>
      </c>
      <c r="O258" s="134" t="str">
        <v>PB7</v>
      </c>
      <c r="P258" s="137">
        <v>32.840000000000003</v>
      </c>
      <c r="Q258" s="134">
        <v>114</v>
      </c>
      <c r="R258" s="134">
        <v>361</v>
      </c>
      <c r="S258" s="134" t="str">
        <v/>
      </c>
      <c r="T258" s="134">
        <v>1</v>
      </c>
      <c r="U258" s="134" t="str">
        <v/>
      </c>
      <c r="V258" s="138">
        <v>6</v>
      </c>
      <c r="W258" s="25"/>
    </row>
    <row r="259" spans="1:23" ht="19.95" customHeight="1">
      <c r="A259" s="361"/>
      <c r="B259" s="145">
        <v>71</v>
      </c>
      <c r="C259" s="126" t="str">
        <v>JESSE MCDONNELL</v>
      </c>
      <c r="D259" s="126" t="str">
        <v>Fleet &amp; Crookham AC</v>
      </c>
      <c r="E259" s="126" t="str">
        <v>BOYS</v>
      </c>
      <c r="F259" s="126" t="str">
        <v>U12</v>
      </c>
      <c r="G259" s="125">
        <v>11.2</v>
      </c>
      <c r="H259" s="126">
        <v>100</v>
      </c>
      <c r="I259" s="126" t="str">
        <v>PB9</v>
      </c>
      <c r="J259" s="127">
        <v>1.3368055555555555E-3</v>
      </c>
      <c r="K259" s="126">
        <v>69</v>
      </c>
      <c r="L259" s="126" t="str">
        <v>PB5</v>
      </c>
      <c r="M259" s="128">
        <v>3.62</v>
      </c>
      <c r="N259" s="126">
        <v>84</v>
      </c>
      <c r="O259" s="126" t="str">
        <v>PB7</v>
      </c>
      <c r="P259" s="128">
        <v>29.88</v>
      </c>
      <c r="Q259" s="126">
        <v>99</v>
      </c>
      <c r="R259" s="126">
        <v>352</v>
      </c>
      <c r="S259" s="126" t="str">
        <v/>
      </c>
      <c r="T259" s="126">
        <v>2</v>
      </c>
      <c r="U259" s="126" t="str">
        <v/>
      </c>
      <c r="V259" s="139">
        <v>7</v>
      </c>
      <c r="W259" s="25"/>
    </row>
    <row r="260" spans="1:23" ht="19.95" customHeight="1">
      <c r="A260" s="361"/>
      <c r="B260" s="145">
        <v>72</v>
      </c>
      <c r="C260" s="126" t="str">
        <v>LEVI KIRWAN</v>
      </c>
      <c r="D260" s="126" t="str">
        <v>Fleet &amp; Crookham AC</v>
      </c>
      <c r="E260" s="126" t="str">
        <v>BOYS</v>
      </c>
      <c r="F260" s="126" t="str">
        <v>U12</v>
      </c>
      <c r="G260" s="125">
        <v>11.5</v>
      </c>
      <c r="H260" s="126">
        <v>92</v>
      </c>
      <c r="I260" s="126" t="str">
        <v>PB8</v>
      </c>
      <c r="J260" s="127">
        <v>1.4525462962962964E-3</v>
      </c>
      <c r="K260" s="126">
        <v>49</v>
      </c>
      <c r="L260" s="126" t="str">
        <v>PB3</v>
      </c>
      <c r="M260" s="128">
        <v>3.01</v>
      </c>
      <c r="N260" s="126">
        <v>60</v>
      </c>
      <c r="O260" s="126" t="str">
        <v>PB5</v>
      </c>
      <c r="P260" s="128">
        <v>31.64</v>
      </c>
      <c r="Q260" s="126">
        <v>108</v>
      </c>
      <c r="R260" s="126">
        <v>309</v>
      </c>
      <c r="S260" s="126" t="str">
        <v/>
      </c>
      <c r="T260" s="126">
        <v>3</v>
      </c>
      <c r="U260" s="126" t="str">
        <v/>
      </c>
      <c r="V260" s="139">
        <v>12</v>
      </c>
      <c r="W260" s="25"/>
    </row>
    <row r="261" spans="1:23" ht="19.95" customHeight="1">
      <c r="A261" s="361"/>
      <c r="B261" s="145">
        <v>74</v>
      </c>
      <c r="C261" s="126" t="str">
        <v>THOMAS MOORE</v>
      </c>
      <c r="D261" s="126" t="str">
        <v>Fleet &amp; Crookham AC</v>
      </c>
      <c r="E261" s="126" t="str">
        <v>BOYS</v>
      </c>
      <c r="F261" s="126" t="str">
        <v>U12</v>
      </c>
      <c r="G261" s="125">
        <v>12.9</v>
      </c>
      <c r="H261" s="126">
        <v>62</v>
      </c>
      <c r="I261" s="126" t="str">
        <v>PB5</v>
      </c>
      <c r="J261" s="127">
        <v>1.6666666666666668E-3</v>
      </c>
      <c r="K261" s="126">
        <v>26</v>
      </c>
      <c r="L261" s="126" t="str">
        <v>PB1</v>
      </c>
      <c r="M261" s="128">
        <v>2.93</v>
      </c>
      <c r="N261" s="126">
        <v>56</v>
      </c>
      <c r="O261" s="126" t="str">
        <v>PB4</v>
      </c>
      <c r="P261" s="128">
        <v>27.07</v>
      </c>
      <c r="Q261" s="126">
        <v>85</v>
      </c>
      <c r="R261" s="126">
        <v>229</v>
      </c>
      <c r="S261" s="126" t="str">
        <v/>
      </c>
      <c r="T261" s="126">
        <v>4</v>
      </c>
      <c r="U261" s="126" t="str">
        <v/>
      </c>
      <c r="V261" s="139">
        <v>32</v>
      </c>
      <c r="W261" s="25"/>
    </row>
    <row r="262" spans="1:23" ht="19.95" customHeight="1">
      <c r="A262" s="361"/>
      <c r="B262" s="145">
        <v>76</v>
      </c>
      <c r="C262" s="126" t="str">
        <v>DYLAN MARLEY</v>
      </c>
      <c r="D262" s="126" t="str">
        <v>Fleet &amp; Crookham AC</v>
      </c>
      <c r="E262" s="126" t="str">
        <v>BOYS</v>
      </c>
      <c r="F262" s="126" t="str">
        <v>U12</v>
      </c>
      <c r="G262" s="125">
        <v>12.4</v>
      </c>
      <c r="H262" s="126">
        <v>72</v>
      </c>
      <c r="I262" s="126" t="str">
        <v>PB6</v>
      </c>
      <c r="J262" s="127">
        <v>1.7476851851851852E-3</v>
      </c>
      <c r="K262" s="126">
        <v>19</v>
      </c>
      <c r="L262" s="126" t="str">
        <v/>
      </c>
      <c r="M262" s="128">
        <v>3.62</v>
      </c>
      <c r="N262" s="126">
        <v>84</v>
      </c>
      <c r="O262" s="126" t="str">
        <v>PB7</v>
      </c>
      <c r="P262" s="128">
        <v>15.47</v>
      </c>
      <c r="Q262" s="126">
        <v>27</v>
      </c>
      <c r="R262" s="126">
        <v>202</v>
      </c>
      <c r="S262" s="126" t="str">
        <v/>
      </c>
      <c r="T262" s="126">
        <v>5</v>
      </c>
      <c r="U262" s="126" t="str">
        <v/>
      </c>
      <c r="V262" s="139">
        <v>36</v>
      </c>
      <c r="W262" s="25"/>
    </row>
    <row r="263" spans="1:23" ht="19.95" customHeight="1">
      <c r="A263" s="361"/>
      <c r="B263" s="145">
        <v>75</v>
      </c>
      <c r="C263" s="126" t="str">
        <v>MURRAY VOADEN</v>
      </c>
      <c r="D263" s="126" t="str">
        <v>Fleet &amp; Crookham AC</v>
      </c>
      <c r="E263" s="126" t="str">
        <v>BOYS</v>
      </c>
      <c r="F263" s="126" t="str">
        <v>U12</v>
      </c>
      <c r="G263" s="125">
        <v>13.4</v>
      </c>
      <c r="H263" s="126">
        <v>52</v>
      </c>
      <c r="I263" s="126" t="str">
        <v>PB4</v>
      </c>
      <c r="J263" s="127">
        <v>1.6192129629629629E-3</v>
      </c>
      <c r="K263" s="126">
        <v>30</v>
      </c>
      <c r="L263" s="126" t="str">
        <v>PB2</v>
      </c>
      <c r="M263" s="128">
        <v>2.92</v>
      </c>
      <c r="N263" s="126">
        <v>56</v>
      </c>
      <c r="O263" s="126" t="str">
        <v>PB4</v>
      </c>
      <c r="P263" s="128">
        <v>14.88</v>
      </c>
      <c r="Q263" s="126">
        <v>24</v>
      </c>
      <c r="R263" s="126">
        <v>162</v>
      </c>
      <c r="S263" s="126" t="str">
        <v/>
      </c>
      <c r="T263" s="126">
        <v>6</v>
      </c>
      <c r="U263" s="126" t="str">
        <v/>
      </c>
      <c r="V263" s="139">
        <v>43</v>
      </c>
      <c r="W263" s="19"/>
    </row>
    <row r="264" spans="1:23" ht="19.95" customHeight="1">
      <c r="A264" s="361"/>
      <c r="B264" s="145">
        <v>77</v>
      </c>
      <c r="C264" s="126" t="str">
        <v/>
      </c>
      <c r="D264" s="126" t="str">
        <v>Fleet &amp; Crookham AC</v>
      </c>
      <c r="E264" s="126" t="str">
        <v>BOYS</v>
      </c>
      <c r="F264" s="126" t="str">
        <v>U12</v>
      </c>
      <c r="G264" s="125" t="str">
        <v/>
      </c>
      <c r="H264" s="126">
        <v>0</v>
      </c>
      <c r="I264" s="126" t="str">
        <v/>
      </c>
      <c r="J264" s="127">
        <v>0</v>
      </c>
      <c r="K264" s="126">
        <v>0</v>
      </c>
      <c r="L264" s="126" t="str">
        <v/>
      </c>
      <c r="M264" s="128" t="str">
        <v/>
      </c>
      <c r="N264" s="126">
        <v>0</v>
      </c>
      <c r="O264" s="126" t="str">
        <v/>
      </c>
      <c r="P264" s="128" t="str">
        <v/>
      </c>
      <c r="Q264" s="126">
        <v>0</v>
      </c>
      <c r="R264" s="126">
        <v>0</v>
      </c>
      <c r="S264" s="126" t="str">
        <v/>
      </c>
      <c r="T264" s="126" t="str">
        <v/>
      </c>
      <c r="U264" s="126" t="str">
        <v/>
      </c>
      <c r="V264" s="139" t="str">
        <v/>
      </c>
      <c r="W264" s="19"/>
    </row>
    <row r="265" spans="1:23" ht="19.95" customHeight="1">
      <c r="A265" s="361"/>
      <c r="B265" s="145">
        <v>78</v>
      </c>
      <c r="C265" s="126" t="str">
        <v/>
      </c>
      <c r="D265" s="126" t="str">
        <v>Fleet &amp; Crookham AC</v>
      </c>
      <c r="E265" s="126" t="str">
        <v>BOYS</v>
      </c>
      <c r="F265" s="126" t="str">
        <v>U12</v>
      </c>
      <c r="G265" s="125" t="str">
        <v/>
      </c>
      <c r="H265" s="126">
        <v>0</v>
      </c>
      <c r="I265" s="126" t="str">
        <v/>
      </c>
      <c r="J265" s="127">
        <v>0</v>
      </c>
      <c r="K265" s="126">
        <v>0</v>
      </c>
      <c r="L265" s="126" t="str">
        <v/>
      </c>
      <c r="M265" s="128" t="str">
        <v/>
      </c>
      <c r="N265" s="126">
        <v>0</v>
      </c>
      <c r="O265" s="126" t="str">
        <v/>
      </c>
      <c r="P265" s="128" t="str">
        <v/>
      </c>
      <c r="Q265" s="126">
        <v>0</v>
      </c>
      <c r="R265" s="126">
        <v>0</v>
      </c>
      <c r="S265" s="126" t="str">
        <v/>
      </c>
      <c r="T265" s="126" t="str">
        <v/>
      </c>
      <c r="U265" s="126" t="str">
        <v/>
      </c>
      <c r="V265" s="139" t="str">
        <v/>
      </c>
      <c r="W265" s="19"/>
    </row>
    <row r="266" spans="1:23" ht="19.95" customHeight="1">
      <c r="A266" s="361"/>
      <c r="B266" s="145">
        <v>79</v>
      </c>
      <c r="C266" s="126" t="str">
        <v/>
      </c>
      <c r="D266" s="126" t="str">
        <v>Fleet &amp; Crookham AC</v>
      </c>
      <c r="E266" s="126" t="str">
        <v>BOYS</v>
      </c>
      <c r="F266" s="126" t="str">
        <v>U12</v>
      </c>
      <c r="G266" s="125" t="str">
        <v/>
      </c>
      <c r="H266" s="126">
        <v>0</v>
      </c>
      <c r="I266" s="126" t="str">
        <v/>
      </c>
      <c r="J266" s="127">
        <v>0</v>
      </c>
      <c r="K266" s="126">
        <v>0</v>
      </c>
      <c r="L266" s="126" t="str">
        <v/>
      </c>
      <c r="M266" s="128" t="str">
        <v/>
      </c>
      <c r="N266" s="126">
        <v>0</v>
      </c>
      <c r="O266" s="126" t="str">
        <v/>
      </c>
      <c r="P266" s="128" t="str">
        <v/>
      </c>
      <c r="Q266" s="126">
        <v>0</v>
      </c>
      <c r="R266" s="126">
        <v>0</v>
      </c>
      <c r="S266" s="126" t="str">
        <v/>
      </c>
      <c r="T266" s="126" t="str">
        <v/>
      </c>
      <c r="U266" s="126" t="str">
        <v/>
      </c>
      <c r="V266" s="139" t="str">
        <v/>
      </c>
      <c r="W266" s="19"/>
    </row>
    <row r="267" spans="1:23" ht="19.95" customHeight="1">
      <c r="A267" s="361"/>
      <c r="B267" s="145">
        <v>80</v>
      </c>
      <c r="C267" s="126" t="str">
        <v/>
      </c>
      <c r="D267" s="126" t="str">
        <v>Fleet &amp; Crookham AC</v>
      </c>
      <c r="E267" s="126" t="str">
        <v>BOYS</v>
      </c>
      <c r="F267" s="126" t="str">
        <v>U12</v>
      </c>
      <c r="G267" s="125" t="str">
        <v/>
      </c>
      <c r="H267" s="126">
        <v>0</v>
      </c>
      <c r="I267" s="126" t="str">
        <v/>
      </c>
      <c r="J267" s="127">
        <v>0</v>
      </c>
      <c r="K267" s="126">
        <v>0</v>
      </c>
      <c r="L267" s="126" t="str">
        <v/>
      </c>
      <c r="M267" s="128" t="str">
        <v/>
      </c>
      <c r="N267" s="126">
        <v>0</v>
      </c>
      <c r="O267" s="126" t="str">
        <v/>
      </c>
      <c r="P267" s="128" t="str">
        <v/>
      </c>
      <c r="Q267" s="126">
        <v>0</v>
      </c>
      <c r="R267" s="126">
        <v>0</v>
      </c>
      <c r="S267" s="126" t="str">
        <v/>
      </c>
      <c r="T267" s="126" t="str">
        <v/>
      </c>
      <c r="U267" s="126" t="str">
        <v/>
      </c>
      <c r="V267" s="139" t="str">
        <v/>
      </c>
      <c r="W267" s="19"/>
    </row>
    <row r="268" spans="1:23" s="11" customFormat="1" ht="19.95" customHeight="1">
      <c r="A268" s="361"/>
      <c r="B268" s="145"/>
      <c r="C268" s="126"/>
      <c r="D268" s="126"/>
      <c r="E268" s="126"/>
      <c r="F268" s="126"/>
      <c r="G268" s="125"/>
      <c r="H268" s="126"/>
      <c r="I268" s="126"/>
      <c r="J268" s="127"/>
      <c r="K268" s="126"/>
      <c r="L268" s="126"/>
      <c r="M268" s="128"/>
      <c r="N268" s="126"/>
      <c r="O268" s="126"/>
      <c r="P268" s="128"/>
      <c r="Q268" s="126"/>
      <c r="R268" s="126"/>
      <c r="S268" s="126"/>
      <c r="T268" s="126"/>
      <c r="U268" s="126"/>
      <c r="V268" s="139"/>
      <c r="W268" s="25"/>
    </row>
    <row r="269" spans="1:23" ht="19.95" customHeight="1">
      <c r="A269" s="361"/>
      <c r="B269" s="145"/>
      <c r="C269" s="126"/>
      <c r="D269" s="126"/>
      <c r="E269" s="126"/>
      <c r="F269" s="126"/>
      <c r="G269" s="125"/>
      <c r="H269" s="126"/>
      <c r="I269" s="126"/>
      <c r="J269" s="127"/>
      <c r="K269" s="126"/>
      <c r="L269" s="126"/>
      <c r="M269" s="128"/>
      <c r="N269" s="126"/>
      <c r="O269" s="126"/>
      <c r="P269" s="128"/>
      <c r="Q269" s="126"/>
      <c r="R269" s="126"/>
      <c r="S269" s="126"/>
      <c r="T269" s="126"/>
      <c r="U269" s="126"/>
      <c r="V269" s="139"/>
      <c r="W269" s="25"/>
    </row>
    <row r="270" spans="1:23" ht="19.95" customHeight="1">
      <c r="A270" s="361"/>
      <c r="B270" s="145"/>
      <c r="C270" s="126"/>
      <c r="D270" s="126"/>
      <c r="E270" s="126"/>
      <c r="F270" s="126"/>
      <c r="G270" s="125"/>
      <c r="H270" s="126"/>
      <c r="I270" s="126"/>
      <c r="J270" s="127"/>
      <c r="K270" s="126"/>
      <c r="L270" s="126"/>
      <c r="M270" s="128"/>
      <c r="N270" s="126"/>
      <c r="O270" s="126"/>
      <c r="P270" s="128"/>
      <c r="Q270" s="126"/>
      <c r="R270" s="126"/>
      <c r="S270" s="126"/>
      <c r="T270" s="126"/>
      <c r="U270" s="126"/>
      <c r="V270" s="139"/>
      <c r="W270" s="25"/>
    </row>
    <row r="271" spans="1:23" ht="19.95" customHeight="1">
      <c r="A271" s="361"/>
      <c r="B271" s="145"/>
      <c r="C271" s="126"/>
      <c r="D271" s="126"/>
      <c r="E271" s="126"/>
      <c r="F271" s="126"/>
      <c r="G271" s="125"/>
      <c r="H271" s="126"/>
      <c r="I271" s="126"/>
      <c r="J271" s="127"/>
      <c r="K271" s="126"/>
      <c r="L271" s="126"/>
      <c r="M271" s="128"/>
      <c r="N271" s="126"/>
      <c r="O271" s="126"/>
      <c r="P271" s="128"/>
      <c r="Q271" s="126"/>
      <c r="R271" s="126"/>
      <c r="S271" s="126"/>
      <c r="T271" s="126"/>
      <c r="U271" s="126"/>
      <c r="V271" s="139"/>
      <c r="W271" s="25"/>
    </row>
    <row r="272" spans="1:23" ht="19.95" customHeight="1">
      <c r="A272" s="361"/>
      <c r="B272" s="145"/>
      <c r="C272" s="126"/>
      <c r="D272" s="126"/>
      <c r="E272" s="126"/>
      <c r="F272" s="126"/>
      <c r="G272" s="125"/>
      <c r="H272" s="126"/>
      <c r="I272" s="126"/>
      <c r="J272" s="127"/>
      <c r="K272" s="126"/>
      <c r="L272" s="126"/>
      <c r="M272" s="128"/>
      <c r="N272" s="126"/>
      <c r="O272" s="126"/>
      <c r="P272" s="128"/>
      <c r="Q272" s="126"/>
      <c r="R272" s="126"/>
      <c r="S272" s="126"/>
      <c r="T272" s="126"/>
      <c r="U272" s="126"/>
      <c r="V272" s="139"/>
      <c r="W272" s="25"/>
    </row>
    <row r="273" spans="1:23" ht="19.95" customHeight="1">
      <c r="A273" s="361"/>
      <c r="B273" s="145"/>
      <c r="C273" s="126"/>
      <c r="D273" s="126"/>
      <c r="E273" s="126"/>
      <c r="F273" s="126"/>
      <c r="G273" s="125"/>
      <c r="H273" s="126"/>
      <c r="I273" s="126"/>
      <c r="J273" s="127"/>
      <c r="K273" s="126"/>
      <c r="L273" s="126"/>
      <c r="M273" s="128"/>
      <c r="N273" s="126"/>
      <c r="O273" s="126"/>
      <c r="P273" s="128"/>
      <c r="Q273" s="126"/>
      <c r="R273" s="126"/>
      <c r="S273" s="126"/>
      <c r="T273" s="126"/>
      <c r="U273" s="126"/>
      <c r="V273" s="139"/>
      <c r="W273" s="25"/>
    </row>
    <row r="274" spans="1:23" ht="19.95" customHeight="1">
      <c r="A274" s="361"/>
      <c r="B274" s="145"/>
      <c r="C274" s="126"/>
      <c r="D274" s="126"/>
      <c r="E274" s="126"/>
      <c r="F274" s="126"/>
      <c r="G274" s="125"/>
      <c r="H274" s="126"/>
      <c r="I274" s="126"/>
      <c r="J274" s="127"/>
      <c r="K274" s="126"/>
      <c r="L274" s="126"/>
      <c r="M274" s="128"/>
      <c r="N274" s="126"/>
      <c r="O274" s="126"/>
      <c r="P274" s="128"/>
      <c r="Q274" s="126"/>
      <c r="R274" s="126"/>
      <c r="S274" s="126"/>
      <c r="T274" s="126"/>
      <c r="U274" s="126"/>
      <c r="V274" s="139"/>
      <c r="W274" s="25"/>
    </row>
    <row r="275" spans="1:23" ht="19.95" customHeight="1">
      <c r="A275" s="361"/>
      <c r="B275" s="145"/>
      <c r="C275" s="126"/>
      <c r="D275" s="126"/>
      <c r="E275" s="126"/>
      <c r="F275" s="126"/>
      <c r="G275" s="125"/>
      <c r="H275" s="126"/>
      <c r="I275" s="126"/>
      <c r="J275" s="127"/>
      <c r="K275" s="126"/>
      <c r="L275" s="126"/>
      <c r="M275" s="128"/>
      <c r="N275" s="126"/>
      <c r="O275" s="126"/>
      <c r="P275" s="128"/>
      <c r="Q275" s="126"/>
      <c r="R275" s="126"/>
      <c r="S275" s="126"/>
      <c r="T275" s="126"/>
      <c r="U275" s="126"/>
      <c r="V275" s="139"/>
      <c r="W275" s="25"/>
    </row>
    <row r="276" spans="1:23" ht="19.95" customHeight="1">
      <c r="A276" s="361"/>
      <c r="B276" s="145"/>
      <c r="C276" s="126"/>
      <c r="D276" s="126"/>
      <c r="E276" s="126"/>
      <c r="F276" s="126"/>
      <c r="G276" s="125"/>
      <c r="H276" s="126"/>
      <c r="I276" s="126"/>
      <c r="J276" s="127"/>
      <c r="K276" s="126"/>
      <c r="L276" s="126"/>
      <c r="M276" s="128"/>
      <c r="N276" s="126"/>
      <c r="O276" s="126"/>
      <c r="P276" s="128"/>
      <c r="Q276" s="126"/>
      <c r="R276" s="126"/>
      <c r="S276" s="126"/>
      <c r="T276" s="126"/>
      <c r="U276" s="126"/>
      <c r="V276" s="139"/>
      <c r="W276" s="25"/>
    </row>
    <row r="277" spans="1:23" ht="19.95" customHeight="1">
      <c r="A277" s="361"/>
      <c r="B277" s="145"/>
      <c r="C277" s="126"/>
      <c r="D277" s="126"/>
      <c r="E277" s="126"/>
      <c r="F277" s="126"/>
      <c r="G277" s="125"/>
      <c r="H277" s="126"/>
      <c r="I277" s="126"/>
      <c r="J277" s="127"/>
      <c r="K277" s="126"/>
      <c r="L277" s="126"/>
      <c r="M277" s="128"/>
      <c r="N277" s="126"/>
      <c r="O277" s="126"/>
      <c r="P277" s="128"/>
      <c r="Q277" s="126"/>
      <c r="R277" s="126"/>
      <c r="S277" s="126"/>
      <c r="T277" s="126"/>
      <c r="U277" s="126"/>
      <c r="V277" s="139"/>
      <c r="W277" s="25"/>
    </row>
    <row r="278" spans="1:23" ht="19.95" customHeight="1">
      <c r="A278" s="361"/>
      <c r="B278" s="145"/>
      <c r="C278" s="126"/>
      <c r="D278" s="126"/>
      <c r="E278" s="126"/>
      <c r="F278" s="126"/>
      <c r="G278" s="125"/>
      <c r="H278" s="126"/>
      <c r="I278" s="126"/>
      <c r="J278" s="127"/>
      <c r="K278" s="126"/>
      <c r="L278" s="126"/>
      <c r="M278" s="128"/>
      <c r="N278" s="126"/>
      <c r="O278" s="126"/>
      <c r="P278" s="128"/>
      <c r="Q278" s="126"/>
      <c r="R278" s="126"/>
      <c r="S278" s="126"/>
      <c r="T278" s="126"/>
      <c r="U278" s="126"/>
      <c r="V278" s="139"/>
      <c r="W278" s="25"/>
    </row>
    <row r="279" spans="1:23" ht="19.95" customHeight="1">
      <c r="A279" s="361"/>
      <c r="B279" s="145"/>
      <c r="C279" s="126"/>
      <c r="D279" s="126"/>
      <c r="E279" s="126"/>
      <c r="F279" s="126"/>
      <c r="G279" s="125"/>
      <c r="H279" s="126"/>
      <c r="I279" s="126"/>
      <c r="J279" s="127"/>
      <c r="K279" s="126"/>
      <c r="L279" s="126"/>
      <c r="M279" s="128"/>
      <c r="N279" s="126"/>
      <c r="O279" s="126"/>
      <c r="P279" s="128"/>
      <c r="Q279" s="126"/>
      <c r="R279" s="126"/>
      <c r="S279" s="126"/>
      <c r="T279" s="126"/>
      <c r="U279" s="126"/>
      <c r="V279" s="139"/>
      <c r="W279" s="25"/>
    </row>
    <row r="280" spans="1:23" ht="19.95" customHeight="1" thickBot="1">
      <c r="A280" s="362"/>
      <c r="B280" s="146"/>
      <c r="C280" s="140"/>
      <c r="D280" s="140"/>
      <c r="E280" s="140"/>
      <c r="F280" s="140"/>
      <c r="G280" s="141"/>
      <c r="H280" s="140"/>
      <c r="I280" s="140"/>
      <c r="J280" s="142"/>
      <c r="K280" s="140"/>
      <c r="L280" s="140"/>
      <c r="M280" s="143"/>
      <c r="N280" s="140"/>
      <c r="O280" s="140"/>
      <c r="P280" s="143"/>
      <c r="Q280" s="140"/>
      <c r="R280" s="140"/>
      <c r="S280" s="140"/>
      <c r="T280" s="140"/>
      <c r="U280" s="140"/>
      <c r="V280" s="144"/>
      <c r="W280" s="25"/>
    </row>
    <row r="281" spans="1:23" ht="19.95" customHeight="1">
      <c r="A281" s="360" t="str">
        <f>'Read Me First'!C15</f>
        <v>Waverley Athletics Club</v>
      </c>
      <c r="B281" s="133" cm="1">
        <f t="array" ref="B281:V290">_xlfn.LET(_xlpm.x, _xlfn._xlws.SORT(_xlfn._xlws.FILTER(Data!$A$249:$U$536,(Data!$C$249:$C$536=$A281)*(Data!$D$249:$D$536=$E$196)*(Data!$E$249:$E$536="U10")),18),_xlpm.y,_xlfn._xlws.SORT(_xlfn._xlws.FILTER(Data!$A$249:$U$536,(Data!$C$249:$C$536=$A281)*(Data!$D$249:$D$536=$E$196)*(Data!$E$249:$E$536="U12")),19), IFERROR(_xlfn.VSTACK(_xlpm.x,_xlpm.y), IFERROR(_xlpm.y,IFERROR(_xlpm.x, ""))))</f>
        <v>91</v>
      </c>
      <c r="C281" s="134" t="str">
        <v>NOAH BARKER</v>
      </c>
      <c r="D281" s="134" t="str">
        <v>Waverley Athletics Club</v>
      </c>
      <c r="E281" s="134" t="str">
        <v>BOYS</v>
      </c>
      <c r="F281" s="134" t="str">
        <v>U12</v>
      </c>
      <c r="G281" s="135">
        <v>10.8</v>
      </c>
      <c r="H281" s="134">
        <v>110</v>
      </c>
      <c r="I281" s="134" t="str">
        <v>PB9</v>
      </c>
      <c r="J281" s="136">
        <v>0</v>
      </c>
      <c r="K281" s="134">
        <v>0</v>
      </c>
      <c r="L281" s="134" t="str">
        <v/>
      </c>
      <c r="M281" s="137">
        <v>3.82</v>
      </c>
      <c r="N281" s="134">
        <v>92</v>
      </c>
      <c r="O281" s="134" t="str">
        <v>PB8</v>
      </c>
      <c r="P281" s="137">
        <v>25.72</v>
      </c>
      <c r="Q281" s="134">
        <v>78</v>
      </c>
      <c r="R281" s="134">
        <v>280</v>
      </c>
      <c r="S281" s="134" t="str">
        <v/>
      </c>
      <c r="T281" s="134">
        <v>1</v>
      </c>
      <c r="U281" s="134" t="str">
        <v/>
      </c>
      <c r="V281" s="138">
        <v>18</v>
      </c>
      <c r="W281" s="25"/>
    </row>
    <row r="282" spans="1:23" ht="19.95" customHeight="1">
      <c r="A282" s="361"/>
      <c r="B282" s="145">
        <v>92</v>
      </c>
      <c r="C282" s="126" t="str">
        <v>BLAKE BARNES</v>
      </c>
      <c r="D282" s="126" t="str">
        <v>Waverley Athletics Club</v>
      </c>
      <c r="E282" s="126" t="str">
        <v>BOYS</v>
      </c>
      <c r="F282" s="126" t="str">
        <v>U12</v>
      </c>
      <c r="G282" s="125">
        <v>12</v>
      </c>
      <c r="H282" s="126">
        <v>80</v>
      </c>
      <c r="I282" s="126" t="str">
        <v>PB7</v>
      </c>
      <c r="J282" s="127">
        <v>1.4756944444444444E-3</v>
      </c>
      <c r="K282" s="126">
        <v>45</v>
      </c>
      <c r="L282" s="126" t="str">
        <v>PB3</v>
      </c>
      <c r="M282" s="128">
        <v>3.29</v>
      </c>
      <c r="N282" s="126">
        <v>71</v>
      </c>
      <c r="O282" s="126" t="str">
        <v>PB6</v>
      </c>
      <c r="P282" s="128">
        <v>24.46</v>
      </c>
      <c r="Q282" s="126">
        <v>72</v>
      </c>
      <c r="R282" s="126">
        <v>268</v>
      </c>
      <c r="S282" s="126" t="str">
        <v/>
      </c>
      <c r="T282" s="126">
        <v>2</v>
      </c>
      <c r="U282" s="126" t="str">
        <v/>
      </c>
      <c r="V282" s="139">
        <v>23</v>
      </c>
      <c r="W282" s="25"/>
    </row>
    <row r="283" spans="1:23" ht="19.95" customHeight="1">
      <c r="A283" s="361"/>
      <c r="B283" s="145">
        <v>93</v>
      </c>
      <c r="C283" s="126" t="str">
        <v>BEN QUICK</v>
      </c>
      <c r="D283" s="126" t="str">
        <v>Waverley Athletics Club</v>
      </c>
      <c r="E283" s="126" t="str">
        <v>BOYS</v>
      </c>
      <c r="F283" s="126" t="str">
        <v>U12</v>
      </c>
      <c r="G283" s="125">
        <v>12.8</v>
      </c>
      <c r="H283" s="126">
        <v>64</v>
      </c>
      <c r="I283" s="126" t="str">
        <v>PB5</v>
      </c>
      <c r="J283" s="127">
        <v>1.6932870370370372E-3</v>
      </c>
      <c r="K283" s="126">
        <v>23</v>
      </c>
      <c r="L283" s="126" t="str">
        <v>PB1</v>
      </c>
      <c r="M283" s="128">
        <v>1.76</v>
      </c>
      <c r="N283" s="126">
        <v>12</v>
      </c>
      <c r="O283" s="126" t="str">
        <v/>
      </c>
      <c r="P283" s="128">
        <v>24.15</v>
      </c>
      <c r="Q283" s="126">
        <v>70</v>
      </c>
      <c r="R283" s="126">
        <v>169</v>
      </c>
      <c r="S283" s="126" t="str">
        <v/>
      </c>
      <c r="T283" s="126">
        <v>3</v>
      </c>
      <c r="U283" s="126" t="str">
        <v/>
      </c>
      <c r="V283" s="139">
        <v>41</v>
      </c>
      <c r="W283" s="25"/>
    </row>
    <row r="284" spans="1:23" ht="19.95" customHeight="1">
      <c r="A284" s="361"/>
      <c r="B284" s="145">
        <v>95</v>
      </c>
      <c r="C284" s="126" t="str">
        <v>LEONARDO OLALEMI</v>
      </c>
      <c r="D284" s="126" t="str">
        <v>Waverley Athletics Club</v>
      </c>
      <c r="E284" s="126" t="str">
        <v>BOYS</v>
      </c>
      <c r="F284" s="126" t="str">
        <v>U12</v>
      </c>
      <c r="G284" s="125" t="str">
        <v/>
      </c>
      <c r="H284" s="126">
        <v>0</v>
      </c>
      <c r="I284" s="126" t="str">
        <v/>
      </c>
      <c r="J284" s="127">
        <v>0</v>
      </c>
      <c r="K284" s="126">
        <v>0</v>
      </c>
      <c r="L284" s="126" t="str">
        <v/>
      </c>
      <c r="M284" s="128">
        <v>2.29</v>
      </c>
      <c r="N284" s="126">
        <v>31</v>
      </c>
      <c r="O284" s="126" t="str">
        <v>PB2</v>
      </c>
      <c r="P284" s="128">
        <v>36.99</v>
      </c>
      <c r="Q284" s="126">
        <v>125</v>
      </c>
      <c r="R284" s="126">
        <v>156</v>
      </c>
      <c r="S284" s="126" t="str">
        <v/>
      </c>
      <c r="T284" s="126">
        <v>4</v>
      </c>
      <c r="U284" s="126" t="str">
        <v/>
      </c>
      <c r="V284" s="139">
        <v>44</v>
      </c>
      <c r="W284" s="19"/>
    </row>
    <row r="285" spans="1:23" ht="19.95" customHeight="1">
      <c r="A285" s="361"/>
      <c r="B285" s="145">
        <v>96</v>
      </c>
      <c r="C285" s="126" t="str">
        <v>TADHG WATSON</v>
      </c>
      <c r="D285" s="126" t="str">
        <v>Waverley Athletics Club</v>
      </c>
      <c r="E285" s="126" t="str">
        <v>BOYS</v>
      </c>
      <c r="F285" s="126" t="str">
        <v>U12</v>
      </c>
      <c r="G285" s="125" t="str">
        <v/>
      </c>
      <c r="H285" s="126">
        <v>0</v>
      </c>
      <c r="I285" s="126" t="str">
        <v/>
      </c>
      <c r="J285" s="127">
        <v>1.5312500000000001E-3</v>
      </c>
      <c r="K285" s="126">
        <v>37</v>
      </c>
      <c r="L285" s="126" t="str">
        <v>PB2</v>
      </c>
      <c r="M285" s="128">
        <v>2.92</v>
      </c>
      <c r="N285" s="126">
        <v>56</v>
      </c>
      <c r="O285" s="126" t="str">
        <v>PB4</v>
      </c>
      <c r="P285" s="128">
        <v>0</v>
      </c>
      <c r="Q285" s="126">
        <v>0</v>
      </c>
      <c r="R285" s="126">
        <v>93</v>
      </c>
      <c r="S285" s="126" t="str">
        <v/>
      </c>
      <c r="T285" s="126">
        <v>5</v>
      </c>
      <c r="U285" s="126" t="str">
        <v/>
      </c>
      <c r="V285" s="139">
        <v>47</v>
      </c>
      <c r="W285" s="25"/>
    </row>
    <row r="286" spans="1:23" ht="19.95" customHeight="1">
      <c r="A286" s="361"/>
      <c r="B286" s="145">
        <v>94</v>
      </c>
      <c r="C286" s="126" t="str">
        <v>DANIEL BURKE</v>
      </c>
      <c r="D286" s="126" t="str">
        <v>Waverley Athletics Club</v>
      </c>
      <c r="E286" s="126" t="str">
        <v>BOYS</v>
      </c>
      <c r="F286" s="126" t="str">
        <v>U12</v>
      </c>
      <c r="G286" s="125" t="str">
        <v/>
      </c>
      <c r="H286" s="126">
        <v>0</v>
      </c>
      <c r="I286" s="126" t="str">
        <v/>
      </c>
      <c r="J286" s="127">
        <v>0</v>
      </c>
      <c r="K286" s="126">
        <v>0</v>
      </c>
      <c r="L286" s="126" t="str">
        <v/>
      </c>
      <c r="M286" s="128">
        <v>0</v>
      </c>
      <c r="N286" s="126">
        <v>0</v>
      </c>
      <c r="O286" s="126" t="str">
        <v/>
      </c>
      <c r="P286" s="128">
        <v>0</v>
      </c>
      <c r="Q286" s="126">
        <v>0</v>
      </c>
      <c r="R286" s="126">
        <v>0</v>
      </c>
      <c r="S286" s="126" t="str">
        <v/>
      </c>
      <c r="T286" s="126" t="str">
        <v/>
      </c>
      <c r="U286" s="126" t="str">
        <v/>
      </c>
      <c r="V286" s="139" t="str">
        <v/>
      </c>
      <c r="W286" s="25"/>
    </row>
    <row r="287" spans="1:23" ht="19.95" customHeight="1">
      <c r="A287" s="361"/>
      <c r="B287" s="145">
        <v>97</v>
      </c>
      <c r="C287" s="126" t="str">
        <v>STAN CLIPSHAM</v>
      </c>
      <c r="D287" s="126" t="str">
        <v>Waverley Athletics Club</v>
      </c>
      <c r="E287" s="126" t="str">
        <v>BOYS</v>
      </c>
      <c r="F287" s="126" t="str">
        <v>U12</v>
      </c>
      <c r="G287" s="125" t="str">
        <v/>
      </c>
      <c r="H287" s="126">
        <v>0</v>
      </c>
      <c r="I287" s="126" t="str">
        <v/>
      </c>
      <c r="J287" s="127">
        <v>0</v>
      </c>
      <c r="K287" s="126">
        <v>0</v>
      </c>
      <c r="L287" s="126" t="str">
        <v/>
      </c>
      <c r="M287" s="128">
        <v>0</v>
      </c>
      <c r="N287" s="126">
        <v>0</v>
      </c>
      <c r="O287" s="126" t="str">
        <v/>
      </c>
      <c r="P287" s="128">
        <v>0</v>
      </c>
      <c r="Q287" s="126">
        <v>0</v>
      </c>
      <c r="R287" s="126">
        <v>0</v>
      </c>
      <c r="S287" s="126" t="str">
        <v/>
      </c>
      <c r="T287" s="126" t="str">
        <v/>
      </c>
      <c r="U287" s="126" t="str">
        <v/>
      </c>
      <c r="V287" s="139" t="str">
        <v/>
      </c>
      <c r="W287" s="25"/>
    </row>
    <row r="288" spans="1:23" ht="19.95" customHeight="1">
      <c r="A288" s="361"/>
      <c r="B288" s="145">
        <v>98</v>
      </c>
      <c r="C288" s="126" t="str">
        <v/>
      </c>
      <c r="D288" s="126" t="str">
        <v>Waverley Athletics Club</v>
      </c>
      <c r="E288" s="126" t="str">
        <v>BOYS</v>
      </c>
      <c r="F288" s="126" t="str">
        <v>U12</v>
      </c>
      <c r="G288" s="125" t="str">
        <v/>
      </c>
      <c r="H288" s="126">
        <v>0</v>
      </c>
      <c r="I288" s="126" t="str">
        <v/>
      </c>
      <c r="J288" s="127">
        <v>0</v>
      </c>
      <c r="K288" s="126">
        <v>0</v>
      </c>
      <c r="L288" s="126" t="str">
        <v/>
      </c>
      <c r="M288" s="128" t="str">
        <v/>
      </c>
      <c r="N288" s="126">
        <v>0</v>
      </c>
      <c r="O288" s="126" t="str">
        <v/>
      </c>
      <c r="P288" s="128" t="str">
        <v/>
      </c>
      <c r="Q288" s="126">
        <v>0</v>
      </c>
      <c r="R288" s="126">
        <v>0</v>
      </c>
      <c r="S288" s="126" t="str">
        <v/>
      </c>
      <c r="T288" s="126" t="str">
        <v/>
      </c>
      <c r="U288" s="126" t="str">
        <v/>
      </c>
      <c r="V288" s="139" t="str">
        <v/>
      </c>
      <c r="W288" s="25"/>
    </row>
    <row r="289" spans="1:23" ht="19.95" customHeight="1">
      <c r="A289" s="361"/>
      <c r="B289" s="145">
        <v>99</v>
      </c>
      <c r="C289" s="126" t="str">
        <v/>
      </c>
      <c r="D289" s="126" t="str">
        <v>Waverley Athletics Club</v>
      </c>
      <c r="E289" s="126" t="str">
        <v>BOYS</v>
      </c>
      <c r="F289" s="126" t="str">
        <v>U12</v>
      </c>
      <c r="G289" s="125" t="str">
        <v/>
      </c>
      <c r="H289" s="126">
        <v>0</v>
      </c>
      <c r="I289" s="126" t="str">
        <v/>
      </c>
      <c r="J289" s="127">
        <v>0</v>
      </c>
      <c r="K289" s="126">
        <v>0</v>
      </c>
      <c r="L289" s="126" t="str">
        <v/>
      </c>
      <c r="M289" s="128" t="str">
        <v/>
      </c>
      <c r="N289" s="126">
        <v>0</v>
      </c>
      <c r="O289" s="126" t="str">
        <v/>
      </c>
      <c r="P289" s="128" t="str">
        <v/>
      </c>
      <c r="Q289" s="126">
        <v>0</v>
      </c>
      <c r="R289" s="126">
        <v>0</v>
      </c>
      <c r="S289" s="126" t="str">
        <v/>
      </c>
      <c r="T289" s="126" t="str">
        <v/>
      </c>
      <c r="U289" s="126" t="str">
        <v/>
      </c>
      <c r="V289" s="139" t="str">
        <v/>
      </c>
      <c r="W289" s="25"/>
    </row>
    <row r="290" spans="1:23" ht="19.95" customHeight="1">
      <c r="A290" s="361"/>
      <c r="B290" s="145">
        <v>100</v>
      </c>
      <c r="C290" s="126" t="str">
        <v/>
      </c>
      <c r="D290" s="126" t="str">
        <v>Waverley Athletics Club</v>
      </c>
      <c r="E290" s="126" t="str">
        <v>BOYS</v>
      </c>
      <c r="F290" s="126" t="str">
        <v>U12</v>
      </c>
      <c r="G290" s="125" t="str">
        <v/>
      </c>
      <c r="H290" s="126">
        <v>0</v>
      </c>
      <c r="I290" s="126" t="str">
        <v/>
      </c>
      <c r="J290" s="127">
        <v>0</v>
      </c>
      <c r="K290" s="126">
        <v>0</v>
      </c>
      <c r="L290" s="126" t="str">
        <v/>
      </c>
      <c r="M290" s="128" t="str">
        <v/>
      </c>
      <c r="N290" s="126">
        <v>0</v>
      </c>
      <c r="O290" s="126" t="str">
        <v/>
      </c>
      <c r="P290" s="128" t="str">
        <v/>
      </c>
      <c r="Q290" s="126">
        <v>0</v>
      </c>
      <c r="R290" s="126">
        <v>0</v>
      </c>
      <c r="S290" s="126" t="str">
        <v/>
      </c>
      <c r="T290" s="126" t="str">
        <v/>
      </c>
      <c r="U290" s="126" t="str">
        <v/>
      </c>
      <c r="V290" s="139" t="str">
        <v/>
      </c>
      <c r="W290" s="25"/>
    </row>
    <row r="291" spans="1:23" ht="19.95" customHeight="1">
      <c r="A291" s="361"/>
      <c r="B291" s="145"/>
      <c r="C291" s="126"/>
      <c r="D291" s="126"/>
      <c r="E291" s="126"/>
      <c r="F291" s="126"/>
      <c r="G291" s="125"/>
      <c r="H291" s="126"/>
      <c r="I291" s="126"/>
      <c r="J291" s="127"/>
      <c r="K291" s="126"/>
      <c r="L291" s="126"/>
      <c r="M291" s="128"/>
      <c r="N291" s="126"/>
      <c r="O291" s="126"/>
      <c r="P291" s="128"/>
      <c r="Q291" s="126"/>
      <c r="R291" s="126"/>
      <c r="S291" s="126"/>
      <c r="T291" s="126"/>
      <c r="U291" s="126"/>
      <c r="V291" s="139"/>
      <c r="W291" s="25"/>
    </row>
    <row r="292" spans="1:23" ht="19.95" customHeight="1">
      <c r="A292" s="361"/>
      <c r="B292" s="145"/>
      <c r="C292" s="126"/>
      <c r="D292" s="126"/>
      <c r="E292" s="126"/>
      <c r="F292" s="126"/>
      <c r="G292" s="125"/>
      <c r="H292" s="126"/>
      <c r="I292" s="126"/>
      <c r="J292" s="127"/>
      <c r="K292" s="126"/>
      <c r="L292" s="126"/>
      <c r="M292" s="128"/>
      <c r="N292" s="126"/>
      <c r="O292" s="126"/>
      <c r="P292" s="128"/>
      <c r="Q292" s="126"/>
      <c r="R292" s="126"/>
      <c r="S292" s="126"/>
      <c r="T292" s="126"/>
      <c r="U292" s="126"/>
      <c r="V292" s="139"/>
      <c r="W292" s="25"/>
    </row>
    <row r="293" spans="1:23" ht="19.95" customHeight="1">
      <c r="A293" s="361"/>
      <c r="B293" s="145"/>
      <c r="C293" s="126"/>
      <c r="D293" s="126"/>
      <c r="E293" s="126"/>
      <c r="F293" s="126"/>
      <c r="G293" s="125"/>
      <c r="H293" s="126"/>
      <c r="I293" s="126"/>
      <c r="J293" s="127"/>
      <c r="K293" s="126"/>
      <c r="L293" s="126"/>
      <c r="M293" s="128"/>
      <c r="N293" s="126"/>
      <c r="O293" s="126"/>
      <c r="P293" s="128"/>
      <c r="Q293" s="126"/>
      <c r="R293" s="126"/>
      <c r="S293" s="126"/>
      <c r="T293" s="126"/>
      <c r="U293" s="126"/>
      <c r="V293" s="139"/>
      <c r="W293" s="25"/>
    </row>
    <row r="294" spans="1:23" ht="19.95" customHeight="1">
      <c r="A294" s="361"/>
      <c r="B294" s="145"/>
      <c r="C294" s="126"/>
      <c r="D294" s="126"/>
      <c r="E294" s="126"/>
      <c r="F294" s="126"/>
      <c r="G294" s="125"/>
      <c r="H294" s="126"/>
      <c r="I294" s="126"/>
      <c r="J294" s="127"/>
      <c r="K294" s="126"/>
      <c r="L294" s="126"/>
      <c r="M294" s="128"/>
      <c r="N294" s="126"/>
      <c r="O294" s="126"/>
      <c r="P294" s="128"/>
      <c r="Q294" s="126"/>
      <c r="R294" s="126"/>
      <c r="S294" s="126"/>
      <c r="T294" s="126"/>
      <c r="U294" s="126"/>
      <c r="V294" s="139"/>
      <c r="W294" s="25"/>
    </row>
    <row r="295" spans="1:23" ht="19.95" customHeight="1">
      <c r="A295" s="361"/>
      <c r="B295" s="145"/>
      <c r="C295" s="126"/>
      <c r="D295" s="126"/>
      <c r="E295" s="126"/>
      <c r="F295" s="126"/>
      <c r="G295" s="125"/>
      <c r="H295" s="126"/>
      <c r="I295" s="126"/>
      <c r="J295" s="127"/>
      <c r="K295" s="126"/>
      <c r="L295" s="126"/>
      <c r="M295" s="128"/>
      <c r="N295" s="126"/>
      <c r="O295" s="126"/>
      <c r="P295" s="128"/>
      <c r="Q295" s="126"/>
      <c r="R295" s="126"/>
      <c r="S295" s="126"/>
      <c r="T295" s="126"/>
      <c r="U295" s="126"/>
      <c r="V295" s="139"/>
      <c r="W295" s="25"/>
    </row>
    <row r="296" spans="1:23" ht="19.95" customHeight="1">
      <c r="A296" s="361"/>
      <c r="B296" s="145"/>
      <c r="C296" s="126"/>
      <c r="D296" s="126"/>
      <c r="E296" s="126"/>
      <c r="F296" s="126"/>
      <c r="G296" s="125"/>
      <c r="H296" s="126"/>
      <c r="I296" s="126"/>
      <c r="J296" s="127"/>
      <c r="K296" s="126"/>
      <c r="L296" s="126"/>
      <c r="M296" s="128"/>
      <c r="N296" s="126"/>
      <c r="O296" s="126"/>
      <c r="P296" s="128"/>
      <c r="Q296" s="126"/>
      <c r="R296" s="126"/>
      <c r="S296" s="126"/>
      <c r="T296" s="126"/>
      <c r="U296" s="126"/>
      <c r="V296" s="139"/>
      <c r="W296" s="25"/>
    </row>
    <row r="297" spans="1:23" ht="19.95" customHeight="1">
      <c r="A297" s="361"/>
      <c r="B297" s="145"/>
      <c r="C297" s="126"/>
      <c r="D297" s="126"/>
      <c r="E297" s="126"/>
      <c r="F297" s="126"/>
      <c r="G297" s="125"/>
      <c r="H297" s="126"/>
      <c r="I297" s="126"/>
      <c r="J297" s="127"/>
      <c r="K297" s="126"/>
      <c r="L297" s="126"/>
      <c r="M297" s="128"/>
      <c r="N297" s="126"/>
      <c r="O297" s="126"/>
      <c r="P297" s="128"/>
      <c r="Q297" s="126"/>
      <c r="R297" s="126"/>
      <c r="S297" s="126"/>
      <c r="T297" s="126"/>
      <c r="U297" s="126"/>
      <c r="V297" s="139"/>
      <c r="W297" s="25"/>
    </row>
    <row r="298" spans="1:23" ht="19.95" customHeight="1">
      <c r="A298" s="361"/>
      <c r="B298" s="145"/>
      <c r="C298" s="126"/>
      <c r="D298" s="126"/>
      <c r="E298" s="126"/>
      <c r="F298" s="126"/>
      <c r="G298" s="125"/>
      <c r="H298" s="126"/>
      <c r="I298" s="126"/>
      <c r="J298" s="127"/>
      <c r="K298" s="126"/>
      <c r="L298" s="126"/>
      <c r="M298" s="128"/>
      <c r="N298" s="126"/>
      <c r="O298" s="126"/>
      <c r="P298" s="128"/>
      <c r="Q298" s="126"/>
      <c r="R298" s="126"/>
      <c r="S298" s="126"/>
      <c r="T298" s="126"/>
      <c r="U298" s="126"/>
      <c r="V298" s="139"/>
      <c r="W298" s="25"/>
    </row>
    <row r="299" spans="1:23" ht="19.95" customHeight="1">
      <c r="A299" s="361"/>
      <c r="B299" s="145"/>
      <c r="C299" s="126"/>
      <c r="D299" s="126"/>
      <c r="E299" s="126"/>
      <c r="F299" s="126"/>
      <c r="G299" s="125"/>
      <c r="H299" s="126"/>
      <c r="I299" s="126"/>
      <c r="J299" s="127"/>
      <c r="K299" s="126"/>
      <c r="L299" s="126"/>
      <c r="M299" s="128"/>
      <c r="N299" s="126"/>
      <c r="O299" s="126"/>
      <c r="P299" s="128"/>
      <c r="Q299" s="126"/>
      <c r="R299" s="126"/>
      <c r="S299" s="126"/>
      <c r="T299" s="126"/>
      <c r="U299" s="126"/>
      <c r="V299" s="139"/>
      <c r="W299" s="25"/>
    </row>
    <row r="300" spans="1:23" ht="19.95" customHeight="1" thickBot="1">
      <c r="A300" s="362"/>
      <c r="B300" s="146"/>
      <c r="C300" s="140"/>
      <c r="D300" s="140"/>
      <c r="E300" s="140"/>
      <c r="F300" s="140"/>
      <c r="G300" s="141"/>
      <c r="H300" s="140"/>
      <c r="I300" s="140"/>
      <c r="J300" s="142"/>
      <c r="K300" s="140"/>
      <c r="L300" s="140"/>
      <c r="M300" s="143"/>
      <c r="N300" s="140"/>
      <c r="O300" s="140"/>
      <c r="P300" s="143"/>
      <c r="Q300" s="140"/>
      <c r="R300" s="140"/>
      <c r="S300" s="140"/>
      <c r="T300" s="140"/>
      <c r="U300" s="140"/>
      <c r="V300" s="144"/>
      <c r="W300" s="25"/>
    </row>
    <row r="301" spans="1:23" ht="19.95" customHeight="1">
      <c r="A301" s="360" t="str">
        <f>'Read Me First'!C16</f>
        <v>Basingstoke &amp; Mid Hants AC</v>
      </c>
      <c r="B301" s="133" cm="1">
        <f t="array" ref="B301:V310">_xlfn.LET(_xlpm.x, _xlfn._xlws.SORT(_xlfn._xlws.FILTER(Data!$A$249:$U$536,(Data!$C$249:$C$536=$A301)*(Data!$D$249:$D$536=$E$196)*(Data!$E$249:$E$536="U10")),18),_xlpm.y,_xlfn._xlws.SORT(_xlfn._xlws.FILTER(Data!$A$249:$U$536,(Data!$C$249:$C$536=$A301)*(Data!$D$249:$D$536=$E$196)*(Data!$E$249:$E$536="U12")),19), IFERROR(_xlfn.VSTACK(_xlpm.x,_xlpm.y), IFERROR(_xlpm.y,IFERROR(_xlpm.x, ""))))</f>
        <v>112</v>
      </c>
      <c r="C301" s="134" t="str">
        <v>NOAH GRAHAM</v>
      </c>
      <c r="D301" s="134" t="str">
        <v>Basingstoke &amp; Mid Hants AC</v>
      </c>
      <c r="E301" s="134" t="str">
        <v>BOYS</v>
      </c>
      <c r="F301" s="134" t="str">
        <v>U12</v>
      </c>
      <c r="G301" s="135">
        <v>11.3</v>
      </c>
      <c r="H301" s="134">
        <v>97</v>
      </c>
      <c r="I301" s="134" t="str">
        <v>PB8</v>
      </c>
      <c r="J301" s="136">
        <v>1.3287037037037037E-3</v>
      </c>
      <c r="K301" s="134">
        <v>70</v>
      </c>
      <c r="L301" s="134" t="str">
        <v>PB6</v>
      </c>
      <c r="M301" s="137">
        <v>3.82</v>
      </c>
      <c r="N301" s="134">
        <v>92</v>
      </c>
      <c r="O301" s="134" t="str">
        <v>PB8</v>
      </c>
      <c r="P301" s="137">
        <v>33.53</v>
      </c>
      <c r="Q301" s="134">
        <v>117</v>
      </c>
      <c r="R301" s="134">
        <v>376</v>
      </c>
      <c r="S301" s="134" t="str">
        <v/>
      </c>
      <c r="T301" s="134">
        <v>1</v>
      </c>
      <c r="U301" s="134" t="str">
        <v/>
      </c>
      <c r="V301" s="138">
        <v>3</v>
      </c>
      <c r="W301" s="25"/>
    </row>
    <row r="302" spans="1:23" ht="19.95" customHeight="1">
      <c r="A302" s="361"/>
      <c r="B302" s="145">
        <v>113</v>
      </c>
      <c r="C302" s="126" t="str">
        <v>ROME ALEXANDER SOLOMAN</v>
      </c>
      <c r="D302" s="126" t="str">
        <v>Basingstoke &amp; Mid Hants AC</v>
      </c>
      <c r="E302" s="126" t="str">
        <v>BOYS</v>
      </c>
      <c r="F302" s="126" t="str">
        <v>U12</v>
      </c>
      <c r="G302" s="125">
        <v>10.8</v>
      </c>
      <c r="H302" s="126">
        <v>110</v>
      </c>
      <c r="I302" s="126" t="str">
        <v>PB9</v>
      </c>
      <c r="J302" s="127">
        <v>1.4108796296296298E-3</v>
      </c>
      <c r="K302" s="126">
        <v>56</v>
      </c>
      <c r="L302" s="126" t="str">
        <v>PB4</v>
      </c>
      <c r="M302" s="128">
        <v>3.93</v>
      </c>
      <c r="N302" s="126">
        <v>96</v>
      </c>
      <c r="O302" s="126" t="str">
        <v>PB8</v>
      </c>
      <c r="P302" s="128">
        <v>23.78</v>
      </c>
      <c r="Q302" s="126">
        <v>68</v>
      </c>
      <c r="R302" s="126">
        <v>330</v>
      </c>
      <c r="S302" s="126" t="str">
        <v/>
      </c>
      <c r="T302" s="126">
        <v>2</v>
      </c>
      <c r="U302" s="126" t="str">
        <v/>
      </c>
      <c r="V302" s="139">
        <v>9</v>
      </c>
      <c r="W302" s="25"/>
    </row>
    <row r="303" spans="1:23" ht="19.95" customHeight="1">
      <c r="A303" s="361"/>
      <c r="B303" s="145">
        <v>118</v>
      </c>
      <c r="C303" s="126" t="str">
        <v>TOBY POWELL</v>
      </c>
      <c r="D303" s="126" t="str">
        <v>Basingstoke &amp; Mid Hants AC</v>
      </c>
      <c r="E303" s="126" t="str">
        <v>BOYS</v>
      </c>
      <c r="F303" s="126" t="str">
        <v>U12</v>
      </c>
      <c r="G303" s="125">
        <v>12.1</v>
      </c>
      <c r="H303" s="126">
        <v>78</v>
      </c>
      <c r="I303" s="126" t="str">
        <v>PB6</v>
      </c>
      <c r="J303" s="127">
        <v>1.3368055555555555E-3</v>
      </c>
      <c r="K303" s="126">
        <v>69</v>
      </c>
      <c r="L303" s="126" t="str">
        <v>PB5</v>
      </c>
      <c r="M303" s="128">
        <v>2.98</v>
      </c>
      <c r="N303" s="126">
        <v>59</v>
      </c>
      <c r="O303" s="126" t="str">
        <v>PB4</v>
      </c>
      <c r="P303" s="128">
        <v>32.950000000000003</v>
      </c>
      <c r="Q303" s="126">
        <v>114</v>
      </c>
      <c r="R303" s="126">
        <v>320</v>
      </c>
      <c r="S303" s="126" t="str">
        <v/>
      </c>
      <c r="T303" s="126">
        <v>3</v>
      </c>
      <c r="U303" s="126" t="str">
        <v/>
      </c>
      <c r="V303" s="139">
        <v>10</v>
      </c>
      <c r="W303" s="25"/>
    </row>
    <row r="304" spans="1:23" ht="19.95" customHeight="1">
      <c r="A304" s="361"/>
      <c r="B304" s="145">
        <v>117</v>
      </c>
      <c r="C304" s="126" t="str">
        <v>JAY GOVIND</v>
      </c>
      <c r="D304" s="126" t="str">
        <v>Basingstoke &amp; Mid Hants AC</v>
      </c>
      <c r="E304" s="126" t="str">
        <v>BOYS</v>
      </c>
      <c r="F304" s="126" t="str">
        <v>U12</v>
      </c>
      <c r="G304" s="125">
        <v>11.7</v>
      </c>
      <c r="H304" s="126">
        <v>87</v>
      </c>
      <c r="I304" s="126" t="str">
        <v>PB7</v>
      </c>
      <c r="J304" s="127">
        <v>1.517361111111111E-3</v>
      </c>
      <c r="K304" s="126">
        <v>38</v>
      </c>
      <c r="L304" s="126" t="str">
        <v>PB2</v>
      </c>
      <c r="M304" s="128">
        <v>2.87</v>
      </c>
      <c r="N304" s="126">
        <v>54</v>
      </c>
      <c r="O304" s="126" t="str">
        <v>PB4</v>
      </c>
      <c r="P304" s="128">
        <v>36</v>
      </c>
      <c r="Q304" s="126">
        <v>124</v>
      </c>
      <c r="R304" s="126">
        <v>303</v>
      </c>
      <c r="S304" s="126" t="str">
        <v/>
      </c>
      <c r="T304" s="126">
        <v>4</v>
      </c>
      <c r="U304" s="126" t="str">
        <v/>
      </c>
      <c r="V304" s="139">
        <v>15</v>
      </c>
      <c r="W304" s="25"/>
    </row>
    <row r="305" spans="1:23" ht="19.95" customHeight="1">
      <c r="A305" s="361"/>
      <c r="B305" s="145">
        <v>111</v>
      </c>
      <c r="C305" s="126" t="str">
        <v>JENSON PROUT</v>
      </c>
      <c r="D305" s="126" t="str">
        <v>Basingstoke &amp; Mid Hants AC</v>
      </c>
      <c r="E305" s="126" t="str">
        <v>BOYS</v>
      </c>
      <c r="F305" s="126" t="str">
        <v>U12</v>
      </c>
      <c r="G305" s="125">
        <v>12</v>
      </c>
      <c r="H305" s="126">
        <v>80</v>
      </c>
      <c r="I305" s="126" t="str">
        <v>PB7</v>
      </c>
      <c r="J305" s="127">
        <v>1.5740740740740741E-3</v>
      </c>
      <c r="K305" s="126">
        <v>34</v>
      </c>
      <c r="L305" s="126" t="str">
        <v>PB2</v>
      </c>
      <c r="M305" s="128">
        <v>2.74</v>
      </c>
      <c r="N305" s="126">
        <v>49</v>
      </c>
      <c r="O305" s="126" t="str">
        <v>PB3</v>
      </c>
      <c r="P305" s="128">
        <v>32.86</v>
      </c>
      <c r="Q305" s="126">
        <v>114</v>
      </c>
      <c r="R305" s="126">
        <v>277</v>
      </c>
      <c r="S305" s="126" t="str">
        <v/>
      </c>
      <c r="T305" s="126">
        <v>5</v>
      </c>
      <c r="U305" s="126" t="str">
        <v/>
      </c>
      <c r="V305" s="139">
        <v>19</v>
      </c>
      <c r="W305" s="19"/>
    </row>
    <row r="306" spans="1:23" ht="19.95" customHeight="1">
      <c r="A306" s="361"/>
      <c r="B306" s="145">
        <v>114</v>
      </c>
      <c r="C306" s="126" t="str">
        <v>ISAAC STEWART</v>
      </c>
      <c r="D306" s="126" t="str">
        <v>Basingstoke &amp; Mid Hants AC</v>
      </c>
      <c r="E306" s="126" t="str">
        <v>BOYS</v>
      </c>
      <c r="F306" s="126" t="str">
        <v>U12</v>
      </c>
      <c r="G306" s="125">
        <v>11.2</v>
      </c>
      <c r="H306" s="126">
        <v>100</v>
      </c>
      <c r="I306" s="126" t="str">
        <v>PB9</v>
      </c>
      <c r="J306" s="127">
        <v>1.4675925925925926E-3</v>
      </c>
      <c r="K306" s="126">
        <v>46</v>
      </c>
      <c r="L306" s="126" t="str">
        <v>PB3</v>
      </c>
      <c r="M306" s="128">
        <v>3.56</v>
      </c>
      <c r="N306" s="126">
        <v>82</v>
      </c>
      <c r="O306" s="126" t="str">
        <v>PB7</v>
      </c>
      <c r="P306" s="128">
        <v>16.239999999999998</v>
      </c>
      <c r="Q306" s="126">
        <v>31</v>
      </c>
      <c r="R306" s="126">
        <v>259</v>
      </c>
      <c r="S306" s="126" t="str">
        <v/>
      </c>
      <c r="T306" s="126">
        <v>6</v>
      </c>
      <c r="U306" s="126" t="str">
        <v/>
      </c>
      <c r="V306" s="139">
        <v>24</v>
      </c>
      <c r="W306" s="25"/>
    </row>
    <row r="307" spans="1:23" ht="19.95" customHeight="1">
      <c r="A307" s="361"/>
      <c r="B307" s="145">
        <v>119</v>
      </c>
      <c r="C307" s="126" t="str">
        <v>ALEX WILKINSON</v>
      </c>
      <c r="D307" s="126" t="str">
        <v>Basingstoke &amp; Mid Hants AC</v>
      </c>
      <c r="E307" s="126" t="str">
        <v>BOYS</v>
      </c>
      <c r="F307" s="126" t="str">
        <v>U12</v>
      </c>
      <c r="G307" s="125">
        <v>12.5</v>
      </c>
      <c r="H307" s="126">
        <v>70</v>
      </c>
      <c r="I307" s="126" t="str">
        <v>PB6</v>
      </c>
      <c r="J307" s="127">
        <v>1.523148148148148E-3</v>
      </c>
      <c r="K307" s="126">
        <v>38</v>
      </c>
      <c r="L307" s="126" t="str">
        <v>PB2</v>
      </c>
      <c r="M307" s="128">
        <v>2.92</v>
      </c>
      <c r="N307" s="126">
        <v>56</v>
      </c>
      <c r="O307" s="126" t="str">
        <v>PB4</v>
      </c>
      <c r="P307" s="128">
        <v>26.94</v>
      </c>
      <c r="Q307" s="126">
        <v>84</v>
      </c>
      <c r="R307" s="126">
        <v>248</v>
      </c>
      <c r="S307" s="126" t="str">
        <v/>
      </c>
      <c r="T307" s="126">
        <v>7</v>
      </c>
      <c r="U307" s="126" t="str">
        <v/>
      </c>
      <c r="V307" s="139">
        <v>25</v>
      </c>
      <c r="W307" s="25"/>
    </row>
    <row r="308" spans="1:23" ht="19.95" customHeight="1">
      <c r="A308" s="361"/>
      <c r="B308" s="145">
        <v>115</v>
      </c>
      <c r="C308" s="126" t="str">
        <v>ELLIOTT LEAVEY</v>
      </c>
      <c r="D308" s="126" t="str">
        <v>Basingstoke &amp; Mid Hants AC</v>
      </c>
      <c r="E308" s="126" t="str">
        <v>BOYS</v>
      </c>
      <c r="F308" s="126" t="str">
        <v>U12</v>
      </c>
      <c r="G308" s="125">
        <v>12</v>
      </c>
      <c r="H308" s="126">
        <v>80</v>
      </c>
      <c r="I308" s="126" t="str">
        <v>PB7</v>
      </c>
      <c r="J308" s="127">
        <v>1.5648148148148147E-3</v>
      </c>
      <c r="K308" s="126">
        <v>34</v>
      </c>
      <c r="L308" s="126" t="str">
        <v>PB2</v>
      </c>
      <c r="M308" s="128">
        <v>2.36</v>
      </c>
      <c r="N308" s="126">
        <v>33</v>
      </c>
      <c r="O308" s="126" t="str">
        <v>PB2</v>
      </c>
      <c r="P308" s="128">
        <v>27.31</v>
      </c>
      <c r="Q308" s="126">
        <v>86</v>
      </c>
      <c r="R308" s="126">
        <v>233</v>
      </c>
      <c r="S308" s="126" t="str">
        <v/>
      </c>
      <c r="T308" s="126">
        <v>8</v>
      </c>
      <c r="U308" s="126" t="str">
        <v/>
      </c>
      <c r="V308" s="139">
        <v>31</v>
      </c>
      <c r="W308" s="25"/>
    </row>
    <row r="309" spans="1:23" ht="19.95" customHeight="1">
      <c r="A309" s="361"/>
      <c r="B309" s="145">
        <v>120</v>
      </c>
      <c r="C309" s="126" t="str">
        <v>ETHAN WEIGHT</v>
      </c>
      <c r="D309" s="126" t="str">
        <v>Basingstoke &amp; Mid Hants AC</v>
      </c>
      <c r="E309" s="126" t="str">
        <v>BOYS</v>
      </c>
      <c r="F309" s="126" t="str">
        <v>U12</v>
      </c>
      <c r="G309" s="125">
        <v>12.2</v>
      </c>
      <c r="H309" s="126">
        <v>76</v>
      </c>
      <c r="I309" s="126" t="str">
        <v>PB6</v>
      </c>
      <c r="J309" s="127">
        <v>1.5671296296296297E-3</v>
      </c>
      <c r="K309" s="126">
        <v>34</v>
      </c>
      <c r="L309" s="126" t="str">
        <v>PB2</v>
      </c>
      <c r="M309" s="128">
        <v>2.56</v>
      </c>
      <c r="N309" s="126">
        <v>42</v>
      </c>
      <c r="O309" s="126" t="str">
        <v>PB3</v>
      </c>
      <c r="P309" s="128">
        <v>15.66</v>
      </c>
      <c r="Q309" s="126">
        <v>28</v>
      </c>
      <c r="R309" s="126">
        <v>180</v>
      </c>
      <c r="S309" s="126" t="str">
        <v/>
      </c>
      <c r="T309" s="126">
        <v>9</v>
      </c>
      <c r="U309" s="126" t="str">
        <v/>
      </c>
      <c r="V309" s="139">
        <v>39</v>
      </c>
      <c r="W309" s="25"/>
    </row>
    <row r="310" spans="1:23" ht="19.95" customHeight="1">
      <c r="A310" s="361"/>
      <c r="B310" s="145">
        <v>116</v>
      </c>
      <c r="C310" s="126" t="str">
        <v>MYLES GODDARD</v>
      </c>
      <c r="D310" s="126" t="str">
        <v>Basingstoke &amp; Mid Hants AC</v>
      </c>
      <c r="E310" s="126" t="str">
        <v>BOYS</v>
      </c>
      <c r="F310" s="126" t="str">
        <v>U12</v>
      </c>
      <c r="G310" s="125">
        <v>11.8</v>
      </c>
      <c r="H310" s="126">
        <v>85</v>
      </c>
      <c r="I310" s="126" t="str">
        <v>PB7</v>
      </c>
      <c r="J310" s="127">
        <v>0</v>
      </c>
      <c r="K310" s="126">
        <v>0</v>
      </c>
      <c r="L310" s="126" t="str">
        <v/>
      </c>
      <c r="M310" s="128">
        <v>2.78</v>
      </c>
      <c r="N310" s="126">
        <v>51</v>
      </c>
      <c r="O310" s="126" t="str">
        <v>PB4</v>
      </c>
      <c r="P310" s="128">
        <v>17.43</v>
      </c>
      <c r="Q310" s="126">
        <v>37</v>
      </c>
      <c r="R310" s="126">
        <v>173</v>
      </c>
      <c r="S310" s="126" t="str">
        <v/>
      </c>
      <c r="T310" s="126">
        <v>10</v>
      </c>
      <c r="U310" s="126" t="str">
        <v/>
      </c>
      <c r="V310" s="139">
        <v>40</v>
      </c>
      <c r="W310" s="25"/>
    </row>
    <row r="311" spans="1:23" ht="19.95" customHeight="1">
      <c r="A311" s="361"/>
      <c r="B311" s="145"/>
      <c r="C311" s="126"/>
      <c r="D311" s="126"/>
      <c r="E311" s="126"/>
      <c r="F311" s="126"/>
      <c r="G311" s="125"/>
      <c r="H311" s="126"/>
      <c r="I311" s="126"/>
      <c r="J311" s="127"/>
      <c r="K311" s="126"/>
      <c r="L311" s="126"/>
      <c r="M311" s="128"/>
      <c r="N311" s="126"/>
      <c r="O311" s="126"/>
      <c r="P311" s="128"/>
      <c r="Q311" s="126"/>
      <c r="R311" s="126"/>
      <c r="S311" s="126"/>
      <c r="T311" s="126"/>
      <c r="U311" s="126"/>
      <c r="V311" s="139"/>
      <c r="W311" s="25"/>
    </row>
    <row r="312" spans="1:23" ht="19.95" customHeight="1">
      <c r="A312" s="361"/>
      <c r="B312" s="145"/>
      <c r="C312" s="126"/>
      <c r="D312" s="126"/>
      <c r="E312" s="126"/>
      <c r="F312" s="126"/>
      <c r="G312" s="125"/>
      <c r="H312" s="126"/>
      <c r="I312" s="126"/>
      <c r="J312" s="127"/>
      <c r="K312" s="126"/>
      <c r="L312" s="126"/>
      <c r="M312" s="128"/>
      <c r="N312" s="126"/>
      <c r="O312" s="126"/>
      <c r="P312" s="128"/>
      <c r="Q312" s="126"/>
      <c r="R312" s="126"/>
      <c r="S312" s="126"/>
      <c r="T312" s="126"/>
      <c r="U312" s="126"/>
      <c r="V312" s="139"/>
      <c r="W312" s="25"/>
    </row>
    <row r="313" spans="1:23" ht="19.95" customHeight="1">
      <c r="A313" s="361"/>
      <c r="B313" s="145"/>
      <c r="C313" s="126"/>
      <c r="D313" s="126"/>
      <c r="E313" s="126"/>
      <c r="F313" s="126"/>
      <c r="G313" s="125"/>
      <c r="H313" s="126"/>
      <c r="I313" s="126"/>
      <c r="J313" s="127"/>
      <c r="K313" s="126"/>
      <c r="L313" s="126"/>
      <c r="M313" s="128"/>
      <c r="N313" s="126"/>
      <c r="O313" s="126"/>
      <c r="P313" s="128"/>
      <c r="Q313" s="126"/>
      <c r="R313" s="126"/>
      <c r="S313" s="126"/>
      <c r="T313" s="126"/>
      <c r="U313" s="126"/>
      <c r="V313" s="139"/>
      <c r="W313" s="25"/>
    </row>
    <row r="314" spans="1:23" ht="19.95" customHeight="1">
      <c r="A314" s="361"/>
      <c r="B314" s="145"/>
      <c r="C314" s="126"/>
      <c r="D314" s="126"/>
      <c r="E314" s="126"/>
      <c r="F314" s="126"/>
      <c r="G314" s="125"/>
      <c r="H314" s="126"/>
      <c r="I314" s="126"/>
      <c r="J314" s="127"/>
      <c r="K314" s="126"/>
      <c r="L314" s="126"/>
      <c r="M314" s="128"/>
      <c r="N314" s="126"/>
      <c r="O314" s="126"/>
      <c r="P314" s="128"/>
      <c r="Q314" s="126"/>
      <c r="R314" s="126"/>
      <c r="S314" s="126"/>
      <c r="T314" s="126"/>
      <c r="U314" s="126"/>
      <c r="V314" s="139"/>
      <c r="W314" s="25"/>
    </row>
    <row r="315" spans="1:23" ht="19.95" customHeight="1">
      <c r="A315" s="361"/>
      <c r="B315" s="145"/>
      <c r="C315" s="126"/>
      <c r="D315" s="126"/>
      <c r="E315" s="126"/>
      <c r="F315" s="126"/>
      <c r="G315" s="125"/>
      <c r="H315" s="126"/>
      <c r="I315" s="126"/>
      <c r="J315" s="127"/>
      <c r="K315" s="126"/>
      <c r="L315" s="126"/>
      <c r="M315" s="128"/>
      <c r="N315" s="126"/>
      <c r="O315" s="126"/>
      <c r="P315" s="128"/>
      <c r="Q315" s="126"/>
      <c r="R315" s="126"/>
      <c r="S315" s="126"/>
      <c r="T315" s="126"/>
      <c r="U315" s="126"/>
      <c r="V315" s="139"/>
      <c r="W315" s="25"/>
    </row>
    <row r="316" spans="1:23" ht="19.95" customHeight="1">
      <c r="A316" s="361"/>
      <c r="B316" s="145"/>
      <c r="C316" s="126"/>
      <c r="D316" s="126"/>
      <c r="E316" s="126"/>
      <c r="F316" s="126"/>
      <c r="G316" s="125"/>
      <c r="H316" s="126"/>
      <c r="I316" s="126"/>
      <c r="J316" s="127"/>
      <c r="K316" s="126"/>
      <c r="L316" s="126"/>
      <c r="M316" s="128"/>
      <c r="N316" s="126"/>
      <c r="O316" s="126"/>
      <c r="P316" s="128"/>
      <c r="Q316" s="126"/>
      <c r="R316" s="126"/>
      <c r="S316" s="126"/>
      <c r="T316" s="126"/>
      <c r="U316" s="126"/>
      <c r="V316" s="139"/>
      <c r="W316" s="25"/>
    </row>
    <row r="317" spans="1:23" ht="19.95" customHeight="1">
      <c r="A317" s="361"/>
      <c r="B317" s="145"/>
      <c r="C317" s="126"/>
      <c r="D317" s="126"/>
      <c r="E317" s="126"/>
      <c r="F317" s="126"/>
      <c r="G317" s="125"/>
      <c r="H317" s="126"/>
      <c r="I317" s="126"/>
      <c r="J317" s="127"/>
      <c r="K317" s="126"/>
      <c r="L317" s="126"/>
      <c r="M317" s="128"/>
      <c r="N317" s="126"/>
      <c r="O317" s="126"/>
      <c r="P317" s="128"/>
      <c r="Q317" s="126"/>
      <c r="R317" s="126"/>
      <c r="S317" s="126"/>
      <c r="T317" s="126"/>
      <c r="U317" s="126"/>
      <c r="V317" s="139"/>
      <c r="W317" s="25"/>
    </row>
    <row r="318" spans="1:23" ht="19.95" customHeight="1">
      <c r="A318" s="361"/>
      <c r="B318" s="145"/>
      <c r="C318" s="126"/>
      <c r="D318" s="126"/>
      <c r="E318" s="126"/>
      <c r="F318" s="126"/>
      <c r="G318" s="125"/>
      <c r="H318" s="126"/>
      <c r="I318" s="126"/>
      <c r="J318" s="127"/>
      <c r="K318" s="126"/>
      <c r="L318" s="126"/>
      <c r="M318" s="128"/>
      <c r="N318" s="126"/>
      <c r="O318" s="126"/>
      <c r="P318" s="128"/>
      <c r="Q318" s="126"/>
      <c r="R318" s="126"/>
      <c r="S318" s="126"/>
      <c r="T318" s="126"/>
      <c r="U318" s="126"/>
      <c r="V318" s="139"/>
      <c r="W318" s="25"/>
    </row>
    <row r="319" spans="1:23" ht="19.95" customHeight="1">
      <c r="A319" s="361"/>
      <c r="B319" s="145"/>
      <c r="C319" s="126"/>
      <c r="D319" s="126"/>
      <c r="E319" s="126"/>
      <c r="F319" s="126"/>
      <c r="G319" s="125"/>
      <c r="H319" s="126"/>
      <c r="I319" s="126"/>
      <c r="J319" s="127"/>
      <c r="K319" s="126"/>
      <c r="L319" s="126"/>
      <c r="M319" s="128"/>
      <c r="N319" s="126"/>
      <c r="O319" s="126"/>
      <c r="P319" s="128"/>
      <c r="Q319" s="126"/>
      <c r="R319" s="126"/>
      <c r="S319" s="126"/>
      <c r="T319" s="126"/>
      <c r="U319" s="126"/>
      <c r="V319" s="139"/>
      <c r="W319" s="25"/>
    </row>
    <row r="320" spans="1:23" ht="19.95" customHeight="1">
      <c r="A320" s="361"/>
      <c r="B320" s="145"/>
      <c r="C320" s="126"/>
      <c r="D320" s="126"/>
      <c r="E320" s="126"/>
      <c r="F320" s="126"/>
      <c r="G320" s="125"/>
      <c r="H320" s="126"/>
      <c r="I320" s="126"/>
      <c r="J320" s="127"/>
      <c r="K320" s="126"/>
      <c r="L320" s="126"/>
      <c r="M320" s="128"/>
      <c r="N320" s="126"/>
      <c r="O320" s="126"/>
      <c r="P320" s="128"/>
      <c r="Q320" s="126"/>
      <c r="R320" s="126"/>
      <c r="S320" s="126"/>
      <c r="T320" s="126"/>
      <c r="U320" s="126"/>
      <c r="V320" s="139"/>
      <c r="W320" s="25"/>
    </row>
    <row r="321" spans="1:23" ht="19.95" customHeight="1">
      <c r="A321" s="361"/>
      <c r="B321" s="145"/>
      <c r="C321" s="126"/>
      <c r="D321" s="126"/>
      <c r="E321" s="126"/>
      <c r="F321" s="126"/>
      <c r="G321" s="125"/>
      <c r="H321" s="126"/>
      <c r="I321" s="126"/>
      <c r="J321" s="127"/>
      <c r="K321" s="126"/>
      <c r="L321" s="126"/>
      <c r="M321" s="128"/>
      <c r="N321" s="126"/>
      <c r="O321" s="126"/>
      <c r="P321" s="128"/>
      <c r="Q321" s="126"/>
      <c r="R321" s="126"/>
      <c r="S321" s="126"/>
      <c r="T321" s="126"/>
      <c r="U321" s="126"/>
      <c r="V321" s="139"/>
      <c r="W321" s="25"/>
    </row>
    <row r="322" spans="1:23" ht="19.95" customHeight="1">
      <c r="A322" s="361"/>
      <c r="B322" s="145"/>
      <c r="C322" s="126"/>
      <c r="D322" s="126"/>
      <c r="E322" s="126"/>
      <c r="F322" s="126"/>
      <c r="G322" s="125"/>
      <c r="H322" s="126"/>
      <c r="I322" s="126"/>
      <c r="J322" s="127"/>
      <c r="K322" s="126"/>
      <c r="L322" s="126"/>
      <c r="M322" s="128"/>
      <c r="N322" s="126"/>
      <c r="O322" s="126"/>
      <c r="P322" s="128"/>
      <c r="Q322" s="126"/>
      <c r="R322" s="126"/>
      <c r="S322" s="126"/>
      <c r="T322" s="126"/>
      <c r="U322" s="126"/>
      <c r="V322" s="139"/>
      <c r="W322" s="25"/>
    </row>
    <row r="323" spans="1:23" ht="19.95" customHeight="1">
      <c r="A323" s="361"/>
      <c r="B323" s="145"/>
      <c r="C323" s="126"/>
      <c r="D323" s="126"/>
      <c r="E323" s="126"/>
      <c r="F323" s="126"/>
      <c r="G323" s="125"/>
      <c r="H323" s="126"/>
      <c r="I323" s="126"/>
      <c r="J323" s="127"/>
      <c r="K323" s="126"/>
      <c r="L323" s="126"/>
      <c r="M323" s="128"/>
      <c r="N323" s="126"/>
      <c r="O323" s="126"/>
      <c r="P323" s="128"/>
      <c r="Q323" s="126"/>
      <c r="R323" s="126"/>
      <c r="S323" s="126"/>
      <c r="T323" s="126"/>
      <c r="U323" s="126"/>
      <c r="V323" s="139"/>
      <c r="W323" s="25"/>
    </row>
    <row r="324" spans="1:23" ht="19.95" customHeight="1">
      <c r="A324" s="361"/>
      <c r="B324" s="145"/>
      <c r="C324" s="126"/>
      <c r="D324" s="126"/>
      <c r="E324" s="126"/>
      <c r="F324" s="126"/>
      <c r="G324" s="125"/>
      <c r="H324" s="126"/>
      <c r="I324" s="126"/>
      <c r="J324" s="127"/>
      <c r="K324" s="126"/>
      <c r="L324" s="126"/>
      <c r="M324" s="128"/>
      <c r="N324" s="126"/>
      <c r="O324" s="126"/>
      <c r="P324" s="128"/>
      <c r="Q324" s="126"/>
      <c r="R324" s="126"/>
      <c r="S324" s="126"/>
      <c r="T324" s="126"/>
      <c r="U324" s="126"/>
      <c r="V324" s="139"/>
      <c r="W324" s="25"/>
    </row>
    <row r="325" spans="1:23" ht="19.95" customHeight="1" thickBot="1">
      <c r="A325" s="362"/>
      <c r="B325" s="146"/>
      <c r="C325" s="140"/>
      <c r="D325" s="140"/>
      <c r="E325" s="140"/>
      <c r="F325" s="140"/>
      <c r="G325" s="141"/>
      <c r="H325" s="140"/>
      <c r="I325" s="140"/>
      <c r="J325" s="142"/>
      <c r="K325" s="140"/>
      <c r="L325" s="140"/>
      <c r="M325" s="143"/>
      <c r="N325" s="140"/>
      <c r="O325" s="140"/>
      <c r="P325" s="143"/>
      <c r="Q325" s="140"/>
      <c r="R325" s="140"/>
      <c r="S325" s="140"/>
      <c r="T325" s="140"/>
      <c r="U325" s="140"/>
      <c r="V325" s="144"/>
      <c r="W325" s="25"/>
    </row>
    <row r="326" spans="1:23" ht="19.95" customHeight="1">
      <c r="A326" s="360" t="str">
        <f>'Read Me First'!C17</f>
        <v/>
      </c>
      <c r="B326" s="133" cm="1">
        <f t="array" ref="B326:V335">_xlfn.LET(_xlpm.x, _xlfn._xlws.SORT(_xlfn._xlws.FILTER(Data!$A$249:$U$536,(Data!$C$249:$C$536=$A326)*(Data!$D$249:$D$536=$E$196)*(Data!$E$249:$E$536="U10")),18),_xlpm.y,_xlfn._xlws.SORT(_xlfn._xlws.FILTER(Data!$A$249:$U$536,(Data!$C$249:$C$536=$A326)*(Data!$D$249:$D$536=$E$196)*(Data!$E$249:$E$536="U12")),19), IFERROR(_xlfn.VSTACK(_xlpm.x,_xlpm.y), IFERROR(_xlpm.y,IFERROR(_xlpm.x, ""))))</f>
        <v>131</v>
      </c>
      <c r="C326" s="134" t="str">
        <v/>
      </c>
      <c r="D326" s="134" t="str">
        <v/>
      </c>
      <c r="E326" s="134" t="str">
        <v>BOYS</v>
      </c>
      <c r="F326" s="134" t="str">
        <v>U12</v>
      </c>
      <c r="G326" s="135" t="str">
        <v/>
      </c>
      <c r="H326" s="134">
        <v>0</v>
      </c>
      <c r="I326" s="134" t="str">
        <v/>
      </c>
      <c r="J326" s="136">
        <v>0</v>
      </c>
      <c r="K326" s="134">
        <v>0</v>
      </c>
      <c r="L326" s="134" t="str">
        <v/>
      </c>
      <c r="M326" s="137" t="str">
        <v/>
      </c>
      <c r="N326" s="134">
        <v>0</v>
      </c>
      <c r="O326" s="134" t="str">
        <v/>
      </c>
      <c r="P326" s="137" t="str">
        <v/>
      </c>
      <c r="Q326" s="134">
        <v>0</v>
      </c>
      <c r="R326" s="134">
        <v>0</v>
      </c>
      <c r="S326" s="134" t="str">
        <v/>
      </c>
      <c r="T326" s="134" t="str">
        <v/>
      </c>
      <c r="U326" s="134" t="str">
        <v/>
      </c>
      <c r="V326" s="138" t="str">
        <v/>
      </c>
      <c r="W326" s="19"/>
    </row>
    <row r="327" spans="1:23" ht="19.95" customHeight="1">
      <c r="A327" s="361"/>
      <c r="B327" s="145">
        <v>132</v>
      </c>
      <c r="C327" s="126" t="str">
        <v/>
      </c>
      <c r="D327" s="126" t="str">
        <v/>
      </c>
      <c r="E327" s="126" t="str">
        <v>BOYS</v>
      </c>
      <c r="F327" s="126" t="str">
        <v>U12</v>
      </c>
      <c r="G327" s="125" t="str">
        <v/>
      </c>
      <c r="H327" s="126">
        <v>0</v>
      </c>
      <c r="I327" s="126" t="str">
        <v/>
      </c>
      <c r="J327" s="127">
        <v>0</v>
      </c>
      <c r="K327" s="126">
        <v>0</v>
      </c>
      <c r="L327" s="126" t="str">
        <v/>
      </c>
      <c r="M327" s="128" t="str">
        <v/>
      </c>
      <c r="N327" s="126">
        <v>0</v>
      </c>
      <c r="O327" s="126" t="str">
        <v/>
      </c>
      <c r="P327" s="128" t="str">
        <v/>
      </c>
      <c r="Q327" s="126">
        <v>0</v>
      </c>
      <c r="R327" s="126">
        <v>0</v>
      </c>
      <c r="S327" s="126" t="str">
        <v/>
      </c>
      <c r="T327" s="126" t="str">
        <v/>
      </c>
      <c r="U327" s="126" t="str">
        <v/>
      </c>
      <c r="V327" s="139" t="str">
        <v/>
      </c>
      <c r="W327" s="25"/>
    </row>
    <row r="328" spans="1:23" ht="19.95" customHeight="1">
      <c r="A328" s="361"/>
      <c r="B328" s="145">
        <v>133</v>
      </c>
      <c r="C328" s="126" t="str">
        <v/>
      </c>
      <c r="D328" s="126" t="str">
        <v/>
      </c>
      <c r="E328" s="126" t="str">
        <v>BOYS</v>
      </c>
      <c r="F328" s="126" t="str">
        <v>U12</v>
      </c>
      <c r="G328" s="125" t="str">
        <v/>
      </c>
      <c r="H328" s="126">
        <v>0</v>
      </c>
      <c r="I328" s="126" t="str">
        <v/>
      </c>
      <c r="J328" s="127">
        <v>0</v>
      </c>
      <c r="K328" s="126">
        <v>0</v>
      </c>
      <c r="L328" s="126" t="str">
        <v/>
      </c>
      <c r="M328" s="128" t="str">
        <v/>
      </c>
      <c r="N328" s="126">
        <v>0</v>
      </c>
      <c r="O328" s="126" t="str">
        <v/>
      </c>
      <c r="P328" s="128" t="str">
        <v/>
      </c>
      <c r="Q328" s="126">
        <v>0</v>
      </c>
      <c r="R328" s="126">
        <v>0</v>
      </c>
      <c r="S328" s="126" t="str">
        <v/>
      </c>
      <c r="T328" s="126" t="str">
        <v/>
      </c>
      <c r="U328" s="126" t="str">
        <v/>
      </c>
      <c r="V328" s="139" t="str">
        <v/>
      </c>
      <c r="W328" s="25"/>
    </row>
    <row r="329" spans="1:23" ht="19.95" customHeight="1">
      <c r="A329" s="361"/>
      <c r="B329" s="145">
        <v>134</v>
      </c>
      <c r="C329" s="126" t="str">
        <v/>
      </c>
      <c r="D329" s="126" t="str">
        <v/>
      </c>
      <c r="E329" s="126" t="str">
        <v>BOYS</v>
      </c>
      <c r="F329" s="126" t="str">
        <v>U12</v>
      </c>
      <c r="G329" s="125" t="str">
        <v/>
      </c>
      <c r="H329" s="126">
        <v>0</v>
      </c>
      <c r="I329" s="126" t="str">
        <v/>
      </c>
      <c r="J329" s="127">
        <v>0</v>
      </c>
      <c r="K329" s="126">
        <v>0</v>
      </c>
      <c r="L329" s="126" t="str">
        <v/>
      </c>
      <c r="M329" s="128" t="str">
        <v/>
      </c>
      <c r="N329" s="126">
        <v>0</v>
      </c>
      <c r="O329" s="126" t="str">
        <v/>
      </c>
      <c r="P329" s="128" t="str">
        <v/>
      </c>
      <c r="Q329" s="126">
        <v>0</v>
      </c>
      <c r="R329" s="126">
        <v>0</v>
      </c>
      <c r="S329" s="126" t="str">
        <v/>
      </c>
      <c r="T329" s="126" t="str">
        <v/>
      </c>
      <c r="U329" s="126" t="str">
        <v/>
      </c>
      <c r="V329" s="139" t="str">
        <v/>
      </c>
      <c r="W329" s="25"/>
    </row>
    <row r="330" spans="1:23" ht="19.95" customHeight="1">
      <c r="A330" s="361"/>
      <c r="B330" s="145">
        <v>135</v>
      </c>
      <c r="C330" s="126" t="str">
        <v/>
      </c>
      <c r="D330" s="126" t="str">
        <v/>
      </c>
      <c r="E330" s="126" t="str">
        <v>BOYS</v>
      </c>
      <c r="F330" s="126" t="str">
        <v>U12</v>
      </c>
      <c r="G330" s="125" t="str">
        <v/>
      </c>
      <c r="H330" s="126">
        <v>0</v>
      </c>
      <c r="I330" s="126" t="str">
        <v/>
      </c>
      <c r="J330" s="127">
        <v>0</v>
      </c>
      <c r="K330" s="126">
        <v>0</v>
      </c>
      <c r="L330" s="126" t="str">
        <v/>
      </c>
      <c r="M330" s="128" t="str">
        <v/>
      </c>
      <c r="N330" s="126">
        <v>0</v>
      </c>
      <c r="O330" s="126" t="str">
        <v/>
      </c>
      <c r="P330" s="128" t="str">
        <v/>
      </c>
      <c r="Q330" s="126">
        <v>0</v>
      </c>
      <c r="R330" s="126">
        <v>0</v>
      </c>
      <c r="S330" s="126" t="str">
        <v/>
      </c>
      <c r="T330" s="126" t="str">
        <v/>
      </c>
      <c r="U330" s="126" t="str">
        <v/>
      </c>
      <c r="V330" s="139" t="str">
        <v/>
      </c>
      <c r="W330" s="25"/>
    </row>
    <row r="331" spans="1:23" ht="19.95" customHeight="1">
      <c r="A331" s="361"/>
      <c r="B331" s="145">
        <v>136</v>
      </c>
      <c r="C331" s="126" t="str">
        <v/>
      </c>
      <c r="D331" s="126" t="str">
        <v/>
      </c>
      <c r="E331" s="126" t="str">
        <v>BOYS</v>
      </c>
      <c r="F331" s="126" t="str">
        <v>U12</v>
      </c>
      <c r="G331" s="125" t="str">
        <v/>
      </c>
      <c r="H331" s="126">
        <v>0</v>
      </c>
      <c r="I331" s="126" t="str">
        <v/>
      </c>
      <c r="J331" s="127">
        <v>0</v>
      </c>
      <c r="K331" s="126">
        <v>0</v>
      </c>
      <c r="L331" s="126" t="str">
        <v/>
      </c>
      <c r="M331" s="128" t="str">
        <v/>
      </c>
      <c r="N331" s="126">
        <v>0</v>
      </c>
      <c r="O331" s="126" t="str">
        <v/>
      </c>
      <c r="P331" s="128" t="str">
        <v/>
      </c>
      <c r="Q331" s="126">
        <v>0</v>
      </c>
      <c r="R331" s="126">
        <v>0</v>
      </c>
      <c r="S331" s="126" t="str">
        <v/>
      </c>
      <c r="T331" s="126" t="str">
        <v/>
      </c>
      <c r="U331" s="126" t="str">
        <v/>
      </c>
      <c r="V331" s="139" t="str">
        <v/>
      </c>
      <c r="W331" s="25"/>
    </row>
    <row r="332" spans="1:23" ht="19.95" customHeight="1">
      <c r="A332" s="361"/>
      <c r="B332" s="145">
        <v>137</v>
      </c>
      <c r="C332" s="126" t="str">
        <v/>
      </c>
      <c r="D332" s="126" t="str">
        <v/>
      </c>
      <c r="E332" s="126" t="str">
        <v>BOYS</v>
      </c>
      <c r="F332" s="126" t="str">
        <v>U12</v>
      </c>
      <c r="G332" s="125" t="str">
        <v/>
      </c>
      <c r="H332" s="126">
        <v>0</v>
      </c>
      <c r="I332" s="126" t="str">
        <v/>
      </c>
      <c r="J332" s="127">
        <v>0</v>
      </c>
      <c r="K332" s="126">
        <v>0</v>
      </c>
      <c r="L332" s="126" t="str">
        <v/>
      </c>
      <c r="M332" s="128" t="str">
        <v/>
      </c>
      <c r="N332" s="126">
        <v>0</v>
      </c>
      <c r="O332" s="126" t="str">
        <v/>
      </c>
      <c r="P332" s="128" t="str">
        <v/>
      </c>
      <c r="Q332" s="126">
        <v>0</v>
      </c>
      <c r="R332" s="126">
        <v>0</v>
      </c>
      <c r="S332" s="126" t="str">
        <v/>
      </c>
      <c r="T332" s="126" t="str">
        <v/>
      </c>
      <c r="U332" s="126" t="str">
        <v/>
      </c>
      <c r="V332" s="139" t="str">
        <v/>
      </c>
      <c r="W332" s="25"/>
    </row>
    <row r="333" spans="1:23" ht="19.95" customHeight="1">
      <c r="A333" s="361"/>
      <c r="B333" s="145">
        <v>138</v>
      </c>
      <c r="C333" s="126" t="str">
        <v/>
      </c>
      <c r="D333" s="126" t="str">
        <v/>
      </c>
      <c r="E333" s="126" t="str">
        <v>BOYS</v>
      </c>
      <c r="F333" s="126" t="str">
        <v>U12</v>
      </c>
      <c r="G333" s="125" t="str">
        <v/>
      </c>
      <c r="H333" s="126">
        <v>0</v>
      </c>
      <c r="I333" s="126" t="str">
        <v/>
      </c>
      <c r="J333" s="127">
        <v>0</v>
      </c>
      <c r="K333" s="126">
        <v>0</v>
      </c>
      <c r="L333" s="126" t="str">
        <v/>
      </c>
      <c r="M333" s="128" t="str">
        <v/>
      </c>
      <c r="N333" s="126">
        <v>0</v>
      </c>
      <c r="O333" s="126" t="str">
        <v/>
      </c>
      <c r="P333" s="128" t="str">
        <v/>
      </c>
      <c r="Q333" s="126">
        <v>0</v>
      </c>
      <c r="R333" s="126">
        <v>0</v>
      </c>
      <c r="S333" s="126" t="str">
        <v/>
      </c>
      <c r="T333" s="126" t="str">
        <v/>
      </c>
      <c r="U333" s="126" t="str">
        <v/>
      </c>
      <c r="V333" s="139" t="str">
        <v/>
      </c>
      <c r="W333" s="25"/>
    </row>
    <row r="334" spans="1:23" ht="19.95" customHeight="1">
      <c r="A334" s="361"/>
      <c r="B334" s="145">
        <v>139</v>
      </c>
      <c r="C334" s="126" t="str">
        <v/>
      </c>
      <c r="D334" s="126" t="str">
        <v/>
      </c>
      <c r="E334" s="126" t="str">
        <v>BOYS</v>
      </c>
      <c r="F334" s="126" t="str">
        <v>U12</v>
      </c>
      <c r="G334" s="125" t="str">
        <v/>
      </c>
      <c r="H334" s="126">
        <v>0</v>
      </c>
      <c r="I334" s="126" t="str">
        <v/>
      </c>
      <c r="J334" s="127">
        <v>0</v>
      </c>
      <c r="K334" s="126">
        <v>0</v>
      </c>
      <c r="L334" s="126" t="str">
        <v/>
      </c>
      <c r="M334" s="128" t="str">
        <v/>
      </c>
      <c r="N334" s="126">
        <v>0</v>
      </c>
      <c r="O334" s="126" t="str">
        <v/>
      </c>
      <c r="P334" s="128" t="str">
        <v/>
      </c>
      <c r="Q334" s="126">
        <v>0</v>
      </c>
      <c r="R334" s="126">
        <v>0</v>
      </c>
      <c r="S334" s="126" t="str">
        <v/>
      </c>
      <c r="T334" s="126" t="str">
        <v/>
      </c>
      <c r="U334" s="126" t="str">
        <v/>
      </c>
      <c r="V334" s="139" t="str">
        <v/>
      </c>
      <c r="W334" s="25"/>
    </row>
    <row r="335" spans="1:23" ht="19.95" customHeight="1">
      <c r="A335" s="361"/>
      <c r="B335" s="145">
        <v>140</v>
      </c>
      <c r="C335" s="126" t="str">
        <v/>
      </c>
      <c r="D335" s="126" t="str">
        <v/>
      </c>
      <c r="E335" s="126" t="str">
        <v>BOYS</v>
      </c>
      <c r="F335" s="126" t="str">
        <v>U12</v>
      </c>
      <c r="G335" s="125" t="str">
        <v/>
      </c>
      <c r="H335" s="126">
        <v>0</v>
      </c>
      <c r="I335" s="126" t="str">
        <v/>
      </c>
      <c r="J335" s="127">
        <v>0</v>
      </c>
      <c r="K335" s="126">
        <v>0</v>
      </c>
      <c r="L335" s="126" t="str">
        <v/>
      </c>
      <c r="M335" s="128" t="str">
        <v/>
      </c>
      <c r="N335" s="126">
        <v>0</v>
      </c>
      <c r="O335" s="126" t="str">
        <v/>
      </c>
      <c r="P335" s="128" t="str">
        <v/>
      </c>
      <c r="Q335" s="126">
        <v>0</v>
      </c>
      <c r="R335" s="126">
        <v>0</v>
      </c>
      <c r="S335" s="126" t="str">
        <v/>
      </c>
      <c r="T335" s="126" t="str">
        <v/>
      </c>
      <c r="U335" s="126" t="str">
        <v/>
      </c>
      <c r="V335" s="139" t="str">
        <v/>
      </c>
      <c r="W335" s="25"/>
    </row>
    <row r="336" spans="1:23" ht="19.95" customHeight="1">
      <c r="A336" s="361"/>
      <c r="B336" s="145"/>
      <c r="C336" s="126"/>
      <c r="D336" s="126"/>
      <c r="E336" s="126"/>
      <c r="F336" s="126"/>
      <c r="G336" s="125"/>
      <c r="H336" s="126"/>
      <c r="I336" s="126"/>
      <c r="J336" s="127"/>
      <c r="K336" s="126"/>
      <c r="L336" s="126"/>
      <c r="M336" s="128"/>
      <c r="N336" s="126"/>
      <c r="O336" s="126"/>
      <c r="P336" s="128"/>
      <c r="Q336" s="126"/>
      <c r="R336" s="126"/>
      <c r="S336" s="126"/>
      <c r="T336" s="126"/>
      <c r="U336" s="126"/>
      <c r="V336" s="139"/>
      <c r="W336" s="25"/>
    </row>
    <row r="337" spans="1:23" ht="19.95" customHeight="1">
      <c r="A337" s="361"/>
      <c r="B337" s="145"/>
      <c r="C337" s="126"/>
      <c r="D337" s="126"/>
      <c r="E337" s="126"/>
      <c r="F337" s="126"/>
      <c r="G337" s="125"/>
      <c r="H337" s="126"/>
      <c r="I337" s="126"/>
      <c r="J337" s="127"/>
      <c r="K337" s="126"/>
      <c r="L337" s="126"/>
      <c r="M337" s="128"/>
      <c r="N337" s="126"/>
      <c r="O337" s="126"/>
      <c r="P337" s="128"/>
      <c r="Q337" s="126"/>
      <c r="R337" s="126"/>
      <c r="S337" s="126"/>
      <c r="T337" s="126"/>
      <c r="U337" s="126"/>
      <c r="V337" s="139"/>
      <c r="W337" s="25"/>
    </row>
    <row r="338" spans="1:23" ht="19.95" customHeight="1">
      <c r="A338" s="361"/>
      <c r="B338" s="145"/>
      <c r="C338" s="126"/>
      <c r="D338" s="126"/>
      <c r="E338" s="126"/>
      <c r="F338" s="126"/>
      <c r="G338" s="125"/>
      <c r="H338" s="126"/>
      <c r="I338" s="126"/>
      <c r="J338" s="127"/>
      <c r="K338" s="126"/>
      <c r="L338" s="126"/>
      <c r="M338" s="128"/>
      <c r="N338" s="126"/>
      <c r="O338" s="126"/>
      <c r="P338" s="128"/>
      <c r="Q338" s="126"/>
      <c r="R338" s="126"/>
      <c r="S338" s="126"/>
      <c r="T338" s="126"/>
      <c r="U338" s="126"/>
      <c r="V338" s="139"/>
      <c r="W338" s="25"/>
    </row>
    <row r="339" spans="1:23" ht="19.95" customHeight="1">
      <c r="A339" s="361"/>
      <c r="B339" s="145"/>
      <c r="C339" s="126"/>
      <c r="D339" s="126"/>
      <c r="E339" s="126"/>
      <c r="F339" s="126"/>
      <c r="G339" s="125"/>
      <c r="H339" s="126"/>
      <c r="I339" s="126"/>
      <c r="J339" s="127"/>
      <c r="K339" s="126"/>
      <c r="L339" s="126"/>
      <c r="M339" s="128"/>
      <c r="N339" s="126"/>
      <c r="O339" s="126"/>
      <c r="P339" s="128"/>
      <c r="Q339" s="126"/>
      <c r="R339" s="126"/>
      <c r="S339" s="126"/>
      <c r="T339" s="126"/>
      <c r="U339" s="126"/>
      <c r="V339" s="139"/>
      <c r="W339" s="25"/>
    </row>
    <row r="340" spans="1:23" ht="19.95" customHeight="1">
      <c r="A340" s="361"/>
      <c r="B340" s="145"/>
      <c r="C340" s="126"/>
      <c r="D340" s="126"/>
      <c r="E340" s="126"/>
      <c r="F340" s="126"/>
      <c r="G340" s="125"/>
      <c r="H340" s="126"/>
      <c r="I340" s="126"/>
      <c r="J340" s="127"/>
      <c r="K340" s="126"/>
      <c r="L340" s="126"/>
      <c r="M340" s="128"/>
      <c r="N340" s="126"/>
      <c r="O340" s="126"/>
      <c r="P340" s="128"/>
      <c r="Q340" s="126"/>
      <c r="R340" s="126"/>
      <c r="S340" s="126"/>
      <c r="T340" s="126"/>
      <c r="U340" s="126"/>
      <c r="V340" s="139"/>
      <c r="W340" s="25"/>
    </row>
    <row r="341" spans="1:23" ht="19.95" customHeight="1">
      <c r="A341" s="361"/>
      <c r="B341" s="145"/>
      <c r="C341" s="126"/>
      <c r="D341" s="126"/>
      <c r="E341" s="126"/>
      <c r="F341" s="126"/>
      <c r="G341" s="125"/>
      <c r="H341" s="126"/>
      <c r="I341" s="126"/>
      <c r="J341" s="127"/>
      <c r="K341" s="126"/>
      <c r="L341" s="126"/>
      <c r="M341" s="128"/>
      <c r="N341" s="126"/>
      <c r="O341" s="126"/>
      <c r="P341" s="128"/>
      <c r="Q341" s="126"/>
      <c r="R341" s="126"/>
      <c r="S341" s="126"/>
      <c r="T341" s="126"/>
      <c r="U341" s="126"/>
      <c r="V341" s="139"/>
      <c r="W341" s="25"/>
    </row>
    <row r="342" spans="1:23" ht="19.95" customHeight="1">
      <c r="A342" s="361"/>
      <c r="B342" s="145"/>
      <c r="C342" s="126"/>
      <c r="D342" s="126"/>
      <c r="E342" s="126"/>
      <c r="F342" s="126"/>
      <c r="G342" s="125"/>
      <c r="H342" s="126"/>
      <c r="I342" s="126"/>
      <c r="J342" s="127"/>
      <c r="K342" s="126"/>
      <c r="L342" s="126"/>
      <c r="M342" s="128"/>
      <c r="N342" s="126"/>
      <c r="O342" s="126"/>
      <c r="P342" s="128"/>
      <c r="Q342" s="126"/>
      <c r="R342" s="126"/>
      <c r="S342" s="126"/>
      <c r="T342" s="126"/>
      <c r="U342" s="126"/>
      <c r="V342" s="139"/>
      <c r="W342" s="25"/>
    </row>
    <row r="343" spans="1:23" ht="19.95" customHeight="1">
      <c r="A343" s="361"/>
      <c r="B343" s="145"/>
      <c r="C343" s="126"/>
      <c r="D343" s="126"/>
      <c r="E343" s="126"/>
      <c r="F343" s="126"/>
      <c r="G343" s="125"/>
      <c r="H343" s="126"/>
      <c r="I343" s="126"/>
      <c r="J343" s="127"/>
      <c r="K343" s="126"/>
      <c r="L343" s="126"/>
      <c r="M343" s="128"/>
      <c r="N343" s="126"/>
      <c r="O343" s="126"/>
      <c r="P343" s="128"/>
      <c r="Q343" s="126"/>
      <c r="R343" s="126"/>
      <c r="S343" s="126"/>
      <c r="T343" s="126"/>
      <c r="U343" s="126"/>
      <c r="V343" s="139"/>
      <c r="W343" s="25"/>
    </row>
    <row r="344" spans="1:23" ht="19.95" customHeight="1">
      <c r="A344" s="361"/>
      <c r="B344" s="145"/>
      <c r="C344" s="126"/>
      <c r="D344" s="126"/>
      <c r="E344" s="126"/>
      <c r="F344" s="126"/>
      <c r="G344" s="125"/>
      <c r="H344" s="126"/>
      <c r="I344" s="126"/>
      <c r="J344" s="127"/>
      <c r="K344" s="126"/>
      <c r="L344" s="126"/>
      <c r="M344" s="128"/>
      <c r="N344" s="126"/>
      <c r="O344" s="126"/>
      <c r="P344" s="128"/>
      <c r="Q344" s="126"/>
      <c r="R344" s="126"/>
      <c r="S344" s="126"/>
      <c r="T344" s="126"/>
      <c r="U344" s="126"/>
      <c r="V344" s="139"/>
      <c r="W344" s="25"/>
    </row>
    <row r="345" spans="1:23" ht="19.95" customHeight="1" thickBot="1">
      <c r="A345" s="362"/>
      <c r="B345" s="146"/>
      <c r="C345" s="140"/>
      <c r="D345" s="140"/>
      <c r="E345" s="140"/>
      <c r="F345" s="140"/>
      <c r="G345" s="141"/>
      <c r="H345" s="140"/>
      <c r="I345" s="140"/>
      <c r="J345" s="142"/>
      <c r="K345" s="140"/>
      <c r="L345" s="140"/>
      <c r="M345" s="143"/>
      <c r="N345" s="140"/>
      <c r="O345" s="140"/>
      <c r="P345" s="143"/>
      <c r="Q345" s="140"/>
      <c r="R345" s="140"/>
      <c r="S345" s="140"/>
      <c r="T345" s="140"/>
      <c r="U345" s="140"/>
      <c r="V345" s="144"/>
      <c r="W345" s="25"/>
    </row>
    <row r="346" spans="1:23" ht="19.95" customHeight="1">
      <c r="A346" s="360" t="str">
        <f>'Read Me First'!C18</f>
        <v/>
      </c>
      <c r="B346" s="133" cm="1">
        <f t="array" ref="B346:V355">_xlfn.LET(_xlpm.x, _xlfn._xlws.SORT(_xlfn._xlws.FILTER(Data!$A$249:$U$536,(Data!$C$249:$C$536=$A346)*(Data!$D$249:$D$536=$E$196)*(Data!$E$249:$E$536="U10")),18),_xlpm.y,_xlfn._xlws.SORT(_xlfn._xlws.FILTER(Data!$A$249:$U$536,(Data!$C$249:$C$536=$A346)*(Data!$D$249:$D$536=$E$196)*(Data!$E$249:$E$536="U12")),19), IFERROR(_xlfn.VSTACK(_xlpm.x,_xlpm.y), IFERROR(_xlpm.y,IFERROR(_xlpm.x, ""))))</f>
        <v>131</v>
      </c>
      <c r="C346" s="134" t="str">
        <v/>
      </c>
      <c r="D346" s="134" t="str">
        <v/>
      </c>
      <c r="E346" s="134" t="str">
        <v>BOYS</v>
      </c>
      <c r="F346" s="134" t="str">
        <v>U12</v>
      </c>
      <c r="G346" s="135" t="str">
        <v/>
      </c>
      <c r="H346" s="134">
        <v>0</v>
      </c>
      <c r="I346" s="134" t="str">
        <v/>
      </c>
      <c r="J346" s="136">
        <v>0</v>
      </c>
      <c r="K346" s="134">
        <v>0</v>
      </c>
      <c r="L346" s="134" t="str">
        <v/>
      </c>
      <c r="M346" s="137" t="str">
        <v/>
      </c>
      <c r="N346" s="134">
        <v>0</v>
      </c>
      <c r="O346" s="134" t="str">
        <v/>
      </c>
      <c r="P346" s="137" t="str">
        <v/>
      </c>
      <c r="Q346" s="134">
        <v>0</v>
      </c>
      <c r="R346" s="134">
        <v>0</v>
      </c>
      <c r="S346" s="134" t="str">
        <v/>
      </c>
      <c r="T346" s="134" t="str">
        <v/>
      </c>
      <c r="U346" s="134" t="str">
        <v/>
      </c>
      <c r="V346" s="138" t="str">
        <v/>
      </c>
      <c r="W346" s="25"/>
    </row>
    <row r="347" spans="1:23" ht="19.95" customHeight="1">
      <c r="A347" s="361"/>
      <c r="B347" s="145">
        <v>132</v>
      </c>
      <c r="C347" s="126" t="str">
        <v/>
      </c>
      <c r="D347" s="126" t="str">
        <v/>
      </c>
      <c r="E347" s="126" t="str">
        <v>BOYS</v>
      </c>
      <c r="F347" s="126" t="str">
        <v>U12</v>
      </c>
      <c r="G347" s="125" t="str">
        <v/>
      </c>
      <c r="H347" s="126">
        <v>0</v>
      </c>
      <c r="I347" s="126" t="str">
        <v/>
      </c>
      <c r="J347" s="127">
        <v>0</v>
      </c>
      <c r="K347" s="126">
        <v>0</v>
      </c>
      <c r="L347" s="126" t="str">
        <v/>
      </c>
      <c r="M347" s="128" t="str">
        <v/>
      </c>
      <c r="N347" s="126">
        <v>0</v>
      </c>
      <c r="O347" s="126" t="str">
        <v/>
      </c>
      <c r="P347" s="128" t="str">
        <v/>
      </c>
      <c r="Q347" s="126">
        <v>0</v>
      </c>
      <c r="R347" s="126">
        <v>0</v>
      </c>
      <c r="S347" s="126" t="str">
        <v/>
      </c>
      <c r="T347" s="126" t="str">
        <v/>
      </c>
      <c r="U347" s="126" t="str">
        <v/>
      </c>
      <c r="V347" s="139" t="str">
        <v/>
      </c>
      <c r="W347" s="19"/>
    </row>
    <row r="348" spans="1:23" ht="19.95" customHeight="1">
      <c r="A348" s="361"/>
      <c r="B348" s="145">
        <v>133</v>
      </c>
      <c r="C348" s="126" t="str">
        <v/>
      </c>
      <c r="D348" s="126" t="str">
        <v/>
      </c>
      <c r="E348" s="126" t="str">
        <v>BOYS</v>
      </c>
      <c r="F348" s="126" t="str">
        <v>U12</v>
      </c>
      <c r="G348" s="125" t="str">
        <v/>
      </c>
      <c r="H348" s="126">
        <v>0</v>
      </c>
      <c r="I348" s="126" t="str">
        <v/>
      </c>
      <c r="J348" s="127">
        <v>0</v>
      </c>
      <c r="K348" s="126">
        <v>0</v>
      </c>
      <c r="L348" s="126" t="str">
        <v/>
      </c>
      <c r="M348" s="128" t="str">
        <v/>
      </c>
      <c r="N348" s="126">
        <v>0</v>
      </c>
      <c r="O348" s="126" t="str">
        <v/>
      </c>
      <c r="P348" s="128" t="str">
        <v/>
      </c>
      <c r="Q348" s="126">
        <v>0</v>
      </c>
      <c r="R348" s="126">
        <v>0</v>
      </c>
      <c r="S348" s="126" t="str">
        <v/>
      </c>
      <c r="T348" s="126" t="str">
        <v/>
      </c>
      <c r="U348" s="126" t="str">
        <v/>
      </c>
      <c r="V348" s="139" t="str">
        <v/>
      </c>
      <c r="W348" s="25"/>
    </row>
    <row r="349" spans="1:23" ht="19.95" customHeight="1">
      <c r="A349" s="361"/>
      <c r="B349" s="145">
        <v>134</v>
      </c>
      <c r="C349" s="126" t="str">
        <v/>
      </c>
      <c r="D349" s="126" t="str">
        <v/>
      </c>
      <c r="E349" s="126" t="str">
        <v>BOYS</v>
      </c>
      <c r="F349" s="126" t="str">
        <v>U12</v>
      </c>
      <c r="G349" s="125" t="str">
        <v/>
      </c>
      <c r="H349" s="126">
        <v>0</v>
      </c>
      <c r="I349" s="126" t="str">
        <v/>
      </c>
      <c r="J349" s="127">
        <v>0</v>
      </c>
      <c r="K349" s="126">
        <v>0</v>
      </c>
      <c r="L349" s="126" t="str">
        <v/>
      </c>
      <c r="M349" s="128" t="str">
        <v/>
      </c>
      <c r="N349" s="126">
        <v>0</v>
      </c>
      <c r="O349" s="126" t="str">
        <v/>
      </c>
      <c r="P349" s="128" t="str">
        <v/>
      </c>
      <c r="Q349" s="126">
        <v>0</v>
      </c>
      <c r="R349" s="126">
        <v>0</v>
      </c>
      <c r="S349" s="126" t="str">
        <v/>
      </c>
      <c r="T349" s="126" t="str">
        <v/>
      </c>
      <c r="U349" s="126" t="str">
        <v/>
      </c>
      <c r="V349" s="139" t="str">
        <v/>
      </c>
      <c r="W349" s="25"/>
    </row>
    <row r="350" spans="1:23" ht="19.95" customHeight="1">
      <c r="A350" s="361"/>
      <c r="B350" s="145">
        <v>135</v>
      </c>
      <c r="C350" s="126" t="str">
        <v/>
      </c>
      <c r="D350" s="126" t="str">
        <v/>
      </c>
      <c r="E350" s="126" t="str">
        <v>BOYS</v>
      </c>
      <c r="F350" s="126" t="str">
        <v>U12</v>
      </c>
      <c r="G350" s="125" t="str">
        <v/>
      </c>
      <c r="H350" s="126">
        <v>0</v>
      </c>
      <c r="I350" s="126" t="str">
        <v/>
      </c>
      <c r="J350" s="127">
        <v>0</v>
      </c>
      <c r="K350" s="126">
        <v>0</v>
      </c>
      <c r="L350" s="126" t="str">
        <v/>
      </c>
      <c r="M350" s="128" t="str">
        <v/>
      </c>
      <c r="N350" s="126">
        <v>0</v>
      </c>
      <c r="O350" s="126" t="str">
        <v/>
      </c>
      <c r="P350" s="128" t="str">
        <v/>
      </c>
      <c r="Q350" s="126">
        <v>0</v>
      </c>
      <c r="R350" s="126">
        <v>0</v>
      </c>
      <c r="S350" s="126" t="str">
        <v/>
      </c>
      <c r="T350" s="126" t="str">
        <v/>
      </c>
      <c r="U350" s="126" t="str">
        <v/>
      </c>
      <c r="V350" s="139" t="str">
        <v/>
      </c>
      <c r="W350" s="25"/>
    </row>
    <row r="351" spans="1:23" ht="19.95" customHeight="1">
      <c r="A351" s="361"/>
      <c r="B351" s="145">
        <v>136</v>
      </c>
      <c r="C351" s="126" t="str">
        <v/>
      </c>
      <c r="D351" s="126" t="str">
        <v/>
      </c>
      <c r="E351" s="126" t="str">
        <v>BOYS</v>
      </c>
      <c r="F351" s="126" t="str">
        <v>U12</v>
      </c>
      <c r="G351" s="125" t="str">
        <v/>
      </c>
      <c r="H351" s="126">
        <v>0</v>
      </c>
      <c r="I351" s="126" t="str">
        <v/>
      </c>
      <c r="J351" s="127">
        <v>0</v>
      </c>
      <c r="K351" s="126">
        <v>0</v>
      </c>
      <c r="L351" s="126" t="str">
        <v/>
      </c>
      <c r="M351" s="128" t="str">
        <v/>
      </c>
      <c r="N351" s="126">
        <v>0</v>
      </c>
      <c r="O351" s="126" t="str">
        <v/>
      </c>
      <c r="P351" s="128" t="str">
        <v/>
      </c>
      <c r="Q351" s="126">
        <v>0</v>
      </c>
      <c r="R351" s="126">
        <v>0</v>
      </c>
      <c r="S351" s="126" t="str">
        <v/>
      </c>
      <c r="T351" s="126" t="str">
        <v/>
      </c>
      <c r="U351" s="126" t="str">
        <v/>
      </c>
      <c r="V351" s="139" t="str">
        <v/>
      </c>
      <c r="W351" s="25"/>
    </row>
    <row r="352" spans="1:23" ht="19.95" customHeight="1">
      <c r="A352" s="361"/>
      <c r="B352" s="145">
        <v>137</v>
      </c>
      <c r="C352" s="126" t="str">
        <v/>
      </c>
      <c r="D352" s="126" t="str">
        <v/>
      </c>
      <c r="E352" s="126" t="str">
        <v>BOYS</v>
      </c>
      <c r="F352" s="126" t="str">
        <v>U12</v>
      </c>
      <c r="G352" s="125" t="str">
        <v/>
      </c>
      <c r="H352" s="126">
        <v>0</v>
      </c>
      <c r="I352" s="126" t="str">
        <v/>
      </c>
      <c r="J352" s="127">
        <v>0</v>
      </c>
      <c r="K352" s="126">
        <v>0</v>
      </c>
      <c r="L352" s="126" t="str">
        <v/>
      </c>
      <c r="M352" s="128" t="str">
        <v/>
      </c>
      <c r="N352" s="126">
        <v>0</v>
      </c>
      <c r="O352" s="126" t="str">
        <v/>
      </c>
      <c r="P352" s="128" t="str">
        <v/>
      </c>
      <c r="Q352" s="126">
        <v>0</v>
      </c>
      <c r="R352" s="126">
        <v>0</v>
      </c>
      <c r="S352" s="126" t="str">
        <v/>
      </c>
      <c r="T352" s="126" t="str">
        <v/>
      </c>
      <c r="U352" s="126" t="str">
        <v/>
      </c>
      <c r="V352" s="139" t="str">
        <v/>
      </c>
      <c r="W352" s="25"/>
    </row>
    <row r="353" spans="1:23" ht="19.95" customHeight="1">
      <c r="A353" s="361"/>
      <c r="B353" s="145">
        <v>138</v>
      </c>
      <c r="C353" s="126" t="str">
        <v/>
      </c>
      <c r="D353" s="126" t="str">
        <v/>
      </c>
      <c r="E353" s="126" t="str">
        <v>BOYS</v>
      </c>
      <c r="F353" s="126" t="str">
        <v>U12</v>
      </c>
      <c r="G353" s="125" t="str">
        <v/>
      </c>
      <c r="H353" s="126">
        <v>0</v>
      </c>
      <c r="I353" s="126" t="str">
        <v/>
      </c>
      <c r="J353" s="127">
        <v>0</v>
      </c>
      <c r="K353" s="126">
        <v>0</v>
      </c>
      <c r="L353" s="126" t="str">
        <v/>
      </c>
      <c r="M353" s="128" t="str">
        <v/>
      </c>
      <c r="N353" s="126">
        <v>0</v>
      </c>
      <c r="O353" s="126" t="str">
        <v/>
      </c>
      <c r="P353" s="128" t="str">
        <v/>
      </c>
      <c r="Q353" s="126">
        <v>0</v>
      </c>
      <c r="R353" s="126">
        <v>0</v>
      </c>
      <c r="S353" s="126" t="str">
        <v/>
      </c>
      <c r="T353" s="126" t="str">
        <v/>
      </c>
      <c r="U353" s="126" t="str">
        <v/>
      </c>
      <c r="V353" s="139" t="str">
        <v/>
      </c>
      <c r="W353" s="25"/>
    </row>
    <row r="354" spans="1:23" ht="19.95" customHeight="1">
      <c r="A354" s="361"/>
      <c r="B354" s="145">
        <v>139</v>
      </c>
      <c r="C354" s="126" t="str">
        <v/>
      </c>
      <c r="D354" s="126" t="str">
        <v/>
      </c>
      <c r="E354" s="126" t="str">
        <v>BOYS</v>
      </c>
      <c r="F354" s="126" t="str">
        <v>U12</v>
      </c>
      <c r="G354" s="125" t="str">
        <v/>
      </c>
      <c r="H354" s="126">
        <v>0</v>
      </c>
      <c r="I354" s="126" t="str">
        <v/>
      </c>
      <c r="J354" s="127">
        <v>0</v>
      </c>
      <c r="K354" s="126">
        <v>0</v>
      </c>
      <c r="L354" s="126" t="str">
        <v/>
      </c>
      <c r="M354" s="128" t="str">
        <v/>
      </c>
      <c r="N354" s="126">
        <v>0</v>
      </c>
      <c r="O354" s="126" t="str">
        <v/>
      </c>
      <c r="P354" s="128" t="str">
        <v/>
      </c>
      <c r="Q354" s="126">
        <v>0</v>
      </c>
      <c r="R354" s="126">
        <v>0</v>
      </c>
      <c r="S354" s="126" t="str">
        <v/>
      </c>
      <c r="T354" s="126" t="str">
        <v/>
      </c>
      <c r="U354" s="126" t="str">
        <v/>
      </c>
      <c r="V354" s="139" t="str">
        <v/>
      </c>
      <c r="W354" s="25"/>
    </row>
    <row r="355" spans="1:23" ht="19.95" customHeight="1">
      <c r="A355" s="361"/>
      <c r="B355" s="145">
        <v>140</v>
      </c>
      <c r="C355" s="126" t="str">
        <v/>
      </c>
      <c r="D355" s="126" t="str">
        <v/>
      </c>
      <c r="E355" s="126" t="str">
        <v>BOYS</v>
      </c>
      <c r="F355" s="126" t="str">
        <v>U12</v>
      </c>
      <c r="G355" s="125" t="str">
        <v/>
      </c>
      <c r="H355" s="126">
        <v>0</v>
      </c>
      <c r="I355" s="126" t="str">
        <v/>
      </c>
      <c r="J355" s="127">
        <v>0</v>
      </c>
      <c r="K355" s="126">
        <v>0</v>
      </c>
      <c r="L355" s="126" t="str">
        <v/>
      </c>
      <c r="M355" s="128" t="str">
        <v/>
      </c>
      <c r="N355" s="126">
        <v>0</v>
      </c>
      <c r="O355" s="126" t="str">
        <v/>
      </c>
      <c r="P355" s="128" t="str">
        <v/>
      </c>
      <c r="Q355" s="126">
        <v>0</v>
      </c>
      <c r="R355" s="126">
        <v>0</v>
      </c>
      <c r="S355" s="126" t="str">
        <v/>
      </c>
      <c r="T355" s="126" t="str">
        <v/>
      </c>
      <c r="U355" s="126" t="str">
        <v/>
      </c>
      <c r="V355" s="139" t="str">
        <v/>
      </c>
      <c r="W355" s="25"/>
    </row>
    <row r="356" spans="1:23" ht="19.95" customHeight="1">
      <c r="A356" s="361"/>
      <c r="B356" s="145"/>
      <c r="C356" s="126"/>
      <c r="D356" s="126"/>
      <c r="E356" s="126"/>
      <c r="F356" s="126"/>
      <c r="G356" s="125"/>
      <c r="H356" s="126"/>
      <c r="I356" s="126"/>
      <c r="J356" s="127"/>
      <c r="K356" s="126"/>
      <c r="L356" s="126"/>
      <c r="M356" s="128"/>
      <c r="N356" s="126"/>
      <c r="O356" s="126"/>
      <c r="P356" s="128"/>
      <c r="Q356" s="126"/>
      <c r="R356" s="126"/>
      <c r="S356" s="126"/>
      <c r="T356" s="126"/>
      <c r="U356" s="126"/>
      <c r="V356" s="139"/>
      <c r="W356" s="25"/>
    </row>
    <row r="357" spans="1:23" ht="19.95" customHeight="1">
      <c r="A357" s="361"/>
      <c r="B357" s="145"/>
      <c r="C357" s="126"/>
      <c r="D357" s="126"/>
      <c r="E357" s="126"/>
      <c r="F357" s="126"/>
      <c r="G357" s="125"/>
      <c r="H357" s="126"/>
      <c r="I357" s="126"/>
      <c r="J357" s="127"/>
      <c r="K357" s="126"/>
      <c r="L357" s="126"/>
      <c r="M357" s="128"/>
      <c r="N357" s="126"/>
      <c r="O357" s="126"/>
      <c r="P357" s="128"/>
      <c r="Q357" s="126"/>
      <c r="R357" s="126"/>
      <c r="S357" s="126"/>
      <c r="T357" s="126"/>
      <c r="U357" s="126"/>
      <c r="V357" s="139"/>
      <c r="W357" s="25"/>
    </row>
    <row r="358" spans="1:23" ht="19.95" customHeight="1">
      <c r="A358" s="361"/>
      <c r="B358" s="145"/>
      <c r="C358" s="126"/>
      <c r="D358" s="126"/>
      <c r="E358" s="126"/>
      <c r="F358" s="126"/>
      <c r="G358" s="125"/>
      <c r="H358" s="126"/>
      <c r="I358" s="126"/>
      <c r="J358" s="127"/>
      <c r="K358" s="126"/>
      <c r="L358" s="126"/>
      <c r="M358" s="128"/>
      <c r="N358" s="126"/>
      <c r="O358" s="126"/>
      <c r="P358" s="128"/>
      <c r="Q358" s="126"/>
      <c r="R358" s="126"/>
      <c r="S358" s="126"/>
      <c r="T358" s="126"/>
      <c r="U358" s="126"/>
      <c r="V358" s="139"/>
      <c r="W358" s="25"/>
    </row>
    <row r="359" spans="1:23" ht="19.95" customHeight="1">
      <c r="A359" s="361"/>
      <c r="B359" s="145"/>
      <c r="C359" s="126"/>
      <c r="D359" s="126"/>
      <c r="E359" s="126"/>
      <c r="F359" s="126"/>
      <c r="G359" s="125"/>
      <c r="H359" s="126"/>
      <c r="I359" s="126"/>
      <c r="J359" s="127"/>
      <c r="K359" s="126"/>
      <c r="L359" s="126"/>
      <c r="M359" s="128"/>
      <c r="N359" s="126"/>
      <c r="O359" s="126"/>
      <c r="P359" s="128"/>
      <c r="Q359" s="126"/>
      <c r="R359" s="126"/>
      <c r="S359" s="126"/>
      <c r="T359" s="126"/>
      <c r="U359" s="126"/>
      <c r="V359" s="139"/>
      <c r="W359" s="25"/>
    </row>
    <row r="360" spans="1:23" ht="19.95" customHeight="1">
      <c r="A360" s="361"/>
      <c r="B360" s="145"/>
      <c r="C360" s="126"/>
      <c r="D360" s="126"/>
      <c r="E360" s="126"/>
      <c r="F360" s="126"/>
      <c r="G360" s="125"/>
      <c r="H360" s="126"/>
      <c r="I360" s="126"/>
      <c r="J360" s="127"/>
      <c r="K360" s="126"/>
      <c r="L360" s="126"/>
      <c r="M360" s="128"/>
      <c r="N360" s="126"/>
      <c r="O360" s="126"/>
      <c r="P360" s="128"/>
      <c r="Q360" s="126"/>
      <c r="R360" s="126"/>
      <c r="S360" s="126"/>
      <c r="T360" s="126"/>
      <c r="U360" s="126"/>
      <c r="V360" s="139"/>
      <c r="W360" s="25"/>
    </row>
    <row r="361" spans="1:23" ht="19.95" customHeight="1">
      <c r="A361" s="361"/>
      <c r="B361" s="145"/>
      <c r="C361" s="126"/>
      <c r="D361" s="126"/>
      <c r="E361" s="126"/>
      <c r="F361" s="126"/>
      <c r="G361" s="125"/>
      <c r="H361" s="126"/>
      <c r="I361" s="126"/>
      <c r="J361" s="127"/>
      <c r="K361" s="126"/>
      <c r="L361" s="126"/>
      <c r="M361" s="128"/>
      <c r="N361" s="126"/>
      <c r="O361" s="126"/>
      <c r="P361" s="128"/>
      <c r="Q361" s="126"/>
      <c r="R361" s="126"/>
      <c r="S361" s="126"/>
      <c r="T361" s="126"/>
      <c r="U361" s="126"/>
      <c r="V361" s="139"/>
      <c r="W361" s="25"/>
    </row>
    <row r="362" spans="1:23" ht="19.95" customHeight="1">
      <c r="A362" s="361"/>
      <c r="B362" s="145"/>
      <c r="C362" s="126"/>
      <c r="D362" s="126"/>
      <c r="E362" s="126"/>
      <c r="F362" s="126"/>
      <c r="G362" s="125"/>
      <c r="H362" s="126"/>
      <c r="I362" s="126"/>
      <c r="J362" s="127"/>
      <c r="K362" s="126"/>
      <c r="L362" s="126"/>
      <c r="M362" s="128"/>
      <c r="N362" s="126"/>
      <c r="O362" s="126"/>
      <c r="P362" s="128"/>
      <c r="Q362" s="126"/>
      <c r="R362" s="126"/>
      <c r="S362" s="126"/>
      <c r="T362" s="126"/>
      <c r="U362" s="126"/>
      <c r="V362" s="139"/>
      <c r="W362" s="25"/>
    </row>
    <row r="363" spans="1:23" ht="19.95" customHeight="1">
      <c r="A363" s="361"/>
      <c r="B363" s="145"/>
      <c r="C363" s="126"/>
      <c r="D363" s="126"/>
      <c r="E363" s="126"/>
      <c r="F363" s="126"/>
      <c r="G363" s="125"/>
      <c r="H363" s="126"/>
      <c r="I363" s="126"/>
      <c r="J363" s="127"/>
      <c r="K363" s="126"/>
      <c r="L363" s="126"/>
      <c r="M363" s="128"/>
      <c r="N363" s="126"/>
      <c r="O363" s="126"/>
      <c r="P363" s="128"/>
      <c r="Q363" s="126"/>
      <c r="R363" s="126"/>
      <c r="S363" s="126"/>
      <c r="T363" s="126"/>
      <c r="U363" s="126"/>
      <c r="V363" s="139"/>
      <c r="W363" s="25"/>
    </row>
    <row r="364" spans="1:23" ht="19.95" customHeight="1">
      <c r="A364" s="361"/>
      <c r="B364" s="145"/>
      <c r="C364" s="126"/>
      <c r="D364" s="126"/>
      <c r="E364" s="126"/>
      <c r="F364" s="126"/>
      <c r="G364" s="125"/>
      <c r="H364" s="126"/>
      <c r="I364" s="126"/>
      <c r="J364" s="127"/>
      <c r="K364" s="126"/>
      <c r="L364" s="126"/>
      <c r="M364" s="128"/>
      <c r="N364" s="126"/>
      <c r="O364" s="126"/>
      <c r="P364" s="128"/>
      <c r="Q364" s="126"/>
      <c r="R364" s="126"/>
      <c r="S364" s="126"/>
      <c r="T364" s="126"/>
      <c r="U364" s="126"/>
      <c r="V364" s="139"/>
      <c r="W364" s="25"/>
    </row>
    <row r="365" spans="1:23" ht="19.95" customHeight="1" thickBot="1">
      <c r="A365" s="362"/>
      <c r="B365" s="146"/>
      <c r="C365" s="140"/>
      <c r="D365" s="140"/>
      <c r="E365" s="140"/>
      <c r="F365" s="140"/>
      <c r="G365" s="141"/>
      <c r="H365" s="140"/>
      <c r="I365" s="140"/>
      <c r="J365" s="142"/>
      <c r="K365" s="140"/>
      <c r="L365" s="140"/>
      <c r="M365" s="143"/>
      <c r="N365" s="140"/>
      <c r="O365" s="140"/>
      <c r="P365" s="143"/>
      <c r="Q365" s="140"/>
      <c r="R365" s="140"/>
      <c r="S365" s="140"/>
      <c r="T365" s="140"/>
      <c r="U365" s="140"/>
      <c r="V365" s="144"/>
      <c r="W365" s="25"/>
    </row>
    <row r="366" spans="1:23" ht="19.95" customHeight="1">
      <c r="A366" s="360" t="str">
        <f>'Read Me First'!C19</f>
        <v/>
      </c>
      <c r="B366" s="133" cm="1">
        <f t="array" ref="B366:V375">_xlfn.LET(_xlpm.x, _xlfn._xlws.SORT(_xlfn._xlws.FILTER(Data!$A$249:$U$536,(Data!$C$249:$C$536=$A366)*(Data!$D$249:$D$536=$E$196)*(Data!$E$249:$E$536="U10")),18),_xlpm.y,_xlfn._xlws.SORT(_xlfn._xlws.FILTER(Data!$A$249:$U$536,(Data!$C$249:$C$536=$A366)*(Data!$D$249:$D$536=$E$196)*(Data!$E$249:$E$536="U12")),19), IFERROR(_xlfn.VSTACK(_xlpm.x,_xlpm.y), IFERROR(_xlpm.y,IFERROR(_xlpm.x, ""))))</f>
        <v>131</v>
      </c>
      <c r="C366" s="134" t="str">
        <v/>
      </c>
      <c r="D366" s="134" t="str">
        <v/>
      </c>
      <c r="E366" s="134" t="str">
        <v>BOYS</v>
      </c>
      <c r="F366" s="134" t="str">
        <v>U12</v>
      </c>
      <c r="G366" s="135" t="str">
        <v/>
      </c>
      <c r="H366" s="134">
        <v>0</v>
      </c>
      <c r="I366" s="134" t="str">
        <v/>
      </c>
      <c r="J366" s="136">
        <v>0</v>
      </c>
      <c r="K366" s="134">
        <v>0</v>
      </c>
      <c r="L366" s="134" t="str">
        <v/>
      </c>
      <c r="M366" s="137" t="str">
        <v/>
      </c>
      <c r="N366" s="134">
        <v>0</v>
      </c>
      <c r="O366" s="134" t="str">
        <v/>
      </c>
      <c r="P366" s="137" t="str">
        <v/>
      </c>
      <c r="Q366" s="134">
        <v>0</v>
      </c>
      <c r="R366" s="134">
        <v>0</v>
      </c>
      <c r="S366" s="134" t="str">
        <v/>
      </c>
      <c r="T366" s="134" t="str">
        <v/>
      </c>
      <c r="U366" s="134" t="str">
        <v/>
      </c>
      <c r="V366" s="138" t="str">
        <v/>
      </c>
      <c r="W366" s="25"/>
    </row>
    <row r="367" spans="1:23" ht="19.95" customHeight="1">
      <c r="A367" s="361"/>
      <c r="B367" s="145">
        <v>132</v>
      </c>
      <c r="C367" s="126" t="str">
        <v/>
      </c>
      <c r="D367" s="126" t="str">
        <v/>
      </c>
      <c r="E367" s="126" t="str">
        <v>BOYS</v>
      </c>
      <c r="F367" s="126" t="str">
        <v>U12</v>
      </c>
      <c r="G367" s="125" t="str">
        <v/>
      </c>
      <c r="H367" s="126">
        <v>0</v>
      </c>
      <c r="I367" s="126" t="str">
        <v/>
      </c>
      <c r="J367" s="127">
        <v>0</v>
      </c>
      <c r="K367" s="126">
        <v>0</v>
      </c>
      <c r="L367" s="126" t="str">
        <v/>
      </c>
      <c r="M367" s="128" t="str">
        <v/>
      </c>
      <c r="N367" s="126">
        <v>0</v>
      </c>
      <c r="O367" s="126" t="str">
        <v/>
      </c>
      <c r="P367" s="128" t="str">
        <v/>
      </c>
      <c r="Q367" s="126">
        <v>0</v>
      </c>
      <c r="R367" s="126">
        <v>0</v>
      </c>
      <c r="S367" s="126" t="str">
        <v/>
      </c>
      <c r="T367" s="126" t="str">
        <v/>
      </c>
      <c r="U367" s="126" t="str">
        <v/>
      </c>
      <c r="V367" s="139" t="str">
        <v/>
      </c>
      <c r="W367" s="25"/>
    </row>
    <row r="368" spans="1:23" ht="19.95" customHeight="1">
      <c r="A368" s="361"/>
      <c r="B368" s="145">
        <v>133</v>
      </c>
      <c r="C368" s="126" t="str">
        <v/>
      </c>
      <c r="D368" s="126" t="str">
        <v/>
      </c>
      <c r="E368" s="126" t="str">
        <v>BOYS</v>
      </c>
      <c r="F368" s="126" t="str">
        <v>U12</v>
      </c>
      <c r="G368" s="125" t="str">
        <v/>
      </c>
      <c r="H368" s="126">
        <v>0</v>
      </c>
      <c r="I368" s="126" t="str">
        <v/>
      </c>
      <c r="J368" s="127">
        <v>0</v>
      </c>
      <c r="K368" s="126">
        <v>0</v>
      </c>
      <c r="L368" s="126" t="str">
        <v/>
      </c>
      <c r="M368" s="128" t="str">
        <v/>
      </c>
      <c r="N368" s="126">
        <v>0</v>
      </c>
      <c r="O368" s="126" t="str">
        <v/>
      </c>
      <c r="P368" s="128" t="str">
        <v/>
      </c>
      <c r="Q368" s="126">
        <v>0</v>
      </c>
      <c r="R368" s="126">
        <v>0</v>
      </c>
      <c r="S368" s="126" t="str">
        <v/>
      </c>
      <c r="T368" s="126" t="str">
        <v/>
      </c>
      <c r="U368" s="126" t="str">
        <v/>
      </c>
      <c r="V368" s="139" t="str">
        <v/>
      </c>
      <c r="W368" s="19"/>
    </row>
    <row r="369" spans="1:23" ht="19.95" customHeight="1">
      <c r="A369" s="361"/>
      <c r="B369" s="145">
        <v>134</v>
      </c>
      <c r="C369" s="126" t="str">
        <v/>
      </c>
      <c r="D369" s="126" t="str">
        <v/>
      </c>
      <c r="E369" s="126" t="str">
        <v>BOYS</v>
      </c>
      <c r="F369" s="126" t="str">
        <v>U12</v>
      </c>
      <c r="G369" s="125" t="str">
        <v/>
      </c>
      <c r="H369" s="126">
        <v>0</v>
      </c>
      <c r="I369" s="126" t="str">
        <v/>
      </c>
      <c r="J369" s="127">
        <v>0</v>
      </c>
      <c r="K369" s="126">
        <v>0</v>
      </c>
      <c r="L369" s="126" t="str">
        <v/>
      </c>
      <c r="M369" s="128" t="str">
        <v/>
      </c>
      <c r="N369" s="126">
        <v>0</v>
      </c>
      <c r="O369" s="126" t="str">
        <v/>
      </c>
      <c r="P369" s="128" t="str">
        <v/>
      </c>
      <c r="Q369" s="126">
        <v>0</v>
      </c>
      <c r="R369" s="126">
        <v>0</v>
      </c>
      <c r="S369" s="126" t="str">
        <v/>
      </c>
      <c r="T369" s="126" t="str">
        <v/>
      </c>
      <c r="U369" s="126" t="str">
        <v/>
      </c>
      <c r="V369" s="139" t="str">
        <v/>
      </c>
      <c r="W369" s="25"/>
    </row>
    <row r="370" spans="1:23" ht="19.95" customHeight="1">
      <c r="A370" s="361"/>
      <c r="B370" s="145">
        <v>135</v>
      </c>
      <c r="C370" s="126" t="str">
        <v/>
      </c>
      <c r="D370" s="126" t="str">
        <v/>
      </c>
      <c r="E370" s="126" t="str">
        <v>BOYS</v>
      </c>
      <c r="F370" s="126" t="str">
        <v>U12</v>
      </c>
      <c r="G370" s="125" t="str">
        <v/>
      </c>
      <c r="H370" s="126">
        <v>0</v>
      </c>
      <c r="I370" s="126" t="str">
        <v/>
      </c>
      <c r="J370" s="127">
        <v>0</v>
      </c>
      <c r="K370" s="126">
        <v>0</v>
      </c>
      <c r="L370" s="126" t="str">
        <v/>
      </c>
      <c r="M370" s="128" t="str">
        <v/>
      </c>
      <c r="N370" s="126">
        <v>0</v>
      </c>
      <c r="O370" s="126" t="str">
        <v/>
      </c>
      <c r="P370" s="128" t="str">
        <v/>
      </c>
      <c r="Q370" s="126">
        <v>0</v>
      </c>
      <c r="R370" s="126">
        <v>0</v>
      </c>
      <c r="S370" s="126" t="str">
        <v/>
      </c>
      <c r="T370" s="126" t="str">
        <v/>
      </c>
      <c r="U370" s="126" t="str">
        <v/>
      </c>
      <c r="V370" s="139" t="str">
        <v/>
      </c>
      <c r="W370" s="25"/>
    </row>
    <row r="371" spans="1:23" ht="19.95" customHeight="1">
      <c r="A371" s="361"/>
      <c r="B371" s="145">
        <v>136</v>
      </c>
      <c r="C371" s="126" t="str">
        <v/>
      </c>
      <c r="D371" s="126" t="str">
        <v/>
      </c>
      <c r="E371" s="126" t="str">
        <v>BOYS</v>
      </c>
      <c r="F371" s="126" t="str">
        <v>U12</v>
      </c>
      <c r="G371" s="125" t="str">
        <v/>
      </c>
      <c r="H371" s="126">
        <v>0</v>
      </c>
      <c r="I371" s="126" t="str">
        <v/>
      </c>
      <c r="J371" s="127">
        <v>0</v>
      </c>
      <c r="K371" s="126">
        <v>0</v>
      </c>
      <c r="L371" s="126" t="str">
        <v/>
      </c>
      <c r="M371" s="128" t="str">
        <v/>
      </c>
      <c r="N371" s="126">
        <v>0</v>
      </c>
      <c r="O371" s="126" t="str">
        <v/>
      </c>
      <c r="P371" s="128" t="str">
        <v/>
      </c>
      <c r="Q371" s="126">
        <v>0</v>
      </c>
      <c r="R371" s="126">
        <v>0</v>
      </c>
      <c r="S371" s="126" t="str">
        <v/>
      </c>
      <c r="T371" s="126" t="str">
        <v/>
      </c>
      <c r="U371" s="126" t="str">
        <v/>
      </c>
      <c r="V371" s="139" t="str">
        <v/>
      </c>
      <c r="W371" s="25"/>
    </row>
    <row r="372" spans="1:23" ht="19.95" customHeight="1">
      <c r="A372" s="361"/>
      <c r="B372" s="145">
        <v>137</v>
      </c>
      <c r="C372" s="126" t="str">
        <v/>
      </c>
      <c r="D372" s="126" t="str">
        <v/>
      </c>
      <c r="E372" s="126" t="str">
        <v>BOYS</v>
      </c>
      <c r="F372" s="126" t="str">
        <v>U12</v>
      </c>
      <c r="G372" s="125" t="str">
        <v/>
      </c>
      <c r="H372" s="126">
        <v>0</v>
      </c>
      <c r="I372" s="126" t="str">
        <v/>
      </c>
      <c r="J372" s="127">
        <v>0</v>
      </c>
      <c r="K372" s="126">
        <v>0</v>
      </c>
      <c r="L372" s="126" t="str">
        <v/>
      </c>
      <c r="M372" s="128" t="str">
        <v/>
      </c>
      <c r="N372" s="126">
        <v>0</v>
      </c>
      <c r="O372" s="126" t="str">
        <v/>
      </c>
      <c r="P372" s="128" t="str">
        <v/>
      </c>
      <c r="Q372" s="126">
        <v>0</v>
      </c>
      <c r="R372" s="126">
        <v>0</v>
      </c>
      <c r="S372" s="126" t="str">
        <v/>
      </c>
      <c r="T372" s="126" t="str">
        <v/>
      </c>
      <c r="U372" s="126" t="str">
        <v/>
      </c>
      <c r="V372" s="139" t="str">
        <v/>
      </c>
      <c r="W372" s="25"/>
    </row>
    <row r="373" spans="1:23" ht="19.95" customHeight="1">
      <c r="A373" s="361"/>
      <c r="B373" s="145">
        <v>138</v>
      </c>
      <c r="C373" s="126" t="str">
        <v/>
      </c>
      <c r="D373" s="126" t="str">
        <v/>
      </c>
      <c r="E373" s="126" t="str">
        <v>BOYS</v>
      </c>
      <c r="F373" s="126" t="str">
        <v>U12</v>
      </c>
      <c r="G373" s="125" t="str">
        <v/>
      </c>
      <c r="H373" s="126">
        <v>0</v>
      </c>
      <c r="I373" s="126" t="str">
        <v/>
      </c>
      <c r="J373" s="127">
        <v>0</v>
      </c>
      <c r="K373" s="126">
        <v>0</v>
      </c>
      <c r="L373" s="126" t="str">
        <v/>
      </c>
      <c r="M373" s="128" t="str">
        <v/>
      </c>
      <c r="N373" s="126">
        <v>0</v>
      </c>
      <c r="O373" s="126" t="str">
        <v/>
      </c>
      <c r="P373" s="128" t="str">
        <v/>
      </c>
      <c r="Q373" s="126">
        <v>0</v>
      </c>
      <c r="R373" s="126">
        <v>0</v>
      </c>
      <c r="S373" s="126" t="str">
        <v/>
      </c>
      <c r="T373" s="126" t="str">
        <v/>
      </c>
      <c r="U373" s="126" t="str">
        <v/>
      </c>
      <c r="V373" s="139" t="str">
        <v/>
      </c>
      <c r="W373" s="25"/>
    </row>
    <row r="374" spans="1:23" ht="19.95" customHeight="1">
      <c r="A374" s="361"/>
      <c r="B374" s="145">
        <v>139</v>
      </c>
      <c r="C374" s="126" t="str">
        <v/>
      </c>
      <c r="D374" s="126" t="str">
        <v/>
      </c>
      <c r="E374" s="126" t="str">
        <v>BOYS</v>
      </c>
      <c r="F374" s="126" t="str">
        <v>U12</v>
      </c>
      <c r="G374" s="125" t="str">
        <v/>
      </c>
      <c r="H374" s="126">
        <v>0</v>
      </c>
      <c r="I374" s="126" t="str">
        <v/>
      </c>
      <c r="J374" s="127">
        <v>0</v>
      </c>
      <c r="K374" s="126">
        <v>0</v>
      </c>
      <c r="L374" s="126" t="str">
        <v/>
      </c>
      <c r="M374" s="128" t="str">
        <v/>
      </c>
      <c r="N374" s="126">
        <v>0</v>
      </c>
      <c r="O374" s="126" t="str">
        <v/>
      </c>
      <c r="P374" s="128" t="str">
        <v/>
      </c>
      <c r="Q374" s="126">
        <v>0</v>
      </c>
      <c r="R374" s="126">
        <v>0</v>
      </c>
      <c r="S374" s="126" t="str">
        <v/>
      </c>
      <c r="T374" s="126" t="str">
        <v/>
      </c>
      <c r="U374" s="126" t="str">
        <v/>
      </c>
      <c r="V374" s="139" t="str">
        <v/>
      </c>
      <c r="W374" s="25"/>
    </row>
    <row r="375" spans="1:23" ht="19.95" customHeight="1">
      <c r="A375" s="361"/>
      <c r="B375" s="145">
        <v>140</v>
      </c>
      <c r="C375" s="126" t="str">
        <v/>
      </c>
      <c r="D375" s="126" t="str">
        <v/>
      </c>
      <c r="E375" s="126" t="str">
        <v>BOYS</v>
      </c>
      <c r="F375" s="126" t="str">
        <v>U12</v>
      </c>
      <c r="G375" s="125" t="str">
        <v/>
      </c>
      <c r="H375" s="126">
        <v>0</v>
      </c>
      <c r="I375" s="126" t="str">
        <v/>
      </c>
      <c r="J375" s="127">
        <v>0</v>
      </c>
      <c r="K375" s="126">
        <v>0</v>
      </c>
      <c r="L375" s="126" t="str">
        <v/>
      </c>
      <c r="M375" s="128" t="str">
        <v/>
      </c>
      <c r="N375" s="126">
        <v>0</v>
      </c>
      <c r="O375" s="126" t="str">
        <v/>
      </c>
      <c r="P375" s="128" t="str">
        <v/>
      </c>
      <c r="Q375" s="126">
        <v>0</v>
      </c>
      <c r="R375" s="126">
        <v>0</v>
      </c>
      <c r="S375" s="126" t="str">
        <v/>
      </c>
      <c r="T375" s="126" t="str">
        <v/>
      </c>
      <c r="U375" s="126" t="str">
        <v/>
      </c>
      <c r="V375" s="139" t="str">
        <v/>
      </c>
      <c r="W375" s="25"/>
    </row>
    <row r="376" spans="1:23" ht="19.95" customHeight="1">
      <c r="A376" s="361"/>
      <c r="B376" s="145"/>
      <c r="C376" s="126"/>
      <c r="D376" s="126"/>
      <c r="E376" s="126"/>
      <c r="F376" s="126"/>
      <c r="G376" s="125"/>
      <c r="H376" s="126"/>
      <c r="I376" s="126"/>
      <c r="J376" s="127"/>
      <c r="K376" s="126"/>
      <c r="L376" s="126"/>
      <c r="M376" s="128"/>
      <c r="N376" s="126"/>
      <c r="O376" s="126"/>
      <c r="P376" s="128"/>
      <c r="Q376" s="126"/>
      <c r="R376" s="126"/>
      <c r="S376" s="126"/>
      <c r="T376" s="126"/>
      <c r="U376" s="126"/>
      <c r="V376" s="139"/>
      <c r="W376" s="25"/>
    </row>
    <row r="377" spans="1:23" ht="19.95" customHeight="1">
      <c r="A377" s="361"/>
      <c r="B377" s="145"/>
      <c r="C377" s="126"/>
      <c r="D377" s="126"/>
      <c r="E377" s="126"/>
      <c r="F377" s="126"/>
      <c r="G377" s="125"/>
      <c r="H377" s="126"/>
      <c r="I377" s="126"/>
      <c r="J377" s="127"/>
      <c r="K377" s="126"/>
      <c r="L377" s="126"/>
      <c r="M377" s="128"/>
      <c r="N377" s="126"/>
      <c r="O377" s="126"/>
      <c r="P377" s="128"/>
      <c r="Q377" s="126"/>
      <c r="R377" s="126"/>
      <c r="S377" s="126"/>
      <c r="T377" s="126"/>
      <c r="U377" s="126"/>
      <c r="V377" s="139"/>
      <c r="W377" s="25"/>
    </row>
    <row r="378" spans="1:23" ht="19.95" customHeight="1">
      <c r="A378" s="361"/>
      <c r="B378" s="145"/>
      <c r="C378" s="126"/>
      <c r="D378" s="126"/>
      <c r="E378" s="126"/>
      <c r="F378" s="126"/>
      <c r="G378" s="125"/>
      <c r="H378" s="126"/>
      <c r="I378" s="126"/>
      <c r="J378" s="127"/>
      <c r="K378" s="126"/>
      <c r="L378" s="126"/>
      <c r="M378" s="128"/>
      <c r="N378" s="126"/>
      <c r="O378" s="126"/>
      <c r="P378" s="128"/>
      <c r="Q378" s="126"/>
      <c r="R378" s="126"/>
      <c r="S378" s="126"/>
      <c r="T378" s="126"/>
      <c r="U378" s="126"/>
      <c r="V378" s="139"/>
      <c r="W378" s="25"/>
    </row>
    <row r="379" spans="1:23" ht="19.95" customHeight="1">
      <c r="A379" s="361"/>
      <c r="B379" s="145"/>
      <c r="C379" s="126"/>
      <c r="D379" s="126"/>
      <c r="E379" s="126"/>
      <c r="F379" s="126"/>
      <c r="G379" s="125"/>
      <c r="H379" s="126"/>
      <c r="I379" s="126"/>
      <c r="J379" s="127"/>
      <c r="K379" s="126"/>
      <c r="L379" s="126"/>
      <c r="M379" s="128"/>
      <c r="N379" s="126"/>
      <c r="O379" s="126"/>
      <c r="P379" s="128"/>
      <c r="Q379" s="126"/>
      <c r="R379" s="126"/>
      <c r="S379" s="126"/>
      <c r="T379" s="126"/>
      <c r="U379" s="126"/>
      <c r="V379" s="139"/>
      <c r="W379" s="25"/>
    </row>
    <row r="380" spans="1:23" ht="19.95" customHeight="1">
      <c r="A380" s="361"/>
      <c r="B380" s="145"/>
      <c r="C380" s="126"/>
      <c r="D380" s="126"/>
      <c r="E380" s="126"/>
      <c r="F380" s="126"/>
      <c r="G380" s="125"/>
      <c r="H380" s="126"/>
      <c r="I380" s="126"/>
      <c r="J380" s="127"/>
      <c r="K380" s="126"/>
      <c r="L380" s="126"/>
      <c r="M380" s="128"/>
      <c r="N380" s="126"/>
      <c r="O380" s="126"/>
      <c r="P380" s="128"/>
      <c r="Q380" s="126"/>
      <c r="R380" s="126"/>
      <c r="S380" s="126"/>
      <c r="T380" s="126"/>
      <c r="U380" s="126"/>
      <c r="V380" s="139"/>
      <c r="W380" s="25"/>
    </row>
    <row r="381" spans="1:23" ht="19.95" customHeight="1">
      <c r="A381" s="361"/>
      <c r="B381" s="145"/>
      <c r="C381" s="126"/>
      <c r="D381" s="126"/>
      <c r="E381" s="126"/>
      <c r="F381" s="126"/>
      <c r="G381" s="125"/>
      <c r="H381" s="126"/>
      <c r="I381" s="126"/>
      <c r="J381" s="127"/>
      <c r="K381" s="126"/>
      <c r="L381" s="126"/>
      <c r="M381" s="128"/>
      <c r="N381" s="126"/>
      <c r="O381" s="126"/>
      <c r="P381" s="128"/>
      <c r="Q381" s="126"/>
      <c r="R381" s="126"/>
      <c r="S381" s="126"/>
      <c r="T381" s="126"/>
      <c r="U381" s="126"/>
      <c r="V381" s="139"/>
      <c r="W381" s="25"/>
    </row>
    <row r="382" spans="1:23" ht="19.95" customHeight="1">
      <c r="A382" s="361"/>
      <c r="B382" s="145"/>
      <c r="C382" s="126"/>
      <c r="D382" s="126"/>
      <c r="E382" s="126"/>
      <c r="F382" s="126"/>
      <c r="G382" s="125"/>
      <c r="H382" s="126"/>
      <c r="I382" s="126"/>
      <c r="J382" s="127"/>
      <c r="K382" s="126"/>
      <c r="L382" s="126"/>
      <c r="M382" s="128"/>
      <c r="N382" s="126"/>
      <c r="O382" s="126"/>
      <c r="P382" s="128"/>
      <c r="Q382" s="126"/>
      <c r="R382" s="126"/>
      <c r="S382" s="126"/>
      <c r="T382" s="126"/>
      <c r="U382" s="126"/>
      <c r="V382" s="139"/>
      <c r="W382" s="25"/>
    </row>
    <row r="383" spans="1:23" ht="19.95" customHeight="1">
      <c r="A383" s="361"/>
      <c r="B383" s="145"/>
      <c r="C383" s="126"/>
      <c r="D383" s="126"/>
      <c r="E383" s="126"/>
      <c r="F383" s="126"/>
      <c r="G383" s="125"/>
      <c r="H383" s="126"/>
      <c r="I383" s="126"/>
      <c r="J383" s="127"/>
      <c r="K383" s="126"/>
      <c r="L383" s="126"/>
      <c r="M383" s="128"/>
      <c r="N383" s="126"/>
      <c r="O383" s="126"/>
      <c r="P383" s="128"/>
      <c r="Q383" s="126"/>
      <c r="R383" s="126"/>
      <c r="S383" s="126"/>
      <c r="T383" s="126"/>
      <c r="U383" s="126"/>
      <c r="V383" s="139"/>
      <c r="W383" s="25"/>
    </row>
    <row r="384" spans="1:23" ht="19.95" customHeight="1">
      <c r="A384" s="361"/>
      <c r="B384" s="145"/>
      <c r="C384" s="126"/>
      <c r="D384" s="126"/>
      <c r="E384" s="126"/>
      <c r="F384" s="126"/>
      <c r="G384" s="125"/>
      <c r="H384" s="126"/>
      <c r="I384" s="126"/>
      <c r="J384" s="127"/>
      <c r="K384" s="126"/>
      <c r="L384" s="126"/>
      <c r="M384" s="128"/>
      <c r="N384" s="126"/>
      <c r="O384" s="126"/>
      <c r="P384" s="128"/>
      <c r="Q384" s="126"/>
      <c r="R384" s="126"/>
      <c r="S384" s="126"/>
      <c r="T384" s="126"/>
      <c r="U384" s="126"/>
      <c r="V384" s="139"/>
      <c r="W384" s="25"/>
    </row>
    <row r="385" spans="1:23" ht="19.95" customHeight="1" thickBot="1">
      <c r="A385" s="362"/>
      <c r="B385" s="146"/>
      <c r="C385" s="140"/>
      <c r="D385" s="140"/>
      <c r="E385" s="140"/>
      <c r="F385" s="140"/>
      <c r="G385" s="141"/>
      <c r="H385" s="140"/>
      <c r="I385" s="140"/>
      <c r="J385" s="142"/>
      <c r="K385" s="140"/>
      <c r="L385" s="140"/>
      <c r="M385" s="143"/>
      <c r="N385" s="140"/>
      <c r="O385" s="140"/>
      <c r="P385" s="143"/>
      <c r="Q385" s="140"/>
      <c r="R385" s="140"/>
      <c r="S385" s="140"/>
      <c r="T385" s="140"/>
      <c r="U385" s="140"/>
      <c r="V385" s="144"/>
      <c r="W385" s="25"/>
    </row>
    <row r="386" spans="1:23" ht="17.399999999999999">
      <c r="W386" s="25"/>
    </row>
    <row r="387" spans="1:23" ht="17.399999999999999">
      <c r="W387" s="25"/>
    </row>
    <row r="388" spans="1:23" ht="17.399999999999999">
      <c r="W388" s="25"/>
    </row>
    <row r="389" spans="1:23" ht="16.95" customHeight="1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25"/>
      <c r="W389"/>
    </row>
    <row r="390" spans="1:23" ht="17.399999999999999">
      <c r="W390" s="25"/>
    </row>
    <row r="391" spans="1:23" ht="17.399999999999999">
      <c r="W391" s="25"/>
    </row>
    <row r="392" spans="1:23" ht="17.399999999999999">
      <c r="W392" s="25"/>
    </row>
    <row r="393" spans="1:23" ht="17.399999999999999">
      <c r="W393" s="25"/>
    </row>
    <row r="394" spans="1:23" ht="17.399999999999999">
      <c r="W394" s="25"/>
    </row>
    <row r="395" spans="1:23" ht="45">
      <c r="B395" s="378" t="s">
        <v>117</v>
      </c>
      <c r="C395" s="379"/>
      <c r="D395" s="379"/>
      <c r="E395" s="379"/>
      <c r="F395" s="379"/>
      <c r="G395" s="379"/>
      <c r="H395" s="379"/>
      <c r="I395" s="379"/>
      <c r="J395" s="379"/>
      <c r="K395" s="379"/>
      <c r="L395" s="379"/>
      <c r="M395" s="379"/>
      <c r="N395" s="379"/>
      <c r="O395" s="379"/>
      <c r="P395" s="379"/>
      <c r="Q395" s="379"/>
      <c r="R395" s="379"/>
      <c r="S395" s="379"/>
      <c r="T395" s="379"/>
      <c r="U395" s="380"/>
      <c r="V395" s="25"/>
      <c r="W395"/>
    </row>
    <row r="396" spans="1:23" ht="19.95" customHeight="1">
      <c r="B396" s="317"/>
      <c r="C396" s="317"/>
      <c r="D396" s="317"/>
      <c r="E396" s="317"/>
      <c r="F396" s="317"/>
      <c r="G396" s="317"/>
      <c r="H396" s="317"/>
      <c r="I396" s="156"/>
      <c r="J396" s="156"/>
      <c r="K396" s="317"/>
      <c r="L396" s="317"/>
      <c r="M396" s="317"/>
      <c r="N396" s="317"/>
      <c r="O396" s="317"/>
      <c r="P396" s="317"/>
      <c r="Q396" s="317"/>
      <c r="R396" s="317"/>
      <c r="S396" s="317"/>
      <c r="T396" s="317"/>
      <c r="U396" s="317"/>
      <c r="V396" s="25"/>
      <c r="W396"/>
    </row>
    <row r="397" spans="1:23" ht="31.05" customHeight="1">
      <c r="A397" s="40"/>
      <c r="B397" s="385" t="s">
        <v>187</v>
      </c>
      <c r="C397" s="353"/>
      <c r="D397" s="313" t="s">
        <v>81</v>
      </c>
      <c r="E397" s="383" t="s">
        <v>119</v>
      </c>
      <c r="F397" s="382"/>
      <c r="G397" s="155" t="s">
        <v>120</v>
      </c>
      <c r="H397" s="154"/>
      <c r="K397" s="349" t="s">
        <v>188</v>
      </c>
      <c r="L397" s="349"/>
      <c r="M397" s="349"/>
      <c r="N397" s="349"/>
      <c r="O397" s="349"/>
      <c r="P397" s="349" t="s">
        <v>81</v>
      </c>
      <c r="Q397" s="349"/>
      <c r="R397" s="381" t="s">
        <v>119</v>
      </c>
      <c r="S397" s="382"/>
      <c r="T397" s="383" t="s">
        <v>120</v>
      </c>
      <c r="U397" s="382"/>
      <c r="W397"/>
    </row>
    <row r="398" spans="1:23" ht="31.05" customHeight="1">
      <c r="A398" s="40"/>
      <c r="B398" s="355" t="str">
        <f>IF(Data!M548=0,"",Data!M548)</f>
        <v/>
      </c>
      <c r="C398" s="356"/>
      <c r="D398" s="326" t="str">
        <f>IF(Data!N548=0,"",Data!N548)</f>
        <v/>
      </c>
      <c r="E398" s="355" t="str">
        <f>IF(Data!O548=0,"",Data!O548)</f>
        <v/>
      </c>
      <c r="F398" s="356"/>
      <c r="G398" s="355" t="str">
        <f>IF(Data!P548=0,"",Data!P548)</f>
        <v/>
      </c>
      <c r="H398" s="356"/>
      <c r="K398" s="355" t="str">
        <f>IF(Data!A548=0,"",Data!A548)</f>
        <v/>
      </c>
      <c r="L398" s="384"/>
      <c r="M398" s="384"/>
      <c r="N398" s="384"/>
      <c r="O398" s="356"/>
      <c r="P398" s="355" t="str">
        <f>IF(Data!B548=0,"",Data!B548)</f>
        <v/>
      </c>
      <c r="Q398" s="356"/>
      <c r="R398" s="355" t="str">
        <f>IF(Data!C548=0,"",Data!C548)</f>
        <v/>
      </c>
      <c r="S398" s="356"/>
      <c r="T398" s="355" t="str">
        <f>IF(Data!D548=0,"",Data!D548)</f>
        <v/>
      </c>
      <c r="U398" s="356"/>
      <c r="W398"/>
    </row>
    <row r="399" spans="1:23" ht="31.05" customHeight="1">
      <c r="A399" s="40"/>
      <c r="B399" s="355" t="str">
        <f>IF(Data!M549=0,"",Data!M549)</f>
        <v/>
      </c>
      <c r="C399" s="356"/>
      <c r="D399" s="326" t="str">
        <f>IF(Data!N549=0,"",Data!N549)</f>
        <v/>
      </c>
      <c r="E399" s="355" t="str">
        <f>IF(Data!O549=0,"",Data!O549)</f>
        <v/>
      </c>
      <c r="F399" s="356"/>
      <c r="G399" s="355" t="str">
        <f>IF(Data!P549=0,"",Data!P549)</f>
        <v/>
      </c>
      <c r="H399" s="356"/>
      <c r="K399" s="355" t="str">
        <f>IF(Data!A549=0,"",Data!A549)</f>
        <v/>
      </c>
      <c r="L399" s="384"/>
      <c r="M399" s="384"/>
      <c r="N399" s="384"/>
      <c r="O399" s="356"/>
      <c r="P399" s="355" t="str">
        <f>IF(Data!B549=0,"",Data!B549)</f>
        <v/>
      </c>
      <c r="Q399" s="356"/>
      <c r="R399" s="355" t="str">
        <f>IF(Data!C549=0,"",Data!C549)</f>
        <v/>
      </c>
      <c r="S399" s="356"/>
      <c r="T399" s="355" t="str">
        <f>IF(Data!D549=0,"",Data!D549)</f>
        <v/>
      </c>
      <c r="U399" s="356"/>
      <c r="W399"/>
    </row>
    <row r="400" spans="1:23" ht="31.05" customHeight="1">
      <c r="A400" s="40"/>
      <c r="B400" s="355" t="str">
        <f>IF(Data!M550=0,"",Data!M550)</f>
        <v/>
      </c>
      <c r="C400" s="356"/>
      <c r="D400" s="326" t="str">
        <f>IF(Data!N550=0,"",Data!N550)</f>
        <v/>
      </c>
      <c r="E400" s="355" t="str">
        <f>IF(Data!O550=0,"",Data!O550)</f>
        <v/>
      </c>
      <c r="F400" s="356"/>
      <c r="G400" s="355" t="str">
        <f>IF(Data!P550=0,"",Data!P550)</f>
        <v/>
      </c>
      <c r="H400" s="356"/>
      <c r="K400" s="355" t="str">
        <f>IF(Data!A550=0,"",Data!A550)</f>
        <v/>
      </c>
      <c r="L400" s="384"/>
      <c r="M400" s="384"/>
      <c r="N400" s="384"/>
      <c r="O400" s="356"/>
      <c r="P400" s="355" t="str">
        <f>IF(Data!B550=0,"",Data!B550)</f>
        <v/>
      </c>
      <c r="Q400" s="356"/>
      <c r="R400" s="355" t="str">
        <f>IF(Data!C550=0,"",Data!C550)</f>
        <v/>
      </c>
      <c r="S400" s="356"/>
      <c r="T400" s="355" t="str">
        <f>IF(Data!D550=0,"",Data!D550)</f>
        <v/>
      </c>
      <c r="U400" s="356"/>
      <c r="W400"/>
    </row>
    <row r="401" spans="1:23" ht="31.05" customHeight="1">
      <c r="A401" s="40"/>
      <c r="B401" s="355" t="str">
        <f>IF(Data!M551=0,"",Data!M551)</f>
        <v/>
      </c>
      <c r="C401" s="356"/>
      <c r="D401" s="326" t="str">
        <f>IF(Data!N551=0,"",Data!N551)</f>
        <v/>
      </c>
      <c r="E401" s="355" t="str">
        <f>IF(Data!O551=0,"",Data!O551)</f>
        <v/>
      </c>
      <c r="F401" s="356"/>
      <c r="G401" s="355" t="str">
        <f>IF(Data!P551=0,"",Data!P551)</f>
        <v/>
      </c>
      <c r="H401" s="356"/>
      <c r="K401" s="355" t="str">
        <f>IF(Data!A551=0,"",Data!A551)</f>
        <v/>
      </c>
      <c r="L401" s="384"/>
      <c r="M401" s="384"/>
      <c r="N401" s="384"/>
      <c r="O401" s="356"/>
      <c r="P401" s="355" t="str">
        <f>IF(Data!B551=0,"",Data!B551)</f>
        <v/>
      </c>
      <c r="Q401" s="356"/>
      <c r="R401" s="355" t="str">
        <f>IF(Data!C551=0,"",Data!C551)</f>
        <v/>
      </c>
      <c r="S401" s="356"/>
      <c r="T401" s="355" t="str">
        <f>IF(Data!D551=0,"",Data!D551)</f>
        <v/>
      </c>
      <c r="U401" s="356"/>
      <c r="V401"/>
      <c r="W401"/>
    </row>
    <row r="402" spans="1:23" ht="31.05" customHeight="1">
      <c r="A402" s="40"/>
      <c r="B402" s="355" t="str">
        <f>IF(Data!M552=0,"",Data!M552)</f>
        <v/>
      </c>
      <c r="C402" s="356"/>
      <c r="D402" s="326" t="str">
        <f>IF(Data!N552=0,"",Data!N552)</f>
        <v/>
      </c>
      <c r="E402" s="355" t="str">
        <f>IF(Data!O552=0,"",Data!O552)</f>
        <v/>
      </c>
      <c r="F402" s="356"/>
      <c r="G402" s="355" t="str">
        <f>IF(Data!P552=0,"",Data!P552)</f>
        <v/>
      </c>
      <c r="H402" s="356"/>
      <c r="K402" s="355" t="str">
        <f>IF(Data!A552=0,"",Data!A552)</f>
        <v/>
      </c>
      <c r="L402" s="384"/>
      <c r="M402" s="384"/>
      <c r="N402" s="384"/>
      <c r="O402" s="356"/>
      <c r="P402" s="355" t="str">
        <f>IF(Data!B552=0,"",Data!B552)</f>
        <v/>
      </c>
      <c r="Q402" s="356"/>
      <c r="R402" s="355" t="str">
        <f>IF(Data!C552=0,"",Data!C552)</f>
        <v/>
      </c>
      <c r="S402" s="356"/>
      <c r="T402" s="355" t="str">
        <f>IF(Data!D552=0,"",Data!D552)</f>
        <v/>
      </c>
      <c r="U402" s="356"/>
      <c r="V402"/>
      <c r="W402"/>
    </row>
    <row r="403" spans="1:23" ht="31.05" customHeight="1">
      <c r="A403" s="40"/>
      <c r="B403" s="355" t="str">
        <f>IF(Data!M553=0,"",Data!M553)</f>
        <v/>
      </c>
      <c r="C403" s="356"/>
      <c r="D403" s="326" t="str">
        <f>IF(Data!N553=0,"",Data!N553)</f>
        <v/>
      </c>
      <c r="E403" s="355" t="str">
        <f>IF(Data!O553=0,"",Data!O553)</f>
        <v/>
      </c>
      <c r="F403" s="356"/>
      <c r="G403" s="355" t="str">
        <f>IF(Data!P553=0,"",Data!P553)</f>
        <v/>
      </c>
      <c r="H403" s="356"/>
      <c r="K403" s="355" t="str">
        <f>IF(Data!A553=0,"",Data!A553)</f>
        <v/>
      </c>
      <c r="L403" s="384"/>
      <c r="M403" s="384"/>
      <c r="N403" s="384"/>
      <c r="O403" s="356"/>
      <c r="P403" s="355" t="str">
        <f>IF(Data!B553=0,"",Data!B553)</f>
        <v/>
      </c>
      <c r="Q403" s="356"/>
      <c r="R403" s="355" t="str">
        <f>IF(Data!C553=0,"",Data!C553)</f>
        <v/>
      </c>
      <c r="S403" s="356"/>
      <c r="T403" s="355" t="str">
        <f>IF(Data!D553=0,"",Data!D553)</f>
        <v/>
      </c>
      <c r="U403" s="356"/>
      <c r="V403"/>
      <c r="W403"/>
    </row>
    <row r="404" spans="1:23" ht="31.05" customHeight="1">
      <c r="A404" s="40"/>
      <c r="B404" s="355" t="str">
        <f>IF(Data!M554=0,"",Data!M554)</f>
        <v/>
      </c>
      <c r="C404" s="356"/>
      <c r="D404" s="326" t="str">
        <f>IF(Data!N554=0,"",Data!N554)</f>
        <v/>
      </c>
      <c r="E404" s="355" t="str">
        <f>IF(Data!O554=0,"",Data!O554)</f>
        <v/>
      </c>
      <c r="F404" s="356"/>
      <c r="G404" s="355" t="str">
        <f>IF(Data!P554=0,"",Data!P554)</f>
        <v/>
      </c>
      <c r="H404" s="356"/>
      <c r="K404" s="355" t="str">
        <f>IF(Data!A554=0,"",Data!A554)</f>
        <v/>
      </c>
      <c r="L404" s="384"/>
      <c r="M404" s="384"/>
      <c r="N404" s="384"/>
      <c r="O404" s="356"/>
      <c r="P404" s="355" t="str">
        <f>IF(Data!B554=0,"",Data!B554)</f>
        <v/>
      </c>
      <c r="Q404" s="356"/>
      <c r="R404" s="355" t="str">
        <f>IF(Data!C554=0,"",Data!C554)</f>
        <v/>
      </c>
      <c r="S404" s="356"/>
      <c r="T404" s="355" t="str">
        <f>IF(Data!D554=0,"",Data!D554)</f>
        <v/>
      </c>
      <c r="U404" s="356"/>
      <c r="V404"/>
      <c r="W404"/>
    </row>
    <row r="405" spans="1:23" ht="31.05" customHeight="1">
      <c r="A405" s="40"/>
      <c r="B405" s="355" t="str">
        <f>IF(Data!M555=0,"",Data!M555)</f>
        <v/>
      </c>
      <c r="C405" s="356"/>
      <c r="D405" s="326" t="str">
        <f>IF(Data!N555=0,"",Data!N555)</f>
        <v/>
      </c>
      <c r="E405" s="355" t="str">
        <f>IF(Data!O555=0,"",Data!O555)</f>
        <v/>
      </c>
      <c r="F405" s="356"/>
      <c r="G405" s="355" t="str">
        <f>IF(Data!P555=0,"",Data!P555)</f>
        <v/>
      </c>
      <c r="H405" s="356"/>
      <c r="K405" s="355" t="str">
        <f>IF(Data!A555=0,"",Data!A555)</f>
        <v/>
      </c>
      <c r="L405" s="384"/>
      <c r="M405" s="384"/>
      <c r="N405" s="384"/>
      <c r="O405" s="356"/>
      <c r="P405" s="355" t="str">
        <f>IF(Data!B555=0,"",Data!B555)</f>
        <v/>
      </c>
      <c r="Q405" s="356"/>
      <c r="R405" s="355" t="str">
        <f>IF(Data!C555=0,"",Data!C555)</f>
        <v/>
      </c>
      <c r="S405" s="356"/>
      <c r="T405" s="355" t="str">
        <f>IF(Data!D555=0,"",Data!D555)</f>
        <v/>
      </c>
      <c r="U405" s="356"/>
      <c r="V405"/>
      <c r="W405"/>
    </row>
    <row r="406" spans="1:23" ht="19.95" customHeight="1">
      <c r="E406" s="5"/>
      <c r="F406" s="5"/>
      <c r="G406" s="6"/>
      <c r="H406" s="6"/>
      <c r="K406" s="6"/>
      <c r="L406" s="15"/>
      <c r="M406"/>
      <c r="O406" s="6"/>
      <c r="P406" s="4"/>
      <c r="Q406" s="4"/>
      <c r="V406"/>
      <c r="W406"/>
    </row>
    <row r="407" spans="1:23" ht="31.05" customHeight="1">
      <c r="A407" s="40"/>
      <c r="B407" s="385" t="s">
        <v>118</v>
      </c>
      <c r="C407" s="353"/>
      <c r="D407" s="313" t="s">
        <v>81</v>
      </c>
      <c r="E407" s="383" t="s">
        <v>119</v>
      </c>
      <c r="F407" s="382"/>
      <c r="G407" s="155" t="s">
        <v>120</v>
      </c>
      <c r="H407" s="314"/>
      <c r="K407" s="349" t="s">
        <v>121</v>
      </c>
      <c r="L407" s="349"/>
      <c r="M407" s="349"/>
      <c r="N407" s="349"/>
      <c r="O407" s="349"/>
      <c r="P407" s="349" t="s">
        <v>81</v>
      </c>
      <c r="Q407" s="349"/>
      <c r="R407" s="381" t="s">
        <v>119</v>
      </c>
      <c r="S407" s="382"/>
      <c r="T407" s="383" t="s">
        <v>120</v>
      </c>
      <c r="U407" s="382"/>
      <c r="W407"/>
    </row>
    <row r="408" spans="1:23" ht="31.05" customHeight="1">
      <c r="A408" s="40"/>
      <c r="B408" s="355" t="str">
        <f>IF(Data!S548=0,"",Data!S548)</f>
        <v>Woking AC</v>
      </c>
      <c r="C408" s="356"/>
      <c r="D408" s="326">
        <f>IF(Data!T548=0,"",Data!T548)</f>
        <v>1478</v>
      </c>
      <c r="E408" s="355">
        <f>IF(Data!U548=0,"",Data!U548)</f>
        <v>1</v>
      </c>
      <c r="F408" s="356"/>
      <c r="G408" s="355">
        <f>IF(Data!V548=0,"",Data!V548)</f>
        <v>8</v>
      </c>
      <c r="H408" s="356"/>
      <c r="K408" s="355" t="str">
        <f>IF(Data!H548=0,"",Data!H548)</f>
        <v>Fleet &amp; Crookham AC</v>
      </c>
      <c r="L408" s="384"/>
      <c r="M408" s="384"/>
      <c r="N408" s="384"/>
      <c r="O408" s="356"/>
      <c r="P408" s="355">
        <f>IF(Data!I548=0,"",Data!I548)</f>
        <v>1276</v>
      </c>
      <c r="Q408" s="356"/>
      <c r="R408" s="355">
        <f>IF(Data!J548=0,"",Data!J548)</f>
        <v>1</v>
      </c>
      <c r="S408" s="356"/>
      <c r="T408" s="355">
        <f>IF(Data!K548=0,"",Data!K548)</f>
        <v>8</v>
      </c>
      <c r="U408" s="356"/>
      <c r="V408" s="327"/>
      <c r="W408"/>
    </row>
    <row r="409" spans="1:23" ht="31.05" customHeight="1">
      <c r="A409" s="40"/>
      <c r="B409" s="355" t="str">
        <f>IF(Data!S549=0,"",Data!S549)</f>
        <v>Basingstoke &amp; Mid Hants AC</v>
      </c>
      <c r="C409" s="356"/>
      <c r="D409" s="326">
        <f>IF(Data!T549=0,"",Data!T549)</f>
        <v>1329</v>
      </c>
      <c r="E409" s="355">
        <f>IF(Data!U549=0,"",Data!U549)</f>
        <v>2</v>
      </c>
      <c r="F409" s="356"/>
      <c r="G409" s="355">
        <f>IF(Data!V549=0,"",Data!V549)</f>
        <v>7</v>
      </c>
      <c r="H409" s="356"/>
      <c r="K409" s="355" t="str">
        <f>IF(Data!H549=0,"",Data!H549)</f>
        <v>Camberley &amp; District AC</v>
      </c>
      <c r="L409" s="384"/>
      <c r="M409" s="384"/>
      <c r="N409" s="384"/>
      <c r="O409" s="356"/>
      <c r="P409" s="355">
        <f>IF(Data!I549=0,"",Data!I549)</f>
        <v>1262</v>
      </c>
      <c r="Q409" s="356"/>
      <c r="R409" s="355">
        <f>IF(Data!J549=0,"",Data!J549)</f>
        <v>2</v>
      </c>
      <c r="S409" s="356"/>
      <c r="T409" s="355">
        <f>IF(Data!K549=0,"",Data!K549)</f>
        <v>7</v>
      </c>
      <c r="U409" s="356"/>
      <c r="W409"/>
    </row>
    <row r="410" spans="1:23" ht="31.05" customHeight="1">
      <c r="A410" s="40"/>
      <c r="B410" s="355" t="str">
        <f>IF(Data!S550=0,"",Data!S550)</f>
        <v>Fleet &amp; Crookham AC</v>
      </c>
      <c r="C410" s="356"/>
      <c r="D410" s="326">
        <f>IF(Data!T550=0,"",Data!T550)</f>
        <v>1251</v>
      </c>
      <c r="E410" s="355">
        <f>IF(Data!U550=0,"",Data!U550)</f>
        <v>3</v>
      </c>
      <c r="F410" s="356"/>
      <c r="G410" s="355">
        <f>IF(Data!V550=0,"",Data!V550)</f>
        <v>6</v>
      </c>
      <c r="H410" s="356"/>
      <c r="K410" s="355" t="str">
        <f>IF(Data!H550=0,"",Data!H550)</f>
        <v>Waverley Athletics Club</v>
      </c>
      <c r="L410" s="384"/>
      <c r="M410" s="384"/>
      <c r="N410" s="384"/>
      <c r="O410" s="356"/>
      <c r="P410" s="355">
        <f>IF(Data!I550=0,"",Data!I550)</f>
        <v>1262</v>
      </c>
      <c r="Q410" s="356"/>
      <c r="R410" s="355">
        <f>IF(Data!J550=0,"",Data!J550)</f>
        <v>2</v>
      </c>
      <c r="S410" s="356"/>
      <c r="T410" s="355">
        <f>IF(Data!K550=0,"",Data!K550)</f>
        <v>7</v>
      </c>
      <c r="U410" s="356"/>
      <c r="W410"/>
    </row>
    <row r="411" spans="1:23" ht="31.05" customHeight="1">
      <c r="A411" s="40"/>
      <c r="B411" s="355" t="str">
        <f>IF(Data!S551=0,"",Data!S551)</f>
        <v>Poole Runners</v>
      </c>
      <c r="C411" s="356"/>
      <c r="D411" s="326">
        <f>IF(Data!T551=0,"",Data!T551)</f>
        <v>1139</v>
      </c>
      <c r="E411" s="355">
        <f>IF(Data!U551=0,"",Data!U551)</f>
        <v>4</v>
      </c>
      <c r="F411" s="356"/>
      <c r="G411" s="355">
        <f>IF(Data!V551=0,"",Data!V551)</f>
        <v>5</v>
      </c>
      <c r="H411" s="356"/>
      <c r="K411" s="355" t="str">
        <f>IF(Data!H551=0,"",Data!H551)</f>
        <v>Woking AC</v>
      </c>
      <c r="L411" s="384"/>
      <c r="M411" s="384"/>
      <c r="N411" s="384"/>
      <c r="O411" s="356"/>
      <c r="P411" s="355">
        <f>IF(Data!I551=0,"",Data!I551)</f>
        <v>1181</v>
      </c>
      <c r="Q411" s="356"/>
      <c r="R411" s="355">
        <f>IF(Data!J551=0,"",Data!J551)</f>
        <v>4</v>
      </c>
      <c r="S411" s="356"/>
      <c r="T411" s="355">
        <f>IF(Data!K551=0,"",Data!K551)</f>
        <v>5</v>
      </c>
      <c r="U411" s="356"/>
      <c r="V411"/>
      <c r="W411"/>
    </row>
    <row r="412" spans="1:23" ht="31.05" customHeight="1">
      <c r="A412" s="40"/>
      <c r="B412" s="355" t="str">
        <f>IF(Data!S552=0,"",Data!S552)</f>
        <v>Camberley &amp; District AC</v>
      </c>
      <c r="C412" s="356"/>
      <c r="D412" s="326">
        <f>IF(Data!T552=0,"",Data!T552)</f>
        <v>1128</v>
      </c>
      <c r="E412" s="355">
        <f>IF(Data!U552=0,"",Data!U552)</f>
        <v>5</v>
      </c>
      <c r="F412" s="356"/>
      <c r="G412" s="355">
        <f>IF(Data!V552=0,"",Data!V552)</f>
        <v>4</v>
      </c>
      <c r="H412" s="356"/>
      <c r="K412" s="355" t="str">
        <f>IF(Data!H552=0,"",Data!H552)</f>
        <v>Poole Runners</v>
      </c>
      <c r="L412" s="384"/>
      <c r="M412" s="384"/>
      <c r="N412" s="384"/>
      <c r="O412" s="356"/>
      <c r="P412" s="355">
        <f>IF(Data!I552=0,"",Data!I552)</f>
        <v>1107</v>
      </c>
      <c r="Q412" s="356"/>
      <c r="R412" s="355">
        <f>IF(Data!J552=0,"",Data!J552)</f>
        <v>5</v>
      </c>
      <c r="S412" s="356"/>
      <c r="T412" s="355">
        <f>IF(Data!K552=0,"",Data!K552)</f>
        <v>4</v>
      </c>
      <c r="U412" s="356"/>
      <c r="V412"/>
      <c r="W412"/>
    </row>
    <row r="413" spans="1:23" ht="31.05" customHeight="1">
      <c r="A413" s="40"/>
      <c r="B413" s="355" t="str">
        <f>IF(Data!S553=0,"",Data!S553)</f>
        <v>Waverley Athletics Club</v>
      </c>
      <c r="C413" s="356"/>
      <c r="D413" s="326">
        <f>IF(Data!T553=0,"",Data!T553)</f>
        <v>873</v>
      </c>
      <c r="E413" s="355">
        <f>IF(Data!U553=0,"",Data!U553)</f>
        <v>6</v>
      </c>
      <c r="F413" s="356"/>
      <c r="G413" s="355">
        <f>IF(Data!V553=0,"",Data!V553)</f>
        <v>3</v>
      </c>
      <c r="H413" s="356"/>
      <c r="K413" s="355" t="str">
        <f>IF(Data!H553=0,"",Data!H553)</f>
        <v>Basingstoke &amp; Mid Hants AC</v>
      </c>
      <c r="L413" s="384"/>
      <c r="M413" s="384"/>
      <c r="N413" s="384"/>
      <c r="O413" s="356"/>
      <c r="P413" s="355">
        <f>IF(Data!I553=0,"",Data!I553)</f>
        <v>938</v>
      </c>
      <c r="Q413" s="356"/>
      <c r="R413" s="355">
        <f>IF(Data!J553=0,"",Data!J553)</f>
        <v>6</v>
      </c>
      <c r="S413" s="356"/>
      <c r="T413" s="355">
        <f>IF(Data!K553=0,"",Data!K553)</f>
        <v>3</v>
      </c>
      <c r="U413" s="356"/>
      <c r="V413"/>
      <c r="W413"/>
    </row>
    <row r="414" spans="1:23" ht="31.05" customHeight="1">
      <c r="A414" s="40"/>
      <c r="B414" s="355" t="str">
        <f>IF(Data!S554=0,"",Data!S554)</f>
        <v/>
      </c>
      <c r="C414" s="356"/>
      <c r="D414" s="326" t="str">
        <f>IF(Data!T554=0,"",Data!T554)</f>
        <v/>
      </c>
      <c r="E414" s="355" t="str">
        <f>IF(Data!U554=0,"",Data!U554)</f>
        <v/>
      </c>
      <c r="F414" s="356"/>
      <c r="G414" s="355" t="str">
        <f>IF(Data!V554=0,"",Data!V554)</f>
        <v/>
      </c>
      <c r="H414" s="356"/>
      <c r="K414" s="355" t="str">
        <f>IF(Data!H554=0,"",Data!H554)</f>
        <v/>
      </c>
      <c r="L414" s="384"/>
      <c r="M414" s="384"/>
      <c r="N414" s="384"/>
      <c r="O414" s="356"/>
      <c r="P414" s="355" t="str">
        <f>IF(Data!I554=0,"",Data!I554)</f>
        <v/>
      </c>
      <c r="Q414" s="356"/>
      <c r="R414" s="355" t="str">
        <f>IF(Data!J554=0,"",Data!J554)</f>
        <v/>
      </c>
      <c r="S414" s="356"/>
      <c r="T414" s="355" t="str">
        <f>IF(Data!K554=0,"",Data!K554)</f>
        <v/>
      </c>
      <c r="U414" s="356"/>
      <c r="V414"/>
      <c r="W414"/>
    </row>
    <row r="415" spans="1:23" ht="31.05" customHeight="1">
      <c r="A415" s="40"/>
      <c r="B415" s="355" t="str">
        <f>IF(Data!S555=0,"",Data!S555)</f>
        <v/>
      </c>
      <c r="C415" s="356"/>
      <c r="D415" s="326" t="str">
        <f>IF(Data!T555=0,"",Data!T555)</f>
        <v/>
      </c>
      <c r="E415" s="355" t="str">
        <f>IF(Data!U555=0,"",Data!U555)</f>
        <v/>
      </c>
      <c r="F415" s="356"/>
      <c r="G415" s="355" t="str">
        <f>IF(Data!V555=0,"",Data!V555)</f>
        <v/>
      </c>
      <c r="H415" s="356"/>
      <c r="K415" s="355" t="str">
        <f>IF(Data!H555=0,"",Data!H555)</f>
        <v/>
      </c>
      <c r="L415" s="384"/>
      <c r="M415" s="384"/>
      <c r="N415" s="384"/>
      <c r="O415" s="356"/>
      <c r="P415" s="355" t="str">
        <f>IF(Data!I555=0,"",Data!I555)</f>
        <v/>
      </c>
      <c r="Q415" s="356"/>
      <c r="R415" s="355" t="str">
        <f>IF(Data!J555=0,"",Data!J555)</f>
        <v/>
      </c>
      <c r="S415" s="356"/>
      <c r="T415" s="355" t="str">
        <f>IF(Data!K555=0,"",Data!K555)</f>
        <v/>
      </c>
      <c r="U415" s="356"/>
      <c r="V415"/>
      <c r="W415"/>
    </row>
    <row r="416" spans="1:23" ht="18" customHeight="1">
      <c r="F416" s="5"/>
      <c r="G416" s="4"/>
      <c r="I416" s="6"/>
      <c r="J416" s="15"/>
      <c r="K416" s="15"/>
      <c r="M416" s="6"/>
      <c r="N416" s="6"/>
      <c r="P416"/>
      <c r="Q416" s="4"/>
      <c r="V416"/>
      <c r="W416"/>
    </row>
    <row r="417" spans="1:23" ht="18" customHeight="1">
      <c r="F417" s="5"/>
      <c r="G417" s="4"/>
      <c r="I417" s="6"/>
      <c r="J417"/>
      <c r="L417" s="15"/>
      <c r="M417"/>
      <c r="O417" s="6"/>
      <c r="P417"/>
      <c r="Q417" s="4"/>
      <c r="V417"/>
      <c r="W417"/>
    </row>
    <row r="418" spans="1:23" ht="18" customHeight="1">
      <c r="F418" s="5"/>
      <c r="G418" s="4"/>
      <c r="I418" s="6"/>
      <c r="J418"/>
      <c r="L418" s="15"/>
      <c r="M418"/>
      <c r="O418" s="6"/>
      <c r="P418"/>
      <c r="Q418" s="4"/>
      <c r="V418"/>
      <c r="W418"/>
    </row>
    <row r="419" spans="1:23" ht="45">
      <c r="D419" s="357" t="s">
        <v>122</v>
      </c>
      <c r="E419" s="358"/>
      <c r="F419" s="358"/>
      <c r="G419" s="358"/>
      <c r="H419" s="358"/>
      <c r="I419" s="358"/>
      <c r="J419" s="358"/>
      <c r="K419" s="358"/>
      <c r="L419" s="358"/>
      <c r="M419" s="358"/>
      <c r="N419" s="358"/>
      <c r="O419" s="358"/>
      <c r="P419" s="359"/>
      <c r="Q419" s="4"/>
      <c r="U419"/>
      <c r="V419"/>
      <c r="W419"/>
    </row>
    <row r="420" spans="1:23" ht="31.05" customHeight="1">
      <c r="A420" s="90"/>
      <c r="B420" s="91"/>
      <c r="C420" s="91"/>
      <c r="D420" s="354" t="s">
        <v>105</v>
      </c>
      <c r="E420" s="354"/>
      <c r="F420" s="354"/>
      <c r="G420" s="354"/>
      <c r="H420" s="350" t="s">
        <v>81</v>
      </c>
      <c r="I420" s="350"/>
      <c r="J420" s="351"/>
      <c r="K420" s="352" t="s">
        <v>120</v>
      </c>
      <c r="L420" s="352"/>
      <c r="M420" s="353"/>
      <c r="N420" s="352" t="s">
        <v>119</v>
      </c>
      <c r="O420" s="352"/>
      <c r="P420" s="353"/>
      <c r="Q420" s="91"/>
      <c r="R420" s="91"/>
      <c r="S420" s="91"/>
      <c r="T420" s="91"/>
      <c r="V420"/>
      <c r="W420"/>
    </row>
    <row r="421" spans="1:23" ht="31.05" customHeight="1">
      <c r="D421" s="348" t="str">
        <f>IFERROR(IF(Data!H559=0,"",Data!H559),"")</f>
        <v>Fleet &amp; Crookham AC</v>
      </c>
      <c r="E421" s="348"/>
      <c r="F421" s="348"/>
      <c r="G421" s="348"/>
      <c r="H421" s="348">
        <f>IF(Data!I559=0,"",Data!I559)</f>
        <v>2527</v>
      </c>
      <c r="I421" s="348"/>
      <c r="J421" s="348"/>
      <c r="K421" s="349">
        <f>IF(Data!J559=0,"",Data!J559)</f>
        <v>14</v>
      </c>
      <c r="L421" s="349"/>
      <c r="M421" s="349"/>
      <c r="N421" s="349">
        <f>IF(Data!K559=0,"",Data!K559)</f>
        <v>1</v>
      </c>
      <c r="O421" s="349"/>
      <c r="P421" s="349"/>
      <c r="Q421" s="4"/>
      <c r="V421"/>
      <c r="W421"/>
    </row>
    <row r="422" spans="1:23" ht="31.05" customHeight="1">
      <c r="D422" s="348" t="str">
        <f>IFERROR(IF(Data!H560=0,"",Data!H560),"")</f>
        <v>Woking AC</v>
      </c>
      <c r="E422" s="348"/>
      <c r="F422" s="348"/>
      <c r="G422" s="348"/>
      <c r="H422" s="348">
        <f>IF(Data!I560=0,"",Data!I560)</f>
        <v>2659</v>
      </c>
      <c r="I422" s="348"/>
      <c r="J422" s="348"/>
      <c r="K422" s="349">
        <f>IF(Data!J560=0,"",Data!J560)</f>
        <v>13</v>
      </c>
      <c r="L422" s="349"/>
      <c r="M422" s="349"/>
      <c r="N422" s="349">
        <f>IF(Data!K560=0,"",Data!K560)</f>
        <v>2</v>
      </c>
      <c r="O422" s="349"/>
      <c r="P422" s="349"/>
      <c r="Q422" s="4"/>
      <c r="V422"/>
      <c r="W422"/>
    </row>
    <row r="423" spans="1:23" ht="31.05" customHeight="1">
      <c r="D423" s="348" t="str">
        <f>IFERROR(IF(Data!H561=0,"",Data!H561),"")</f>
        <v>Camberley &amp; District AC</v>
      </c>
      <c r="E423" s="348"/>
      <c r="F423" s="348"/>
      <c r="G423" s="348"/>
      <c r="H423" s="348">
        <f>IF(Data!I561=0,"",Data!I561)</f>
        <v>2390</v>
      </c>
      <c r="I423" s="348"/>
      <c r="J423" s="348"/>
      <c r="K423" s="349">
        <f>IF(Data!J561=0,"",Data!J561)</f>
        <v>11</v>
      </c>
      <c r="L423" s="349"/>
      <c r="M423" s="349"/>
      <c r="N423" s="349">
        <f>IF(Data!K561=0,"",Data!K561)</f>
        <v>3</v>
      </c>
      <c r="O423" s="349"/>
      <c r="P423" s="349"/>
      <c r="Q423" s="4"/>
      <c r="U423"/>
      <c r="V423"/>
      <c r="W423"/>
    </row>
    <row r="424" spans="1:23" s="16" customFormat="1" ht="31.05" customHeight="1">
      <c r="A424" s="9"/>
      <c r="B424" s="4"/>
      <c r="C424" s="4"/>
      <c r="D424" s="348" t="str">
        <f>IFERROR(IF(Data!H562=0,"",Data!H562),"")</f>
        <v>Basingstoke &amp; Mid Hants AC</v>
      </c>
      <c r="E424" s="348"/>
      <c r="F424" s="348"/>
      <c r="G424" s="348"/>
      <c r="H424" s="348">
        <f>IF(Data!I562=0,"",Data!I562)</f>
        <v>2267</v>
      </c>
      <c r="I424" s="348"/>
      <c r="J424" s="348"/>
      <c r="K424" s="349">
        <f>IF(Data!J562=0,"",Data!J562)</f>
        <v>10</v>
      </c>
      <c r="L424" s="349"/>
      <c r="M424" s="349"/>
      <c r="N424" s="349">
        <f>IF(Data!K562=0,"",Data!K562)</f>
        <v>4</v>
      </c>
      <c r="O424" s="349"/>
      <c r="P424" s="349"/>
      <c r="Q424" s="4"/>
      <c r="R424" s="4"/>
      <c r="S424" s="4"/>
      <c r="T424" s="4"/>
    </row>
    <row r="425" spans="1:23" ht="31.05" customHeight="1">
      <c r="D425" s="348" t="str">
        <f>IFERROR(IF(Data!H563=0,"",Data!H563),"")</f>
        <v>Waverley Athletics Club</v>
      </c>
      <c r="E425" s="348"/>
      <c r="F425" s="348"/>
      <c r="G425" s="348"/>
      <c r="H425" s="348">
        <f>IF(Data!I563=0,"",Data!I563)</f>
        <v>2135</v>
      </c>
      <c r="I425" s="348"/>
      <c r="J425" s="348"/>
      <c r="K425" s="349">
        <f>IF(Data!J563=0,"",Data!J563)</f>
        <v>10</v>
      </c>
      <c r="L425" s="349"/>
      <c r="M425" s="349"/>
      <c r="N425" s="349">
        <f>IF(Data!K563=0,"",Data!K563)</f>
        <v>5</v>
      </c>
      <c r="O425" s="349"/>
      <c r="P425" s="349"/>
      <c r="Q425" s="4"/>
      <c r="U425"/>
      <c r="V425"/>
      <c r="W425"/>
    </row>
    <row r="426" spans="1:23" ht="31.05" customHeight="1">
      <c r="D426" s="348" t="str">
        <f>IFERROR(IF(Data!H564=0,"",Data!H564),"")</f>
        <v>Poole Runners</v>
      </c>
      <c r="E426" s="348"/>
      <c r="F426" s="348"/>
      <c r="G426" s="348"/>
      <c r="H426" s="348">
        <f>IF(Data!I564=0,"",Data!I564)</f>
        <v>2246</v>
      </c>
      <c r="I426" s="348"/>
      <c r="J426" s="348"/>
      <c r="K426" s="349">
        <f>IF(Data!J564=0,"",Data!J564)</f>
        <v>9</v>
      </c>
      <c r="L426" s="349"/>
      <c r="M426" s="349"/>
      <c r="N426" s="349">
        <f>IF(Data!K564=0,"",Data!K564)</f>
        <v>6</v>
      </c>
      <c r="O426" s="349"/>
      <c r="P426" s="349"/>
      <c r="Q426" s="4"/>
      <c r="U426"/>
      <c r="V426"/>
      <c r="W426"/>
    </row>
    <row r="427" spans="1:23" ht="31.05" customHeight="1">
      <c r="D427" s="348" t="str">
        <f>IFERROR(IF(Data!H565=0,"",Data!H565),"")</f>
        <v/>
      </c>
      <c r="E427" s="348"/>
      <c r="F427" s="348"/>
      <c r="G427" s="348"/>
      <c r="H427" s="348" t="str">
        <f>IF(Data!I565=0,"",Data!I565)</f>
        <v/>
      </c>
      <c r="I427" s="348"/>
      <c r="J427" s="348"/>
      <c r="K427" s="349" t="str">
        <f>IF(Data!J565=0,"",Data!J565)</f>
        <v/>
      </c>
      <c r="L427" s="349"/>
      <c r="M427" s="349"/>
      <c r="N427" s="349" t="str">
        <f>IF(Data!K565=0,"",Data!K565)</f>
        <v/>
      </c>
      <c r="O427" s="349"/>
      <c r="P427" s="349"/>
      <c r="Q427" s="4"/>
      <c r="U427"/>
      <c r="V427"/>
      <c r="W427"/>
    </row>
    <row r="428" spans="1:23" ht="31.05" customHeight="1">
      <c r="D428" s="348" t="str">
        <f>IFERROR(IF(Data!H566=0,"",Data!H566),"")</f>
        <v/>
      </c>
      <c r="E428" s="348"/>
      <c r="F428" s="348"/>
      <c r="G428" s="348"/>
      <c r="H428" s="348" t="str">
        <f>IF(Data!I566=0,"",Data!I566)</f>
        <v/>
      </c>
      <c r="I428" s="348"/>
      <c r="J428" s="348"/>
      <c r="K428" s="349" t="str">
        <f>IF(Data!J566=0,"",Data!J566)</f>
        <v/>
      </c>
      <c r="L428" s="349"/>
      <c r="M428" s="349"/>
      <c r="N428" s="349" t="str">
        <f>IF(Data!K566=0,"",Data!K566)</f>
        <v/>
      </c>
      <c r="O428" s="349"/>
      <c r="P428" s="349"/>
      <c r="Q428" s="4"/>
      <c r="U428"/>
      <c r="V428"/>
      <c r="W428"/>
    </row>
    <row r="430" spans="1:23" ht="45" customHeight="1">
      <c r="D430" s="357" t="s">
        <v>122</v>
      </c>
      <c r="E430" s="358"/>
      <c r="F430" s="358"/>
      <c r="G430" s="358"/>
      <c r="H430" s="358"/>
      <c r="I430" s="358"/>
      <c r="J430" s="358"/>
      <c r="K430" s="358"/>
      <c r="L430" s="358"/>
      <c r="M430" s="359"/>
      <c r="N430" s="4"/>
      <c r="O430" s="4"/>
      <c r="P430" s="4"/>
      <c r="Q430" s="4"/>
      <c r="R430"/>
      <c r="S430"/>
      <c r="T430"/>
      <c r="U430"/>
      <c r="V430"/>
      <c r="W430"/>
    </row>
    <row r="431" spans="1:23" ht="31.05" customHeight="1">
      <c r="A431" s="90"/>
      <c r="B431" s="91"/>
      <c r="C431" s="91"/>
      <c r="D431" s="354" t="s">
        <v>105</v>
      </c>
      <c r="E431" s="354"/>
      <c r="F431" s="354"/>
      <c r="G431" s="354"/>
      <c r="H431" s="350" t="s">
        <v>81</v>
      </c>
      <c r="I431" s="350"/>
      <c r="J431" s="351"/>
      <c r="K431" s="352" t="s">
        <v>119</v>
      </c>
      <c r="L431" s="352"/>
      <c r="M431" s="353"/>
      <c r="N431" s="91"/>
      <c r="O431" s="91"/>
      <c r="P431" s="91"/>
      <c r="Q431" s="91"/>
      <c r="S431"/>
      <c r="T431"/>
      <c r="U431"/>
      <c r="V431"/>
      <c r="W431"/>
    </row>
    <row r="432" spans="1:23" ht="31.05" customHeight="1">
      <c r="D432" s="348" t="str">
        <f>IFERROR(IF(Data!S559=0,"",Data!S559),"")</f>
        <v>Woking AC</v>
      </c>
      <c r="E432" s="348"/>
      <c r="F432" s="348"/>
      <c r="G432" s="348"/>
      <c r="H432" s="348">
        <f>IF(Data!T559=0,"",Data!T559)</f>
        <v>2659</v>
      </c>
      <c r="I432" s="348"/>
      <c r="J432" s="348"/>
      <c r="K432" s="348">
        <f>IF(Data!U559=0,"",Data!U559)</f>
        <v>1</v>
      </c>
      <c r="L432" s="348"/>
      <c r="M432" s="348"/>
      <c r="N432" s="4"/>
      <c r="O432" s="4"/>
      <c r="P432" s="4"/>
      <c r="Q432" s="4"/>
      <c r="S432"/>
      <c r="T432"/>
      <c r="U432"/>
      <c r="V432"/>
      <c r="W432"/>
    </row>
    <row r="433" spans="1:23" ht="31.05" customHeight="1">
      <c r="D433" s="348" t="str">
        <f>IFERROR(IF(Data!S560=0,"",Data!S560),"")</f>
        <v>Fleet &amp; Crookham AC</v>
      </c>
      <c r="E433" s="348"/>
      <c r="F433" s="348"/>
      <c r="G433" s="348"/>
      <c r="H433" s="348">
        <f>IF(Data!T560=0,"",Data!T560)</f>
        <v>2527</v>
      </c>
      <c r="I433" s="348"/>
      <c r="J433" s="348"/>
      <c r="K433" s="348">
        <f>IF(Data!U560=0,"",Data!U560)</f>
        <v>2</v>
      </c>
      <c r="L433" s="348"/>
      <c r="M433" s="348"/>
      <c r="N433" s="4"/>
      <c r="O433" s="4"/>
      <c r="P433" s="4"/>
      <c r="Q433" s="4"/>
      <c r="S433"/>
      <c r="T433"/>
      <c r="U433"/>
      <c r="V433"/>
      <c r="W433"/>
    </row>
    <row r="434" spans="1:23" ht="31.05" customHeight="1">
      <c r="D434" s="348" t="str">
        <f>IFERROR(IF(Data!S561=0,"",Data!S561),"")</f>
        <v>Camberley &amp; District AC</v>
      </c>
      <c r="E434" s="348"/>
      <c r="F434" s="348"/>
      <c r="G434" s="348"/>
      <c r="H434" s="348">
        <f>IF(Data!T561=0,"",Data!T561)</f>
        <v>2390</v>
      </c>
      <c r="I434" s="348"/>
      <c r="J434" s="348"/>
      <c r="K434" s="348">
        <f>IF(Data!U561=0,"",Data!U561)</f>
        <v>3</v>
      </c>
      <c r="L434" s="348"/>
      <c r="M434" s="348"/>
      <c r="N434" s="4"/>
      <c r="O434" s="4"/>
      <c r="P434" s="4"/>
      <c r="Q434" s="4"/>
      <c r="R434"/>
      <c r="S434"/>
      <c r="T434"/>
      <c r="U434"/>
      <c r="V434"/>
      <c r="W434"/>
    </row>
    <row r="435" spans="1:23" s="16" customFormat="1" ht="31.05" customHeight="1">
      <c r="A435" s="9"/>
      <c r="B435" s="4"/>
      <c r="C435" s="4"/>
      <c r="D435" s="348" t="str">
        <f>IFERROR(IF(Data!S562=0,"",Data!S562),"")</f>
        <v>Basingstoke &amp; Mid Hants AC</v>
      </c>
      <c r="E435" s="348"/>
      <c r="F435" s="348"/>
      <c r="G435" s="348"/>
      <c r="H435" s="348">
        <f>IF(Data!T562=0,"",Data!T562)</f>
        <v>2267</v>
      </c>
      <c r="I435" s="348"/>
      <c r="J435" s="348"/>
      <c r="K435" s="348">
        <f>IF(Data!U562=0,"",Data!U562)</f>
        <v>4</v>
      </c>
      <c r="L435" s="348"/>
      <c r="M435" s="348"/>
      <c r="N435" s="4"/>
      <c r="O435" s="4"/>
      <c r="P435" s="4"/>
      <c r="Q435" s="4"/>
    </row>
    <row r="436" spans="1:23" ht="31.05" customHeight="1">
      <c r="D436" s="348" t="str">
        <f>IFERROR(IF(Data!S563=0,"",Data!S563),"")</f>
        <v>Poole Runners</v>
      </c>
      <c r="E436" s="348"/>
      <c r="F436" s="348"/>
      <c r="G436" s="348"/>
      <c r="H436" s="348">
        <f>IF(Data!T563=0,"",Data!T563)</f>
        <v>2246</v>
      </c>
      <c r="I436" s="348"/>
      <c r="J436" s="348"/>
      <c r="K436" s="348">
        <f>IF(Data!U563=0,"",Data!U563)</f>
        <v>5</v>
      </c>
      <c r="L436" s="348"/>
      <c r="M436" s="348"/>
      <c r="N436" s="4"/>
      <c r="O436" s="4"/>
      <c r="P436" s="4"/>
      <c r="Q436" s="4"/>
      <c r="R436"/>
      <c r="S436"/>
      <c r="T436"/>
      <c r="U436"/>
      <c r="V436"/>
      <c r="W436"/>
    </row>
    <row r="437" spans="1:23" ht="31.05" customHeight="1">
      <c r="D437" s="348" t="str">
        <f>IFERROR(IF(Data!S564=0,"",Data!S564),"")</f>
        <v>Waverley Athletics Club</v>
      </c>
      <c r="E437" s="348"/>
      <c r="F437" s="348"/>
      <c r="G437" s="348"/>
      <c r="H437" s="348">
        <f>IF(Data!T564=0,"",Data!T564)</f>
        <v>2135</v>
      </c>
      <c r="I437" s="348"/>
      <c r="J437" s="348"/>
      <c r="K437" s="348">
        <f>IF(Data!U564=0,"",Data!U564)</f>
        <v>6</v>
      </c>
      <c r="L437" s="348"/>
      <c r="M437" s="348"/>
      <c r="N437" s="4"/>
      <c r="O437" s="4"/>
      <c r="P437" s="4"/>
      <c r="Q437" s="4"/>
      <c r="R437"/>
      <c r="S437"/>
      <c r="T437"/>
      <c r="U437"/>
      <c r="V437"/>
      <c r="W437"/>
    </row>
    <row r="438" spans="1:23" ht="31.05" customHeight="1">
      <c r="D438" s="348" t="str">
        <f>IFERROR(IF(Data!S565=0,"",Data!S565),"")</f>
        <v/>
      </c>
      <c r="E438" s="348"/>
      <c r="F438" s="348"/>
      <c r="G438" s="348"/>
      <c r="H438" s="348" t="str">
        <f>IF(Data!T565=0,"",Data!T565)</f>
        <v/>
      </c>
      <c r="I438" s="348"/>
      <c r="J438" s="348"/>
      <c r="K438" s="348" t="str">
        <f>IF(Data!U565=0,"",Data!U565)</f>
        <v/>
      </c>
      <c r="L438" s="348"/>
      <c r="M438" s="348"/>
      <c r="N438" s="4"/>
      <c r="O438" s="4"/>
      <c r="P438" s="4"/>
      <c r="Q438" s="4"/>
      <c r="R438"/>
      <c r="S438"/>
      <c r="T438"/>
      <c r="U438"/>
      <c r="V438"/>
      <c r="W438"/>
    </row>
    <row r="439" spans="1:23" ht="31.05" customHeight="1">
      <c r="D439" s="348" t="str">
        <f>IFERROR(IF(Data!S566=0,"",Data!S566),"")</f>
        <v/>
      </c>
      <c r="E439" s="348"/>
      <c r="F439" s="348"/>
      <c r="G439" s="348"/>
      <c r="H439" s="348" t="str">
        <f>IF(Data!T566=0,"",Data!T566)</f>
        <v/>
      </c>
      <c r="I439" s="348"/>
      <c r="J439" s="348"/>
      <c r="K439" s="348" t="str">
        <f>IF(Data!U566=0,"",Data!U566)</f>
        <v/>
      </c>
      <c r="L439" s="348"/>
      <c r="M439" s="348"/>
      <c r="N439" s="4"/>
      <c r="O439" s="4"/>
      <c r="P439" s="4"/>
      <c r="Q439" s="4"/>
      <c r="R439"/>
      <c r="S439"/>
      <c r="T439"/>
      <c r="U439"/>
      <c r="V439"/>
      <c r="W439"/>
    </row>
    <row r="441" spans="1:23" s="264" customFormat="1" ht="19.95" customHeight="1">
      <c r="A441" s="173"/>
      <c r="B441" s="315" t="s">
        <v>116</v>
      </c>
      <c r="C441" s="316" t="s">
        <v>14</v>
      </c>
      <c r="D441" s="258"/>
      <c r="E441" s="258"/>
      <c r="F441" s="258"/>
      <c r="G441" s="259"/>
      <c r="H441" s="258"/>
      <c r="I441" s="258"/>
      <c r="J441" s="260"/>
      <c r="K441" s="261"/>
      <c r="L441" s="261"/>
      <c r="M441" s="262"/>
      <c r="N441" s="261"/>
      <c r="O441" s="261"/>
      <c r="P441" s="260"/>
      <c r="Q441" s="261"/>
      <c r="R441" s="258"/>
      <c r="S441" s="258"/>
      <c r="T441" s="258"/>
      <c r="U441" s="258"/>
      <c r="V441" s="263"/>
      <c r="W441" s="173"/>
    </row>
    <row r="442" spans="1:23" s="264" customFormat="1" ht="19.95" customHeight="1">
      <c r="A442" s="173"/>
      <c r="B442" s="268" cm="1">
        <f t="array" ref="B442:V446">IFERROR(_xlfn._xlws.SORT(_xlfn._xlws.FILTER($B$6:$V$385,($V$6:$V$385&lt;&gt;0)*($V$6:$V$385&lt;=5)*($E$6:$E$385=C441)*($F$6:$F$385=B441)),17,-1),"...")</f>
        <v>61</v>
      </c>
      <c r="C442" s="173" t="str">
        <v>MARCY POWER</v>
      </c>
      <c r="D442" s="173" t="str">
        <v>Fleet &amp; Crookham AC</v>
      </c>
      <c r="E442" s="173" t="str">
        <v>GIRLS</v>
      </c>
      <c r="F442" s="173" t="str">
        <v>U12</v>
      </c>
      <c r="G442" s="265">
        <v>11.7</v>
      </c>
      <c r="H442" s="173">
        <v>100</v>
      </c>
      <c r="I442" s="173" t="str">
        <v>PB9</v>
      </c>
      <c r="J442" s="266">
        <v>1.3506944444444445E-3</v>
      </c>
      <c r="K442" s="264">
        <v>86</v>
      </c>
      <c r="L442" s="264" t="str">
        <v>PB6</v>
      </c>
      <c r="M442" s="267">
        <v>3.59</v>
      </c>
      <c r="N442" s="264">
        <v>93</v>
      </c>
      <c r="O442" s="264" t="str">
        <v>PB8</v>
      </c>
      <c r="P442" s="266">
        <v>23.89</v>
      </c>
      <c r="Q442" s="264">
        <v>79</v>
      </c>
      <c r="R442" s="173">
        <v>358</v>
      </c>
      <c r="S442" s="173" t="str">
        <v/>
      </c>
      <c r="T442" s="173">
        <v>1</v>
      </c>
      <c r="U442" s="173" t="str">
        <v/>
      </c>
      <c r="V442" s="269">
        <v>1</v>
      </c>
      <c r="W442" s="173"/>
    </row>
    <row r="443" spans="1:23" s="264" customFormat="1" ht="19.95" customHeight="1">
      <c r="A443" s="173"/>
      <c r="B443" s="268">
        <v>1</v>
      </c>
      <c r="C443" s="173" t="str">
        <v>EVNI DUNUSINGHE</v>
      </c>
      <c r="D443" s="173" t="str">
        <v>Camberley &amp; District AC</v>
      </c>
      <c r="E443" s="173" t="str">
        <v>GIRLS</v>
      </c>
      <c r="F443" s="173" t="str">
        <v>U12</v>
      </c>
      <c r="G443" s="265">
        <v>11.4</v>
      </c>
      <c r="H443" s="173">
        <v>106</v>
      </c>
      <c r="I443" s="173" t="str">
        <v>PB9</v>
      </c>
      <c r="J443" s="266">
        <v>1.5162037037037036E-3</v>
      </c>
      <c r="K443" s="264">
        <v>58</v>
      </c>
      <c r="L443" s="264" t="str">
        <v>PB3</v>
      </c>
      <c r="M443" s="267">
        <v>3.42</v>
      </c>
      <c r="N443" s="264">
        <v>86</v>
      </c>
      <c r="O443" s="264" t="str">
        <v>PB7</v>
      </c>
      <c r="P443" s="266">
        <v>28.79</v>
      </c>
      <c r="Q443" s="264">
        <v>103</v>
      </c>
      <c r="R443" s="173">
        <v>353</v>
      </c>
      <c r="S443" s="173" t="str">
        <v/>
      </c>
      <c r="T443" s="173">
        <v>1</v>
      </c>
      <c r="U443" s="173" t="str">
        <v/>
      </c>
      <c r="V443" s="269">
        <v>2</v>
      </c>
      <c r="W443" s="173"/>
    </row>
    <row r="444" spans="1:23" s="264" customFormat="1" ht="19.95" customHeight="1">
      <c r="A444" s="173"/>
      <c r="B444" s="268">
        <v>27</v>
      </c>
      <c r="C444" s="173" t="str">
        <v>SOPHIE GBAJOBI</v>
      </c>
      <c r="D444" s="173" t="str">
        <v>Woking AC</v>
      </c>
      <c r="E444" s="173" t="str">
        <v>GIRLS</v>
      </c>
      <c r="F444" s="173" t="str">
        <v>U12</v>
      </c>
      <c r="G444" s="265">
        <v>10.7</v>
      </c>
      <c r="H444" s="173">
        <v>120</v>
      </c>
      <c r="I444" s="173" t="str">
        <v>PB9</v>
      </c>
      <c r="J444" s="266">
        <v>1.4861111111111112E-3</v>
      </c>
      <c r="K444" s="264">
        <v>63</v>
      </c>
      <c r="L444" s="264" t="str">
        <v>PB4</v>
      </c>
      <c r="M444" s="267">
        <v>3.45</v>
      </c>
      <c r="N444" s="264">
        <v>87</v>
      </c>
      <c r="O444" s="264" t="str">
        <v>PB7</v>
      </c>
      <c r="P444" s="266">
        <v>24.65</v>
      </c>
      <c r="Q444" s="264">
        <v>83</v>
      </c>
      <c r="R444" s="173">
        <v>353</v>
      </c>
      <c r="S444" s="173" t="str">
        <v/>
      </c>
      <c r="T444" s="173">
        <v>1</v>
      </c>
      <c r="U444" s="173" t="str">
        <v/>
      </c>
      <c r="V444" s="269">
        <v>2</v>
      </c>
      <c r="W444" s="173"/>
    </row>
    <row r="445" spans="1:23" s="264" customFormat="1" ht="19.95" customHeight="1">
      <c r="A445" s="173"/>
      <c r="B445" s="268">
        <v>85</v>
      </c>
      <c r="C445" s="173" t="str">
        <v>SOPHIE HALL</v>
      </c>
      <c r="D445" s="173" t="str">
        <v>Waverley Athletics Club</v>
      </c>
      <c r="E445" s="173" t="str">
        <v>GIRLS</v>
      </c>
      <c r="F445" s="173" t="str">
        <v>U12</v>
      </c>
      <c r="G445" s="265">
        <v>11.1</v>
      </c>
      <c r="H445" s="173">
        <v>112</v>
      </c>
      <c r="I445" s="173" t="str">
        <v>PB9</v>
      </c>
      <c r="J445" s="266">
        <v>1.3298611111111111E-3</v>
      </c>
      <c r="K445" s="264">
        <v>90</v>
      </c>
      <c r="L445" s="264" t="str">
        <v>PB7</v>
      </c>
      <c r="M445" s="267">
        <v>3.48</v>
      </c>
      <c r="N445" s="264">
        <v>89</v>
      </c>
      <c r="O445" s="264" t="str">
        <v>PB7</v>
      </c>
      <c r="P445" s="266">
        <v>19.14</v>
      </c>
      <c r="Q445" s="264">
        <v>55</v>
      </c>
      <c r="R445" s="173">
        <v>346</v>
      </c>
      <c r="S445" s="173" t="str">
        <v/>
      </c>
      <c r="T445" s="173">
        <v>1</v>
      </c>
      <c r="U445" s="173" t="str">
        <v/>
      </c>
      <c r="V445" s="269">
        <v>4</v>
      </c>
      <c r="W445" s="173"/>
    </row>
    <row r="446" spans="1:23" s="264" customFormat="1" ht="19.95" customHeight="1">
      <c r="A446" s="173"/>
      <c r="B446" s="270">
        <v>21</v>
      </c>
      <c r="C446" s="271" t="str">
        <v>ELISE ABDELLI</v>
      </c>
      <c r="D446" s="271" t="str">
        <v>Woking AC</v>
      </c>
      <c r="E446" s="271" t="str">
        <v>GIRLS</v>
      </c>
      <c r="F446" s="271" t="str">
        <v>U12</v>
      </c>
      <c r="G446" s="272">
        <v>11.8</v>
      </c>
      <c r="H446" s="271">
        <v>97</v>
      </c>
      <c r="I446" s="271" t="str">
        <v>PB8</v>
      </c>
      <c r="J446" s="273">
        <v>1.4826388888888888E-3</v>
      </c>
      <c r="K446" s="274">
        <v>63</v>
      </c>
      <c r="L446" s="274" t="str">
        <v>PB4</v>
      </c>
      <c r="M446" s="275">
        <v>3.79</v>
      </c>
      <c r="N446" s="274">
        <v>101</v>
      </c>
      <c r="O446" s="274" t="str">
        <v>PB9</v>
      </c>
      <c r="P446" s="273">
        <v>22.76</v>
      </c>
      <c r="Q446" s="274">
        <v>73</v>
      </c>
      <c r="R446" s="271">
        <v>334</v>
      </c>
      <c r="S446" s="271" t="str">
        <v/>
      </c>
      <c r="T446" s="271">
        <v>2</v>
      </c>
      <c r="U446" s="271" t="str">
        <v/>
      </c>
      <c r="V446" s="276">
        <v>5</v>
      </c>
      <c r="W446" s="173"/>
    </row>
    <row r="447" spans="1:23" s="264" customFormat="1" ht="19.95" customHeight="1">
      <c r="A447" s="173"/>
      <c r="B447" s="173"/>
      <c r="C447" s="173"/>
      <c r="D447" s="173"/>
      <c r="E447" s="173"/>
      <c r="F447" s="173"/>
      <c r="G447" s="265"/>
      <c r="H447" s="173"/>
      <c r="I447" s="173"/>
      <c r="J447" s="266"/>
      <c r="M447" s="267"/>
      <c r="P447" s="266"/>
      <c r="R447" s="173"/>
      <c r="S447" s="173"/>
      <c r="T447" s="173"/>
      <c r="U447" s="173"/>
      <c r="V447" s="173"/>
      <c r="W447" s="173"/>
    </row>
    <row r="448" spans="1:23" s="264" customFormat="1" ht="19.95" customHeight="1">
      <c r="A448" s="173"/>
      <c r="B448" s="315" t="s">
        <v>116</v>
      </c>
      <c r="C448" s="316" t="s">
        <v>15</v>
      </c>
      <c r="D448" s="258"/>
      <c r="E448" s="258"/>
      <c r="F448" s="258"/>
      <c r="G448" s="259"/>
      <c r="H448" s="258"/>
      <c r="I448" s="258"/>
      <c r="J448" s="260"/>
      <c r="K448" s="261"/>
      <c r="L448" s="261"/>
      <c r="M448" s="262"/>
      <c r="N448" s="261"/>
      <c r="O448" s="261"/>
      <c r="P448" s="260"/>
      <c r="Q448" s="261"/>
      <c r="R448" s="258"/>
      <c r="S448" s="258"/>
      <c r="T448" s="258"/>
      <c r="U448" s="258"/>
      <c r="V448" s="263"/>
      <c r="W448" s="173"/>
    </row>
    <row r="449" spans="1:23" s="264" customFormat="1" ht="19.95" customHeight="1">
      <c r="A449" s="173"/>
      <c r="B449" s="268" cm="1">
        <f t="array" ref="B449:V453">IFERROR(_xlfn._xlws.SORT(_xlfn._xlws.FILTER($B$6:$V$385,($V$6:$V$385&lt;&gt;0)*($V$6:$V$385&lt;=5)*($E$6:$E$385=C448)*($F$6:$F$385=B448)),17,-1),"...")</f>
        <v>33</v>
      </c>
      <c r="C449" s="173" t="str">
        <v>WILLIAM PEARCE</v>
      </c>
      <c r="D449" s="173" t="str">
        <v>Woking AC</v>
      </c>
      <c r="E449" s="173" t="str">
        <v>BOYS</v>
      </c>
      <c r="F449" s="173" t="str">
        <v>U12</v>
      </c>
      <c r="G449" s="265">
        <v>11.2</v>
      </c>
      <c r="H449" s="173">
        <v>100</v>
      </c>
      <c r="I449" s="173" t="str">
        <v>PB9</v>
      </c>
      <c r="J449" s="266">
        <v>1.2893518518518519E-3</v>
      </c>
      <c r="K449" s="264">
        <v>82</v>
      </c>
      <c r="L449" s="264" t="str">
        <v>PB7</v>
      </c>
      <c r="M449" s="267">
        <v>3.79</v>
      </c>
      <c r="N449" s="264">
        <v>91</v>
      </c>
      <c r="O449" s="264" t="str">
        <v>PB8</v>
      </c>
      <c r="P449" s="266">
        <v>45.44</v>
      </c>
      <c r="Q449" s="264">
        <v>142</v>
      </c>
      <c r="R449" s="173">
        <v>415</v>
      </c>
      <c r="S449" s="173" t="str">
        <v/>
      </c>
      <c r="T449" s="173">
        <v>1</v>
      </c>
      <c r="U449" s="173" t="str">
        <v/>
      </c>
      <c r="V449" s="269">
        <v>1</v>
      </c>
      <c r="W449" s="173"/>
    </row>
    <row r="450" spans="1:23" s="264" customFormat="1" ht="19.95" customHeight="1">
      <c r="A450" s="173"/>
      <c r="B450" s="268">
        <v>11</v>
      </c>
      <c r="C450" s="173" t="str">
        <v>MATTHEW SCALES</v>
      </c>
      <c r="D450" s="173" t="str">
        <v>Camberley &amp; District AC</v>
      </c>
      <c r="E450" s="173" t="str">
        <v>BOYS</v>
      </c>
      <c r="F450" s="173" t="str">
        <v>U12</v>
      </c>
      <c r="G450" s="265">
        <v>11</v>
      </c>
      <c r="H450" s="173">
        <v>105</v>
      </c>
      <c r="I450" s="173" t="str">
        <v>PB9</v>
      </c>
      <c r="J450" s="266">
        <v>1.2789351851851853E-3</v>
      </c>
      <c r="K450" s="264">
        <v>85</v>
      </c>
      <c r="L450" s="264" t="str">
        <v>PB7</v>
      </c>
      <c r="M450" s="267">
        <v>3.83</v>
      </c>
      <c r="N450" s="264">
        <v>92</v>
      </c>
      <c r="O450" s="264" t="str">
        <v>PB8</v>
      </c>
      <c r="P450" s="266">
        <v>29.83</v>
      </c>
      <c r="Q450" s="264">
        <v>99</v>
      </c>
      <c r="R450" s="173">
        <v>381</v>
      </c>
      <c r="S450" s="173" t="str">
        <v/>
      </c>
      <c r="T450" s="173">
        <v>1</v>
      </c>
      <c r="U450" s="173" t="str">
        <v/>
      </c>
      <c r="V450" s="269">
        <v>2</v>
      </c>
      <c r="W450" s="173"/>
    </row>
    <row r="451" spans="1:23" s="264" customFormat="1" ht="19.95" customHeight="1">
      <c r="A451" s="173"/>
      <c r="B451" s="268">
        <v>112</v>
      </c>
      <c r="C451" s="173" t="str">
        <v>NOAH GRAHAM</v>
      </c>
      <c r="D451" s="173" t="str">
        <v>Basingstoke &amp; Mid Hants AC</v>
      </c>
      <c r="E451" s="173" t="str">
        <v>BOYS</v>
      </c>
      <c r="F451" s="173" t="str">
        <v>U12</v>
      </c>
      <c r="G451" s="265">
        <v>11.3</v>
      </c>
      <c r="H451" s="173">
        <v>97</v>
      </c>
      <c r="I451" s="173" t="str">
        <v>PB8</v>
      </c>
      <c r="J451" s="266">
        <v>1.3287037037037037E-3</v>
      </c>
      <c r="K451" s="264">
        <v>70</v>
      </c>
      <c r="L451" s="264" t="str">
        <v>PB6</v>
      </c>
      <c r="M451" s="267">
        <v>3.82</v>
      </c>
      <c r="N451" s="264">
        <v>92</v>
      </c>
      <c r="O451" s="264" t="str">
        <v>PB8</v>
      </c>
      <c r="P451" s="266">
        <v>33.53</v>
      </c>
      <c r="Q451" s="264">
        <v>117</v>
      </c>
      <c r="R451" s="173">
        <v>376</v>
      </c>
      <c r="S451" s="173" t="str">
        <v/>
      </c>
      <c r="T451" s="173">
        <v>1</v>
      </c>
      <c r="U451" s="173" t="str">
        <v/>
      </c>
      <c r="V451" s="269">
        <v>3</v>
      </c>
      <c r="W451" s="173"/>
    </row>
    <row r="452" spans="1:23" s="264" customFormat="1" ht="19.95" customHeight="1">
      <c r="A452" s="173"/>
      <c r="B452" s="268">
        <v>36</v>
      </c>
      <c r="C452" s="173" t="str">
        <v>KAI TEGG</v>
      </c>
      <c r="D452" s="173" t="str">
        <v>Woking AC</v>
      </c>
      <c r="E452" s="173" t="str">
        <v>BOYS</v>
      </c>
      <c r="F452" s="173" t="str">
        <v>U12</v>
      </c>
      <c r="G452" s="265">
        <v>11.6</v>
      </c>
      <c r="H452" s="173">
        <v>90</v>
      </c>
      <c r="I452" s="173" t="str">
        <v>PB8</v>
      </c>
      <c r="J452" s="266">
        <v>1.2824074074074075E-3</v>
      </c>
      <c r="K452" s="264">
        <v>84</v>
      </c>
      <c r="L452" s="264" t="str">
        <v>PB7</v>
      </c>
      <c r="M452" s="267">
        <v>3.75</v>
      </c>
      <c r="N452" s="264">
        <v>90</v>
      </c>
      <c r="O452" s="264" t="str">
        <v>PB8</v>
      </c>
      <c r="P452" s="266">
        <v>31.26</v>
      </c>
      <c r="Q452" s="264">
        <v>106</v>
      </c>
      <c r="R452" s="173">
        <v>370</v>
      </c>
      <c r="S452" s="173" t="str">
        <v/>
      </c>
      <c r="T452" s="173">
        <v>2</v>
      </c>
      <c r="U452" s="173" t="str">
        <v/>
      </c>
      <c r="V452" s="269">
        <v>4</v>
      </c>
      <c r="W452" s="173"/>
    </row>
    <row r="453" spans="1:23" s="264" customFormat="1" ht="19.95" customHeight="1">
      <c r="A453" s="173"/>
      <c r="B453" s="270">
        <v>40</v>
      </c>
      <c r="C453" s="271" t="str">
        <v>OWEN BRAYBOOKE</v>
      </c>
      <c r="D453" s="271" t="str">
        <v>Woking AC</v>
      </c>
      <c r="E453" s="271" t="str">
        <v>BOYS</v>
      </c>
      <c r="F453" s="271" t="str">
        <v>U12</v>
      </c>
      <c r="G453" s="272">
        <v>11.1</v>
      </c>
      <c r="H453" s="271">
        <v>102</v>
      </c>
      <c r="I453" s="271" t="str">
        <v>PB9</v>
      </c>
      <c r="J453" s="273">
        <v>1.6226851851851851E-3</v>
      </c>
      <c r="K453" s="274">
        <v>29</v>
      </c>
      <c r="L453" s="274" t="str">
        <v>PB1</v>
      </c>
      <c r="M453" s="275">
        <v>4.07</v>
      </c>
      <c r="N453" s="274">
        <v>102</v>
      </c>
      <c r="O453" s="274" t="str">
        <v>PB9</v>
      </c>
      <c r="P453" s="273">
        <v>38.74</v>
      </c>
      <c r="Q453" s="274">
        <v>129</v>
      </c>
      <c r="R453" s="271">
        <v>362</v>
      </c>
      <c r="S453" s="271" t="str">
        <v/>
      </c>
      <c r="T453" s="271">
        <v>3</v>
      </c>
      <c r="U453" s="271" t="str">
        <v/>
      </c>
      <c r="V453" s="276">
        <v>5</v>
      </c>
      <c r="W453" s="173"/>
    </row>
    <row r="454" spans="1:23" s="264" customFormat="1" ht="19.95" customHeight="1">
      <c r="A454" s="173"/>
      <c r="B454" s="173"/>
      <c r="C454" s="173"/>
      <c r="D454" s="173"/>
      <c r="E454" s="173"/>
      <c r="F454" s="173"/>
      <c r="G454" s="265"/>
      <c r="H454" s="173"/>
      <c r="I454" s="173"/>
      <c r="J454" s="266"/>
      <c r="M454" s="267"/>
      <c r="P454" s="266"/>
      <c r="R454" s="173"/>
      <c r="S454" s="173"/>
      <c r="T454" s="173"/>
      <c r="U454" s="173"/>
      <c r="V454" s="173"/>
      <c r="W454" s="173"/>
    </row>
    <row r="455" spans="1:23" s="264" customFormat="1" ht="19.95" customHeight="1">
      <c r="A455" s="173"/>
      <c r="B455" s="315" t="s">
        <v>169</v>
      </c>
      <c r="C455" s="316" t="s">
        <v>14</v>
      </c>
      <c r="D455" s="258"/>
      <c r="E455" s="258"/>
      <c r="F455" s="258"/>
      <c r="G455" s="259"/>
      <c r="H455" s="258"/>
      <c r="I455" s="258"/>
      <c r="J455" s="260"/>
      <c r="K455" s="261"/>
      <c r="L455" s="261"/>
      <c r="M455" s="262"/>
      <c r="N455" s="261"/>
      <c r="O455" s="261"/>
      <c r="P455" s="260"/>
      <c r="Q455" s="261"/>
      <c r="R455" s="258"/>
      <c r="S455" s="258"/>
      <c r="T455" s="258"/>
      <c r="U455" s="258"/>
      <c r="V455" s="263"/>
      <c r="W455" s="173"/>
    </row>
    <row r="456" spans="1:23" s="264" customFormat="1" ht="19.95" customHeight="1">
      <c r="A456" s="173"/>
      <c r="B456" s="268" t="str" cm="1">
        <f t="array" ref="B456">IFERROR(_xlfn._xlws.SORT(_xlfn._xlws.FILTER($B$6:$U$385,($U$6:$U$385&lt;&gt;0)*($U$6:$U$385&lt;=5)*($E$6:$E$385=C455)*($F$6:$F$385=B455)),17,-1),"...")</f>
        <v>...</v>
      </c>
      <c r="C456" s="173"/>
      <c r="D456" s="173"/>
      <c r="E456" s="173"/>
      <c r="F456" s="173"/>
      <c r="G456" s="265"/>
      <c r="H456" s="173"/>
      <c r="I456" s="173"/>
      <c r="J456" s="266"/>
      <c r="M456" s="267"/>
      <c r="P456" s="266"/>
      <c r="R456" s="173"/>
      <c r="S456" s="173"/>
      <c r="T456" s="173"/>
      <c r="U456" s="173"/>
      <c r="V456" s="269"/>
      <c r="W456" s="173"/>
    </row>
    <row r="457" spans="1:23" s="264" customFormat="1" ht="19.95" customHeight="1">
      <c r="A457" s="173"/>
      <c r="B457" s="268"/>
      <c r="C457" s="173"/>
      <c r="D457" s="173"/>
      <c r="E457" s="173"/>
      <c r="F457" s="173"/>
      <c r="G457" s="265"/>
      <c r="H457" s="173"/>
      <c r="I457" s="173"/>
      <c r="J457" s="266"/>
      <c r="M457" s="267"/>
      <c r="P457" s="266"/>
      <c r="R457" s="173"/>
      <c r="S457" s="173"/>
      <c r="T457" s="173"/>
      <c r="U457" s="173"/>
      <c r="V457" s="269"/>
      <c r="W457" s="173"/>
    </row>
    <row r="458" spans="1:23" s="264" customFormat="1" ht="19.95" customHeight="1">
      <c r="A458" s="173"/>
      <c r="B458" s="268"/>
      <c r="C458" s="173"/>
      <c r="D458" s="173"/>
      <c r="E458" s="173"/>
      <c r="F458" s="173"/>
      <c r="G458" s="265"/>
      <c r="H458" s="173"/>
      <c r="I458" s="173"/>
      <c r="J458" s="266"/>
      <c r="M458" s="267"/>
      <c r="P458" s="266"/>
      <c r="R458" s="173"/>
      <c r="S458" s="173"/>
      <c r="T458" s="173"/>
      <c r="U458" s="173"/>
      <c r="V458" s="269"/>
      <c r="W458" s="173"/>
    </row>
    <row r="459" spans="1:23" s="264" customFormat="1" ht="19.95" customHeight="1">
      <c r="A459" s="173"/>
      <c r="B459" s="268"/>
      <c r="C459" s="173"/>
      <c r="D459" s="173"/>
      <c r="E459" s="173"/>
      <c r="F459" s="173"/>
      <c r="G459" s="265"/>
      <c r="H459" s="173"/>
      <c r="I459" s="173"/>
      <c r="J459" s="266"/>
      <c r="M459" s="267"/>
      <c r="P459" s="266"/>
      <c r="R459" s="173"/>
      <c r="S459" s="173"/>
      <c r="T459" s="173"/>
      <c r="U459" s="173"/>
      <c r="V459" s="269"/>
      <c r="W459" s="173"/>
    </row>
    <row r="460" spans="1:23" s="264" customFormat="1" ht="19.95" customHeight="1">
      <c r="A460" s="173"/>
      <c r="B460" s="270"/>
      <c r="C460" s="271"/>
      <c r="D460" s="271"/>
      <c r="E460" s="271"/>
      <c r="F460" s="271"/>
      <c r="G460" s="272"/>
      <c r="H460" s="271"/>
      <c r="I460" s="271"/>
      <c r="J460" s="273"/>
      <c r="K460" s="274"/>
      <c r="L460" s="274"/>
      <c r="M460" s="275"/>
      <c r="N460" s="274"/>
      <c r="O460" s="274"/>
      <c r="P460" s="273"/>
      <c r="Q460" s="274"/>
      <c r="R460" s="271"/>
      <c r="S460" s="271"/>
      <c r="T460" s="271"/>
      <c r="U460" s="271"/>
      <c r="V460" s="276"/>
      <c r="W460" s="173"/>
    </row>
    <row r="461" spans="1:23" s="264" customFormat="1" ht="19.95" customHeight="1">
      <c r="A461" s="173"/>
      <c r="B461" s="173"/>
      <c r="C461" s="173"/>
      <c r="D461" s="173"/>
      <c r="E461" s="173"/>
      <c r="F461" s="173"/>
      <c r="G461" s="265"/>
      <c r="H461" s="173"/>
      <c r="I461" s="173"/>
      <c r="J461" s="266"/>
      <c r="M461" s="267"/>
      <c r="P461" s="266"/>
      <c r="R461" s="173"/>
      <c r="S461" s="173"/>
      <c r="T461" s="173"/>
      <c r="U461" s="173"/>
      <c r="V461" s="173"/>
      <c r="W461" s="173"/>
    </row>
    <row r="462" spans="1:23" s="264" customFormat="1" ht="19.95" customHeight="1">
      <c r="A462" s="173"/>
      <c r="B462" s="315" t="s">
        <v>169</v>
      </c>
      <c r="C462" s="316" t="s">
        <v>15</v>
      </c>
      <c r="D462" s="258"/>
      <c r="E462" s="258"/>
      <c r="F462" s="258"/>
      <c r="G462" s="259"/>
      <c r="H462" s="258"/>
      <c r="I462" s="258"/>
      <c r="J462" s="260"/>
      <c r="K462" s="261"/>
      <c r="L462" s="261"/>
      <c r="M462" s="262"/>
      <c r="N462" s="261"/>
      <c r="O462" s="261"/>
      <c r="P462" s="260"/>
      <c r="Q462" s="261"/>
      <c r="R462" s="258"/>
      <c r="S462" s="258"/>
      <c r="T462" s="258"/>
      <c r="U462" s="258"/>
      <c r="V462" s="263"/>
      <c r="W462" s="173"/>
    </row>
    <row r="463" spans="1:23" s="264" customFormat="1" ht="19.95" customHeight="1">
      <c r="A463" s="173"/>
      <c r="B463" s="268" t="str" cm="1">
        <f t="array" ref="B463">IFERROR(_xlfn._xlws.SORT(_xlfn._xlws.FILTER($B$6:$U$385,($U$6:$U$385&lt;&gt;0)*($U$6:$U$385&lt;=5)*($E$6:$E$385=C462)*($F$6:$F$385=B462)),17,-1),"...")</f>
        <v>...</v>
      </c>
      <c r="C463" s="173"/>
      <c r="D463" s="173"/>
      <c r="E463" s="173"/>
      <c r="F463" s="173"/>
      <c r="G463" s="265"/>
      <c r="H463" s="173"/>
      <c r="I463" s="173"/>
      <c r="J463" s="266"/>
      <c r="M463" s="267"/>
      <c r="P463" s="266"/>
      <c r="R463" s="173"/>
      <c r="S463" s="173"/>
      <c r="T463" s="173"/>
      <c r="U463" s="173"/>
      <c r="V463" s="269"/>
      <c r="W463" s="173"/>
    </row>
    <row r="464" spans="1:23" s="264" customFormat="1" ht="19.95" customHeight="1">
      <c r="A464" s="173"/>
      <c r="B464" s="268"/>
      <c r="C464" s="173"/>
      <c r="D464" s="173"/>
      <c r="E464" s="173"/>
      <c r="F464" s="173"/>
      <c r="G464" s="265"/>
      <c r="H464" s="173"/>
      <c r="I464" s="173"/>
      <c r="J464" s="266"/>
      <c r="M464" s="267"/>
      <c r="P464" s="266"/>
      <c r="R464" s="173"/>
      <c r="S464" s="173"/>
      <c r="T464" s="173"/>
      <c r="U464" s="173"/>
      <c r="V464" s="269"/>
      <c r="W464" s="173"/>
    </row>
    <row r="465" spans="1:23" s="264" customFormat="1" ht="19.95" customHeight="1">
      <c r="A465" s="173"/>
      <c r="B465" s="268"/>
      <c r="C465" s="173"/>
      <c r="D465" s="173"/>
      <c r="E465" s="173"/>
      <c r="F465" s="173"/>
      <c r="G465" s="265"/>
      <c r="H465" s="173"/>
      <c r="I465" s="173"/>
      <c r="J465" s="266"/>
      <c r="M465" s="267"/>
      <c r="P465" s="266"/>
      <c r="R465" s="173"/>
      <c r="S465" s="173"/>
      <c r="T465" s="173"/>
      <c r="U465" s="173"/>
      <c r="V465" s="269"/>
      <c r="W465" s="173"/>
    </row>
    <row r="466" spans="1:23" s="264" customFormat="1" ht="19.95" customHeight="1">
      <c r="A466" s="173"/>
      <c r="B466" s="268"/>
      <c r="C466" s="173"/>
      <c r="D466" s="173"/>
      <c r="E466" s="173"/>
      <c r="F466" s="173"/>
      <c r="G466" s="265"/>
      <c r="H466" s="173"/>
      <c r="I466" s="173"/>
      <c r="J466" s="266"/>
      <c r="M466" s="267"/>
      <c r="P466" s="266"/>
      <c r="R466" s="173"/>
      <c r="S466" s="173"/>
      <c r="T466" s="173"/>
      <c r="U466" s="173"/>
      <c r="V466" s="269"/>
      <c r="W466" s="173"/>
    </row>
    <row r="467" spans="1:23" s="264" customFormat="1" ht="19.95" customHeight="1">
      <c r="A467" s="173"/>
      <c r="B467" s="270"/>
      <c r="C467" s="271"/>
      <c r="D467" s="271"/>
      <c r="E467" s="271"/>
      <c r="F467" s="271"/>
      <c r="G467" s="272"/>
      <c r="H467" s="271"/>
      <c r="I467" s="271"/>
      <c r="J467" s="273"/>
      <c r="K467" s="274"/>
      <c r="L467" s="274"/>
      <c r="M467" s="275"/>
      <c r="N467" s="274"/>
      <c r="O467" s="274"/>
      <c r="P467" s="273"/>
      <c r="Q467" s="274"/>
      <c r="R467" s="271"/>
      <c r="S467" s="271"/>
      <c r="T467" s="271"/>
      <c r="U467" s="271"/>
      <c r="V467" s="276"/>
      <c r="W467" s="173"/>
    </row>
  </sheetData>
  <sheetProtection sheet="1" objects="1" scenarios="1"/>
  <mergeCells count="241">
    <mergeCell ref="D438:G438"/>
    <mergeCell ref="H438:J438"/>
    <mergeCell ref="K438:M438"/>
    <mergeCell ref="D439:G439"/>
    <mergeCell ref="H439:J439"/>
    <mergeCell ref="K439:M439"/>
    <mergeCell ref="D436:G436"/>
    <mergeCell ref="H436:J436"/>
    <mergeCell ref="K436:M436"/>
    <mergeCell ref="D437:G437"/>
    <mergeCell ref="H437:J437"/>
    <mergeCell ref="K437:M437"/>
    <mergeCell ref="D434:G434"/>
    <mergeCell ref="H434:J434"/>
    <mergeCell ref="K434:M434"/>
    <mergeCell ref="D435:G435"/>
    <mergeCell ref="H435:J435"/>
    <mergeCell ref="K435:M435"/>
    <mergeCell ref="D432:G432"/>
    <mergeCell ref="H432:J432"/>
    <mergeCell ref="K432:M432"/>
    <mergeCell ref="D433:G433"/>
    <mergeCell ref="H433:J433"/>
    <mergeCell ref="K433:M433"/>
    <mergeCell ref="D428:G428"/>
    <mergeCell ref="H428:J428"/>
    <mergeCell ref="K428:M428"/>
    <mergeCell ref="N428:P428"/>
    <mergeCell ref="D430:M430"/>
    <mergeCell ref="D431:G431"/>
    <mergeCell ref="H431:J431"/>
    <mergeCell ref="K431:M431"/>
    <mergeCell ref="D426:G426"/>
    <mergeCell ref="H426:J426"/>
    <mergeCell ref="K426:M426"/>
    <mergeCell ref="N426:P426"/>
    <mergeCell ref="D427:G427"/>
    <mergeCell ref="H427:J427"/>
    <mergeCell ref="K427:M427"/>
    <mergeCell ref="N427:P427"/>
    <mergeCell ref="D424:G424"/>
    <mergeCell ref="H424:J424"/>
    <mergeCell ref="K424:M424"/>
    <mergeCell ref="N424:P424"/>
    <mergeCell ref="D425:G425"/>
    <mergeCell ref="H425:J425"/>
    <mergeCell ref="K425:M425"/>
    <mergeCell ref="N425:P425"/>
    <mergeCell ref="D422:G422"/>
    <mergeCell ref="H422:J422"/>
    <mergeCell ref="K422:M422"/>
    <mergeCell ref="N422:P422"/>
    <mergeCell ref="D423:G423"/>
    <mergeCell ref="H423:J423"/>
    <mergeCell ref="K423:M423"/>
    <mergeCell ref="N423:P423"/>
    <mergeCell ref="D419:P419"/>
    <mergeCell ref="D420:G420"/>
    <mergeCell ref="H420:J420"/>
    <mergeCell ref="K420:M420"/>
    <mergeCell ref="N420:P420"/>
    <mergeCell ref="D421:G421"/>
    <mergeCell ref="H421:J421"/>
    <mergeCell ref="K421:M421"/>
    <mergeCell ref="N421:P421"/>
    <mergeCell ref="T414:U414"/>
    <mergeCell ref="B415:C415"/>
    <mergeCell ref="E415:F415"/>
    <mergeCell ref="G415:H415"/>
    <mergeCell ref="K415:O415"/>
    <mergeCell ref="P415:Q415"/>
    <mergeCell ref="R415:S415"/>
    <mergeCell ref="T415:U415"/>
    <mergeCell ref="B414:C414"/>
    <mergeCell ref="E414:F414"/>
    <mergeCell ref="G414:H414"/>
    <mergeCell ref="K414:O414"/>
    <mergeCell ref="P414:Q414"/>
    <mergeCell ref="R414:S414"/>
    <mergeCell ref="T412:U412"/>
    <mergeCell ref="B413:C413"/>
    <mergeCell ref="E413:F413"/>
    <mergeCell ref="G413:H413"/>
    <mergeCell ref="K413:O413"/>
    <mergeCell ref="P413:Q413"/>
    <mergeCell ref="R413:S413"/>
    <mergeCell ref="T413:U413"/>
    <mergeCell ref="B412:C412"/>
    <mergeCell ref="E412:F412"/>
    <mergeCell ref="G412:H412"/>
    <mergeCell ref="K412:O412"/>
    <mergeCell ref="P412:Q412"/>
    <mergeCell ref="R412:S412"/>
    <mergeCell ref="T410:U410"/>
    <mergeCell ref="B411:C411"/>
    <mergeCell ref="E411:F411"/>
    <mergeCell ref="G411:H411"/>
    <mergeCell ref="K411:O411"/>
    <mergeCell ref="P411:Q411"/>
    <mergeCell ref="R411:S411"/>
    <mergeCell ref="T411:U411"/>
    <mergeCell ref="B410:C410"/>
    <mergeCell ref="E410:F410"/>
    <mergeCell ref="G410:H410"/>
    <mergeCell ref="K410:O410"/>
    <mergeCell ref="P410:Q410"/>
    <mergeCell ref="R410:S410"/>
    <mergeCell ref="T408:U408"/>
    <mergeCell ref="B409:C409"/>
    <mergeCell ref="E409:F409"/>
    <mergeCell ref="G409:H409"/>
    <mergeCell ref="K409:O409"/>
    <mergeCell ref="P409:Q409"/>
    <mergeCell ref="R409:S409"/>
    <mergeCell ref="T409:U409"/>
    <mergeCell ref="B408:C408"/>
    <mergeCell ref="E408:F408"/>
    <mergeCell ref="G408:H408"/>
    <mergeCell ref="K408:O408"/>
    <mergeCell ref="P408:Q408"/>
    <mergeCell ref="R408:S408"/>
    <mergeCell ref="B407:C407"/>
    <mergeCell ref="E407:F407"/>
    <mergeCell ref="K407:O407"/>
    <mergeCell ref="P407:Q407"/>
    <mergeCell ref="R407:S407"/>
    <mergeCell ref="T407:U407"/>
    <mergeCell ref="T404:U404"/>
    <mergeCell ref="B405:C405"/>
    <mergeCell ref="E405:F405"/>
    <mergeCell ref="G405:H405"/>
    <mergeCell ref="K405:O405"/>
    <mergeCell ref="P405:Q405"/>
    <mergeCell ref="R405:S405"/>
    <mergeCell ref="T405:U405"/>
    <mergeCell ref="B404:C404"/>
    <mergeCell ref="E404:F404"/>
    <mergeCell ref="G404:H404"/>
    <mergeCell ref="K404:O404"/>
    <mergeCell ref="P404:Q404"/>
    <mergeCell ref="R404:S404"/>
    <mergeCell ref="T402:U402"/>
    <mergeCell ref="B403:C403"/>
    <mergeCell ref="E403:F403"/>
    <mergeCell ref="G403:H403"/>
    <mergeCell ref="K403:O403"/>
    <mergeCell ref="P403:Q403"/>
    <mergeCell ref="R403:S403"/>
    <mergeCell ref="T403:U403"/>
    <mergeCell ref="B402:C402"/>
    <mergeCell ref="E402:F402"/>
    <mergeCell ref="G402:H402"/>
    <mergeCell ref="K402:O402"/>
    <mergeCell ref="P402:Q402"/>
    <mergeCell ref="R402:S402"/>
    <mergeCell ref="T400:U400"/>
    <mergeCell ref="B401:C401"/>
    <mergeCell ref="E401:F401"/>
    <mergeCell ref="G401:H401"/>
    <mergeCell ref="K401:O401"/>
    <mergeCell ref="P401:Q401"/>
    <mergeCell ref="R401:S401"/>
    <mergeCell ref="T401:U401"/>
    <mergeCell ref="B400:C400"/>
    <mergeCell ref="E400:F400"/>
    <mergeCell ref="G400:H400"/>
    <mergeCell ref="K400:O400"/>
    <mergeCell ref="P400:Q400"/>
    <mergeCell ref="R400:S400"/>
    <mergeCell ref="T398:U398"/>
    <mergeCell ref="B399:C399"/>
    <mergeCell ref="E399:F399"/>
    <mergeCell ref="G399:H399"/>
    <mergeCell ref="K399:O399"/>
    <mergeCell ref="P399:Q399"/>
    <mergeCell ref="R399:S399"/>
    <mergeCell ref="T399:U399"/>
    <mergeCell ref="B398:C398"/>
    <mergeCell ref="E398:F398"/>
    <mergeCell ref="G398:H398"/>
    <mergeCell ref="K398:O398"/>
    <mergeCell ref="P398:Q398"/>
    <mergeCell ref="R398:S398"/>
    <mergeCell ref="A326:A345"/>
    <mergeCell ref="A346:A365"/>
    <mergeCell ref="A366:A385"/>
    <mergeCell ref="B395:U395"/>
    <mergeCell ref="B397:C397"/>
    <mergeCell ref="E397:F397"/>
    <mergeCell ref="K397:O397"/>
    <mergeCell ref="P397:Q397"/>
    <mergeCell ref="R397:S397"/>
    <mergeCell ref="T397:U397"/>
    <mergeCell ref="A198:A217"/>
    <mergeCell ref="A218:A237"/>
    <mergeCell ref="A238:A257"/>
    <mergeCell ref="A258:A280"/>
    <mergeCell ref="A281:A300"/>
    <mergeCell ref="A301:A325"/>
    <mergeCell ref="G196:I196"/>
    <mergeCell ref="J196:L196"/>
    <mergeCell ref="M196:O196"/>
    <mergeCell ref="P196:Q196"/>
    <mergeCell ref="S196:T196"/>
    <mergeCell ref="U196:V196"/>
    <mergeCell ref="A196:A197"/>
    <mergeCell ref="B196:B197"/>
    <mergeCell ref="C196:C197"/>
    <mergeCell ref="D196:D197"/>
    <mergeCell ref="E196:E197"/>
    <mergeCell ref="F196:F197"/>
    <mergeCell ref="A66:A85"/>
    <mergeCell ref="A86:A105"/>
    <mergeCell ref="A106:A130"/>
    <mergeCell ref="A131:A150"/>
    <mergeCell ref="A151:A170"/>
    <mergeCell ref="A171:A190"/>
    <mergeCell ref="P4:Q4"/>
    <mergeCell ref="S4:T4"/>
    <mergeCell ref="U4:V4"/>
    <mergeCell ref="A6:A25"/>
    <mergeCell ref="A26:A45"/>
    <mergeCell ref="A46:A65"/>
    <mergeCell ref="A4:A5"/>
    <mergeCell ref="B4:B5"/>
    <mergeCell ref="C4:C5"/>
    <mergeCell ref="D4:D5"/>
    <mergeCell ref="E4:E5"/>
    <mergeCell ref="F4:F5"/>
    <mergeCell ref="G4:I4"/>
    <mergeCell ref="J4:L4"/>
    <mergeCell ref="M4:O4"/>
    <mergeCell ref="A1:F1"/>
    <mergeCell ref="G1:J1"/>
    <mergeCell ref="K1:Q1"/>
    <mergeCell ref="R1:V1"/>
    <mergeCell ref="A2:F2"/>
    <mergeCell ref="G2:J2"/>
    <mergeCell ref="K2:Q2"/>
    <mergeCell ref="R2:V2"/>
    <mergeCell ref="A3:V3"/>
  </mergeCells>
  <conditionalFormatting sqref="B6:V385">
    <cfRule type="expression" dxfId="0" priority="1" stopIfTrue="1">
      <formula>AND($C6&lt;&gt;"", $R6=0)</formula>
    </cfRule>
  </conditionalFormatting>
  <printOptions horizontalCentered="1"/>
  <pageMargins left="0" right="0" top="0.19685039370078741" bottom="0" header="0.51181102362204722" footer="0.51181102362204722"/>
  <pageSetup paperSize="9" scale="41" fitToHeight="0" orientation="landscape" r:id="rId1"/>
  <headerFooter alignWithMargins="0"/>
  <rowBreaks count="6" manualBreakCount="6">
    <brk id="65" max="16383" man="1"/>
    <brk id="130" max="16383" man="1"/>
    <brk id="195" max="16383" man="1"/>
    <brk id="257" max="16383" man="1"/>
    <brk id="325" max="16383" man="1"/>
    <brk id="3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6600"/>
    <pageSetUpPr fitToPage="1"/>
  </sheetPr>
  <dimension ref="A1:M293"/>
  <sheetViews>
    <sheetView zoomScaleNormal="100" workbookViewId="0">
      <pane ySplit="5" topLeftCell="A6" activePane="bottomLeft" state="frozen"/>
      <selection activeCell="A152" sqref="A152"/>
      <selection pane="bottomLeft" activeCell="F24" sqref="F24"/>
    </sheetView>
  </sheetViews>
  <sheetFormatPr defaultColWidth="10.6640625" defaultRowHeight="13.2"/>
  <cols>
    <col min="1" max="1" width="6.6640625" bestFit="1" customWidth="1"/>
    <col min="2" max="2" width="11.6640625" bestFit="1" customWidth="1"/>
    <col min="3" max="3" width="12.77734375" bestFit="1" customWidth="1"/>
    <col min="4" max="4" width="18.109375" bestFit="1" customWidth="1"/>
    <col min="5" max="5" width="10.77734375" bestFit="1" customWidth="1"/>
    <col min="6" max="6" width="20" style="4" customWidth="1"/>
    <col min="7" max="7" width="20" style="5" customWidth="1"/>
    <col min="8" max="8" width="8.109375" style="5" customWidth="1"/>
    <col min="9" max="9" width="33.33203125" style="4" customWidth="1"/>
    <col min="10" max="10" width="16.6640625" style="4" customWidth="1"/>
    <col min="11" max="11" width="16.6640625" customWidth="1"/>
    <col min="12" max="12" width="15.77734375" style="10" customWidth="1"/>
    <col min="15" max="15" width="24.44140625" bestFit="1" customWidth="1"/>
  </cols>
  <sheetData>
    <row r="1" spans="1:13" ht="40.049999999999997" customHeight="1">
      <c r="A1" s="413" t="str">
        <f>'Read Me First'!A1:F1</f>
        <v>Wessex Young Athletes Track and Field League 2026</v>
      </c>
      <c r="B1" s="413"/>
      <c r="C1" s="413"/>
      <c r="D1" s="413"/>
      <c r="E1" s="74" t="s">
        <v>10</v>
      </c>
      <c r="F1" s="410" t="s">
        <v>70</v>
      </c>
      <c r="G1" s="410"/>
      <c r="H1" s="311"/>
      <c r="I1" s="410" t="s">
        <v>13</v>
      </c>
      <c r="J1" s="410"/>
      <c r="K1" s="410"/>
      <c r="L1" s="52"/>
    </row>
    <row r="2" spans="1:13" ht="40.049999999999997" customHeight="1">
      <c r="A2" s="413" t="s">
        <v>71</v>
      </c>
      <c r="B2" s="413"/>
      <c r="C2" s="413"/>
      <c r="D2" s="413"/>
      <c r="E2" s="87">
        <f>'Read Me First'!C9</f>
        <v>9</v>
      </c>
      <c r="F2" s="411" t="str">
        <f>(VLOOKUP('Read Me First'!F4,'Read Me First'!A22:D37,4,FALSE))</f>
        <v>Camberley &amp; District AC @ Woking</v>
      </c>
      <c r="G2" s="412"/>
      <c r="H2" s="312"/>
      <c r="I2" s="414">
        <f>'Read Me First'!C10</f>
        <v>46201</v>
      </c>
      <c r="J2" s="414"/>
      <c r="K2" s="414"/>
      <c r="L2" s="53"/>
    </row>
    <row r="3" spans="1:13" ht="16.05" customHeight="1">
      <c r="A3" s="54"/>
      <c r="B3" s="54"/>
      <c r="C3" s="54"/>
      <c r="D3" s="54"/>
      <c r="E3" s="88"/>
      <c r="F3" s="19"/>
      <c r="G3" s="19"/>
      <c r="H3" s="19"/>
      <c r="I3" s="89"/>
      <c r="J3" s="89"/>
      <c r="K3" s="86"/>
      <c r="L3" s="53"/>
    </row>
    <row r="4" spans="1:13" s="3" customFormat="1" ht="25.95" customHeight="1">
      <c r="A4" s="35" t="s">
        <v>72</v>
      </c>
      <c r="B4" s="35" t="s">
        <v>73</v>
      </c>
      <c r="C4" s="35" t="s">
        <v>74</v>
      </c>
      <c r="D4" s="35" t="s">
        <v>75</v>
      </c>
      <c r="E4" s="35" t="s">
        <v>76</v>
      </c>
      <c r="F4" s="29" t="s">
        <v>77</v>
      </c>
      <c r="G4" s="30" t="s">
        <v>78</v>
      </c>
      <c r="H4" s="30" t="s">
        <v>79</v>
      </c>
      <c r="I4" s="31" t="s">
        <v>80</v>
      </c>
      <c r="J4" s="31" t="s">
        <v>81</v>
      </c>
      <c r="K4" s="35" t="s">
        <v>82</v>
      </c>
      <c r="L4" s="159"/>
      <c r="M4" s="31" t="s">
        <v>83</v>
      </c>
    </row>
    <row r="5" spans="1:13" s="3" customFormat="1" ht="25.95" customHeight="1">
      <c r="A5" s="82"/>
      <c r="B5" s="82"/>
      <c r="C5" s="82"/>
      <c r="D5" s="82"/>
      <c r="E5" s="82"/>
      <c r="F5" s="26">
        <v>0</v>
      </c>
      <c r="G5" s="36" t="s">
        <v>84</v>
      </c>
      <c r="H5" s="36"/>
      <c r="I5" s="27">
        <v>0</v>
      </c>
      <c r="J5" s="28">
        <v>0</v>
      </c>
      <c r="K5" s="111"/>
      <c r="L5" s="159"/>
    </row>
    <row r="6" spans="1:13" s="3" customFormat="1" ht="16.05" customHeight="1">
      <c r="A6" s="243" t="s">
        <v>85</v>
      </c>
      <c r="B6" s="114" t="str">
        <f>IF(ISNA(VLOOKUP($F6,Declarations!B$6:C$185,2,FALSE)),"",IF(VLOOKUP($F6,Declarations!B$6:C$185,2,FALSE)="","NOT DECLARED",IF(ISNA(_xlfn.TEXTBEFORE(VLOOKUP($F6,Declarations!B$6:C$185,2,FALSE)," ")),VLOOKUP($F6,Declarations!B$6:C$185,2,FALSE),_xlfn.TEXTBEFORE(VLOOKUP($F6,Declarations!B$6:C$185,2,FALSE)," "))))</f>
        <v>NOAH</v>
      </c>
      <c r="C6" s="114" t="str">
        <f>IF(ISNA(VLOOKUP($F6,Declarations!B$6:C$185,2,FALSE)),"",IF(VLOOKUP($F6,Declarations!B$6:C$185,2,FALSE)="","NOT DECLARED",IF(ISNA(_xlfn.TEXTAFTER(VLOOKUP($F6,Declarations!B$6:C$185,2,FALSE)," ")),VLOOKUP($F6,Declarations!B$6:C$185,2,FALSE),_xlfn.TEXTAFTER(VLOOKUP($F6,Declarations!B$6:C$185,2,FALSE)," "))))</f>
        <v>BARKER</v>
      </c>
      <c r="D6" s="114" t="str">
        <f>IF(ISNA(VLOOKUP($F6,Declarations!$B$6:$F$185,5,FALSE)),"",IF(VLOOKUP($F6,Declarations!$B$6:$F$185,5,FALSE)="","NOT DECLARED",VLOOKUP($F6,Declarations!$B$6:$F$185,5,FALSE)))</f>
        <v>Waverley Athletics Club</v>
      </c>
      <c r="E6" s="112" t="str">
        <f>IF(ISNA(VLOOKUP($F6,Declarations!$B$6:$D$185,3,FALSE)),"",IF(VLOOKUP($F6,Declarations!$B$6:$D$185,3,FALSE)="","NOT DECLARED",VLOOKUP($F6,Declarations!$B$6:$D$185,3,FALSE)&amp;LEFT(VLOOKUP($F6,Declarations!$B$6:$E$185,4,FALSE))))</f>
        <v>U12B</v>
      </c>
      <c r="F6" s="58">
        <v>91</v>
      </c>
      <c r="G6" s="122">
        <v>10.8</v>
      </c>
      <c r="H6" s="122"/>
      <c r="I6" s="114" t="str">
        <f>IF(ISNA(VLOOKUP($F6,Declarations!B$6:C$185,2,FALSE)),"",IF(VLOOKUP($F6,Declarations!B$6:C$185,2,FALSE)="","NOT DECLARED",VLOOKUP($F6,Declarations!B$6:C$185,2,FALSE)))</f>
        <v>NOAH BARKER</v>
      </c>
      <c r="J6" s="112">
        <f>IF(LOWER(G6)="dnf",1,IF(G6&lt;ScoringTable!B$3,ScoringTable!I$2,VLOOKUP((1000-G6),ScoringTable!G$2:I$95,3)))</f>
        <v>62</v>
      </c>
      <c r="K6" s="112" t="str">
        <f>IF(OR(E6="",G6=""),"",IF(RIGHT(E6,1)="G",_xlfn.XLOOKUP(G6,Data!$D$10:$L$10,Data!$D$9:$L$9,"",1,1),_xlfn.XLOOKUP(G6,Data!$D$3:$L$3,Data!$D$2:$L$2,"",1,1)))</f>
        <v>PB9</v>
      </c>
      <c r="L6" s="160" t="str" cm="1">
        <f t="array" ref="L6">IFERROR(_xlfn.IFNA(
                      _xlfn.IFS(
                      G6="", "",
                      AND(E6="U12B",G6&lt;=Data!$M$3), "U12 Boys record",
                      AND(E6="U12G",G6&lt;=Data!$M$10), "U12 Girls record"
                       ),""), "")</f>
        <v/>
      </c>
      <c r="M6" s="18" cm="1">
        <f t="array" ref="M6">_xlfn.IFS($G6="",0, AND(NOT(ISNUMBER($G6)),LOWER($G6)&lt;&gt;"dnf"),"Not a valid time",OR(LOWER($G6)="dnf",$G6&gt;ScoringTable!$M$161),1,RIGHT($E6,1)="B",_xlfn.XLOOKUP($G6,ScoringTable!$M$2:$M$161,ScoringTable!$L$2:$L$161,,1),TRUE,_xlfn.XLOOKUP($G6,ScoringTable!$S$2:$S$161,ScoringTable!$R$2:$R$161,,1))</f>
        <v>110</v>
      </c>
    </row>
    <row r="7" spans="1:13" s="3" customFormat="1" ht="16.05" customHeight="1">
      <c r="A7" s="243" t="s">
        <v>85</v>
      </c>
      <c r="B7" s="114" t="str">
        <f>IF(ISNA(VLOOKUP($F7,Declarations!B$6:C$185,2,FALSE)),"",IF(VLOOKUP($F7,Declarations!B$6:C$185,2,FALSE)="","NOT DECLARED",IF(ISNA(_xlfn.TEXTBEFORE(VLOOKUP($F7,Declarations!B$6:C$185,2,FALSE)," ")),VLOOKUP($F7,Declarations!B$6:C$185,2,FALSE),_xlfn.TEXTBEFORE(VLOOKUP($F7,Declarations!B$6:C$185,2,FALSE)," "))))</f>
        <v>MATTHEW</v>
      </c>
      <c r="C7" s="114" t="str">
        <f>IF(ISNA(VLOOKUP($F7,Declarations!B$6:C$185,2,FALSE)),"",IF(VLOOKUP($F7,Declarations!B$6:C$185,2,FALSE)="","NOT DECLARED",IF(ISNA(_xlfn.TEXTAFTER(VLOOKUP($F7,Declarations!B$6:C$185,2,FALSE)," ")),VLOOKUP($F7,Declarations!B$6:C$185,2,FALSE),_xlfn.TEXTAFTER(VLOOKUP($F7,Declarations!B$6:C$185,2,FALSE)," "))))</f>
        <v>SCALES</v>
      </c>
      <c r="D7" s="114" t="str">
        <f>IF(ISNA(VLOOKUP($F7,Declarations!$B$6:$F$185,5,FALSE)),"",IF(VLOOKUP($F7,Declarations!$B$6:$F$185,5,FALSE)="","NOT DECLARED",VLOOKUP($F7,Declarations!$B$6:$F$185,5,FALSE)))</f>
        <v>Camberley &amp; District AC</v>
      </c>
      <c r="E7" s="112" t="str">
        <f>IF(ISNA(VLOOKUP($F7,Declarations!$B$6:$D$185,3,FALSE)),"",IF(VLOOKUP($F7,Declarations!$B$6:$D$185,3,FALSE)="","NOT DECLARED",VLOOKUP($F7,Declarations!$B$6:$D$185,3,FALSE)&amp;LEFT(VLOOKUP($F7,Declarations!$B$6:$E$185,4,FALSE))))</f>
        <v>U12B</v>
      </c>
      <c r="F7" s="58">
        <v>11</v>
      </c>
      <c r="G7" s="122">
        <v>11</v>
      </c>
      <c r="H7" s="122"/>
      <c r="I7" s="114" t="str">
        <f>IF(ISNA(VLOOKUP(F7,Declarations!B$6:C$185,2,FALSE)),"",IF(VLOOKUP(F7,Declarations!B$6:C$185,2,FALSE)="","NOT DECLARED",VLOOKUP(F7,Declarations!B$6:C$185,2,FALSE)))</f>
        <v>MATTHEW SCALES</v>
      </c>
      <c r="J7" s="112">
        <f>IF(LOWER(G7)="dnf",1,IF(G7&lt;ScoringTable!B$3,ScoringTable!I$2,VLOOKUP((1000-G7),ScoringTable!G$2:I$95,3)))</f>
        <v>60</v>
      </c>
      <c r="K7" s="112" t="str">
        <f>IF(OR(E7="",G7=""),"",IF(RIGHT(E7,1)="G",_xlfn.XLOOKUP(G7,Data!$D$10:$L$10,Data!$D$9:$L$9,"",1,1),_xlfn.XLOOKUP(G7,Data!$D$3:$L$3,Data!$D$2:$L$2,"",1,1)))</f>
        <v>PB9</v>
      </c>
      <c r="L7" s="160" t="str" cm="1">
        <f t="array" ref="L7">IFERROR(_xlfn.IFNA(
                      _xlfn.IFS(
                      G7="", "",
                      AND(E7="U12B",G7&lt;=Data!$M$3), "U12 Boys record",
                      AND(E7="U12G",G7&lt;=Data!$M$10), "U12 Girls record"
                       ),""), "")</f>
        <v/>
      </c>
      <c r="M7" s="18" cm="1">
        <f t="array" ref="M7">_xlfn.IFS($G7="",0, AND(NOT(ISNUMBER($G7)),LOWER($G7)&lt;&gt;"dnf"),"Not a valid time",OR(LOWER($G7)="dnf",$G7&gt;ScoringTable!$M$161),1,RIGHT($E7,1)="B",_xlfn.XLOOKUP($G7,ScoringTable!$M$2:$M$161,ScoringTable!$L$2:$L$161,,1),TRUE,_xlfn.XLOOKUP($G7,ScoringTable!$S$2:$S$161,ScoringTable!$R$2:$R$161,,1))</f>
        <v>105</v>
      </c>
    </row>
    <row r="8" spans="1:13" s="3" customFormat="1" ht="16.05" customHeight="1">
      <c r="A8" s="243" t="s">
        <v>85</v>
      </c>
      <c r="B8" s="114" t="str">
        <f>IF(ISNA(VLOOKUP($F8,Declarations!B$6:C$185,2,FALSE)),"",IF(VLOOKUP($F8,Declarations!B$6:C$185,2,FALSE)="","NOT DECLARED",IF(ISNA(_xlfn.TEXTBEFORE(VLOOKUP($F8,Declarations!B$6:C$185,2,FALSE)," ")),VLOOKUP($F8,Declarations!B$6:C$185,2,FALSE),_xlfn.TEXTBEFORE(VLOOKUP($F8,Declarations!B$6:C$185,2,FALSE)," "))))</f>
        <v>JESSE</v>
      </c>
      <c r="C8" s="114" t="str">
        <f>IF(ISNA(VLOOKUP($F8,Declarations!B$6:C$185,2,FALSE)),"",IF(VLOOKUP($F8,Declarations!B$6:C$185,2,FALSE)="","NOT DECLARED",IF(ISNA(_xlfn.TEXTAFTER(VLOOKUP($F8,Declarations!B$6:C$185,2,FALSE)," ")),VLOOKUP($F8,Declarations!B$6:C$185,2,FALSE),_xlfn.TEXTAFTER(VLOOKUP($F8,Declarations!B$6:C$185,2,FALSE)," "))))</f>
        <v>MCDONNELL</v>
      </c>
      <c r="D8" s="114" t="str">
        <f>IF(ISNA(VLOOKUP($F8,Declarations!$B$6:$F$185,5,FALSE)),"",IF(VLOOKUP($F8,Declarations!$B$6:$F$185,5,FALSE)="","NOT DECLARED",VLOOKUP($F8,Declarations!$B$6:$F$185,5,FALSE)))</f>
        <v>Fleet &amp; Crookham AC</v>
      </c>
      <c r="E8" s="112" t="str">
        <f>IF(ISNA(VLOOKUP($F8,Declarations!$B$6:$D$185,3,FALSE)),"",IF(VLOOKUP($F8,Declarations!$B$6:$D$185,3,FALSE)="","NOT DECLARED",VLOOKUP($F8,Declarations!$B$6:$D$185,3,FALSE)&amp;LEFT(VLOOKUP($F8,Declarations!$B$6:$E$185,4,FALSE))))</f>
        <v>U12B</v>
      </c>
      <c r="F8" s="58">
        <v>71</v>
      </c>
      <c r="G8" s="122">
        <v>11.2</v>
      </c>
      <c r="H8" s="122"/>
      <c r="I8" s="114" t="str">
        <f>IF(ISNA(VLOOKUP(F8,Declarations!B$6:C$185,2,FALSE)),"",IF(VLOOKUP(F8,Declarations!B$6:C$185,2,FALSE)="","NOT DECLARED",VLOOKUP(F8,Declarations!B$6:C$185,2,FALSE)))</f>
        <v>JESSE MCDONNELL</v>
      </c>
      <c r="J8" s="112">
        <f>IF(LOWER(G8)="dnf",1,IF(G8&lt;ScoringTable!B$3,ScoringTable!I$2,VLOOKUP((1000-G8),ScoringTable!G$2:I$95,3)))</f>
        <v>58</v>
      </c>
      <c r="K8" s="112" t="str">
        <f>IF(OR(E8="",G8=""),"",IF(RIGHT(E8,1)="G",_xlfn.XLOOKUP(G8,Data!$D$10:$L$10,Data!$D$9:$L$9,"",1,1),_xlfn.XLOOKUP(G8,Data!$D$3:$L$3,Data!$D$2:$L$2,"",1,1)))</f>
        <v>PB9</v>
      </c>
      <c r="L8" s="160" t="str" cm="1">
        <f t="array" ref="L8">IFERROR(_xlfn.IFNA(
                      _xlfn.IFS(
                      G8="", "",
                      AND(E8="U12B",G8&lt;=Data!$M$3), "U12 Boys record",
                      AND(E8="U12G",G8&lt;=Data!$M$10), "U12 Girls record"
                       ),""), "")</f>
        <v/>
      </c>
      <c r="M8" s="18" cm="1">
        <f t="array" ref="M8">_xlfn.IFS($G8="",0, AND(NOT(ISNUMBER($G8)),LOWER($G8)&lt;&gt;"dnf"),"Not a valid time",OR(LOWER($G8)="dnf",$G8&gt;ScoringTable!$M$161),1,RIGHT($E8,1)="B",_xlfn.XLOOKUP($G8,ScoringTable!$M$2:$M$161,ScoringTable!$L$2:$L$161,,1),TRUE,_xlfn.XLOOKUP($G8,ScoringTable!$S$2:$S$161,ScoringTable!$R$2:$R$161,,1))</f>
        <v>100</v>
      </c>
    </row>
    <row r="9" spans="1:13" s="7" customFormat="1" ht="16.05" customHeight="1">
      <c r="A9" s="243" t="s">
        <v>85</v>
      </c>
      <c r="B9" s="114" t="str">
        <f>IF(ISNA(VLOOKUP($F9,Declarations!B$6:C$185,2,FALSE)),"",IF(VLOOKUP($F9,Declarations!B$6:C$185,2,FALSE)="","NOT DECLARED",IF(ISNA(_xlfn.TEXTBEFORE(VLOOKUP($F9,Declarations!B$6:C$185,2,FALSE)," ")),VLOOKUP($F9,Declarations!B$6:C$185,2,FALSE),_xlfn.TEXTBEFORE(VLOOKUP($F9,Declarations!B$6:C$185,2,FALSE)," "))))</f>
        <v>OSCAR</v>
      </c>
      <c r="C9" s="114" t="str">
        <f>IF(ISNA(VLOOKUP($F9,Declarations!B$6:C$185,2,FALSE)),"",IF(VLOOKUP($F9,Declarations!B$6:C$185,2,FALSE)="","NOT DECLARED",IF(ISNA(_xlfn.TEXTAFTER(VLOOKUP($F9,Declarations!B$6:C$185,2,FALSE)," ")),VLOOKUP($F9,Declarations!B$6:C$185,2,FALSE),_xlfn.TEXTAFTER(VLOOKUP($F9,Declarations!B$6:C$185,2,FALSE)," "))))</f>
        <v>CARTWRIGHT</v>
      </c>
      <c r="D9" s="114" t="str">
        <f>IF(ISNA(VLOOKUP($F9,Declarations!$B$6:$F$185,5,FALSE)),"",IF(VLOOKUP($F9,Declarations!$B$6:$F$185,5,FALSE)="","NOT DECLARED",VLOOKUP($F9,Declarations!$B$6:$F$185,5,FALSE)))</f>
        <v>Poole Runners</v>
      </c>
      <c r="E9" s="112" t="str">
        <f>IF(ISNA(VLOOKUP($F9,Declarations!$B$6:$D$185,3,FALSE)),"",IF(VLOOKUP($F9,Declarations!$B$6:$D$185,3,FALSE)="","NOT DECLARED",VLOOKUP($F9,Declarations!$B$6:$D$185,3,FALSE)&amp;LEFT(VLOOKUP($F9,Declarations!$B$6:$E$185,4,FALSE))))</f>
        <v>U12B</v>
      </c>
      <c r="F9" s="58">
        <v>51</v>
      </c>
      <c r="G9" s="122">
        <v>11.6</v>
      </c>
      <c r="H9" s="122"/>
      <c r="I9" s="114" t="str">
        <f>IF(ISNA(VLOOKUP(F9,Declarations!B$6:C$185,2,FALSE)),"",IF(VLOOKUP(F9,Declarations!B$6:C$185,2,FALSE)="","NOT DECLARED",VLOOKUP(F9,Declarations!B$6:C$185,2,FALSE)))</f>
        <v>OSCAR CARTWRIGHT</v>
      </c>
      <c r="J9" s="112">
        <f>IF(LOWER(G9)="dnf",1,IF(G9&lt;ScoringTable!B$3,ScoringTable!I$2,VLOOKUP((1000-G9),ScoringTable!G$2:I$95,3)))</f>
        <v>54</v>
      </c>
      <c r="K9" s="112" t="str">
        <f>IF(OR(E9="",G9=""),"",IF(RIGHT(E9,1)="G",_xlfn.XLOOKUP(G9,Data!$D$10:$L$10,Data!$D$9:$L$9,"",1,1),_xlfn.XLOOKUP(G9,Data!$D$3:$L$3,Data!$D$2:$L$2,"",1,1)))</f>
        <v>PB8</v>
      </c>
      <c r="L9" s="160" t="str" cm="1">
        <f t="array" ref="L9">IFERROR(_xlfn.IFNA(
                      _xlfn.IFS(
                      G9="", "",
                      AND(E9="U12B",G9&lt;=Data!$M$3), "U12 Boys record",
                      AND(E9="U12G",G9&lt;=Data!$M$10), "U12 Girls record"
                       ),""), "")</f>
        <v/>
      </c>
      <c r="M9" s="18" cm="1">
        <f t="array" ref="M9">_xlfn.IFS($G9="",0, AND(NOT(ISNUMBER($G9)),LOWER($G9)&lt;&gt;"dnf"),"Not a valid time",OR(LOWER($G9)="dnf",$G9&gt;ScoringTable!$M$161),1,RIGHT($E9,1)="B",_xlfn.XLOOKUP($G9,ScoringTable!$M$2:$M$161,ScoringTable!$L$2:$L$161,,1),TRUE,_xlfn.XLOOKUP($G9,ScoringTable!$S$2:$S$161,ScoringTable!$R$2:$R$161,,1))</f>
        <v>90</v>
      </c>
    </row>
    <row r="10" spans="1:13" s="7" customFormat="1" ht="16.05" customHeight="1">
      <c r="A10" s="243" t="s">
        <v>85</v>
      </c>
      <c r="B10" s="114" t="str">
        <f>IF(ISNA(VLOOKUP($F10,Declarations!B$6:C$185,2,FALSE)),"",IF(VLOOKUP($F10,Declarations!B$6:C$185,2,FALSE)="","NOT DECLARED",IF(ISNA(_xlfn.TEXTBEFORE(VLOOKUP($F10,Declarations!B$6:C$185,2,FALSE)," ")),VLOOKUP($F10,Declarations!B$6:C$185,2,FALSE),_xlfn.TEXTBEFORE(VLOOKUP($F10,Declarations!B$6:C$185,2,FALSE)," "))))</f>
        <v>JENSON</v>
      </c>
      <c r="C10" s="114" t="str">
        <f>IF(ISNA(VLOOKUP($F10,Declarations!B$6:C$185,2,FALSE)),"",IF(VLOOKUP($F10,Declarations!B$6:C$185,2,FALSE)="","NOT DECLARED",IF(ISNA(_xlfn.TEXTAFTER(VLOOKUP($F10,Declarations!B$6:C$185,2,FALSE)," ")),VLOOKUP($F10,Declarations!B$6:C$185,2,FALSE),_xlfn.TEXTAFTER(VLOOKUP($F10,Declarations!B$6:C$185,2,FALSE)," "))))</f>
        <v>PROUT</v>
      </c>
      <c r="D10" s="114" t="str">
        <f>IF(ISNA(VLOOKUP($F10,Declarations!$B$6:$F$185,5,FALSE)),"",IF(VLOOKUP($F10,Declarations!$B$6:$F$185,5,FALSE)="","NOT DECLARED",VLOOKUP($F10,Declarations!$B$6:$F$185,5,FALSE)))</f>
        <v>Basingstoke &amp; Mid Hants AC</v>
      </c>
      <c r="E10" s="112" t="str">
        <f>IF(ISNA(VLOOKUP($F10,Declarations!$B$6:$D$185,3,FALSE)),"",IF(VLOOKUP($F10,Declarations!$B$6:$D$185,3,FALSE)="","NOT DECLARED",VLOOKUP($F10,Declarations!$B$6:$D$185,3,FALSE)&amp;LEFT(VLOOKUP($F10,Declarations!$B$6:$E$185,4,FALSE))))</f>
        <v>U12B</v>
      </c>
      <c r="F10" s="58">
        <v>111</v>
      </c>
      <c r="G10" s="122">
        <v>12</v>
      </c>
      <c r="H10" s="122"/>
      <c r="I10" s="114" t="str">
        <f>IF(ISNA(VLOOKUP(F10,Declarations!B$6:C$185,2,FALSE)),"",IF(VLOOKUP(F10,Declarations!B$6:C$185,2,FALSE)="","NOT DECLARED",VLOOKUP(F10,Declarations!B$6:C$185,2,FALSE)))</f>
        <v>JENSON PROUT</v>
      </c>
      <c r="J10" s="112">
        <f>IF(LOWER(G10)="dnf",1,IF(G10&lt;ScoringTable!B$3,ScoringTable!I$2,VLOOKUP((1000-G10),ScoringTable!G$2:I$95,3)))</f>
        <v>50</v>
      </c>
      <c r="K10" s="112" t="str">
        <f>IF(OR(E10="",G10=""),"",IF(RIGHT(E10,1)="G",_xlfn.XLOOKUP(G10,Data!$D$10:$L$10,Data!$D$9:$L$9,"",1,1),_xlfn.XLOOKUP(G10,Data!$D$3:$L$3,Data!$D$2:$L$2,"",1,1)))</f>
        <v>PB7</v>
      </c>
      <c r="L10" s="160" t="str" cm="1">
        <f t="array" ref="L10">IFERROR(_xlfn.IFNA(
                      _xlfn.IFS(
                      G10="", "",
                      AND(E10="U12B",G10&lt;=Data!$M$3), "U12 Boys record",
                      AND(E10="U12G",G10&lt;=Data!$M$10), "U12 Girls record"
                       ),""), "")</f>
        <v/>
      </c>
      <c r="M10" s="18" cm="1">
        <f t="array" ref="M10">_xlfn.IFS($G10="",0, AND(NOT(ISNUMBER($G10)),LOWER($G10)&lt;&gt;"dnf"),"Not a valid time",OR(LOWER($G10)="dnf",$G10&gt;ScoringTable!$M$161),1,RIGHT($E10,1)="B",_xlfn.XLOOKUP($G10,ScoringTable!$M$2:$M$161,ScoringTable!$L$2:$L$161,,1),TRUE,_xlfn.XLOOKUP($G10,ScoringTable!$S$2:$S$161,ScoringTable!$R$2:$R$161,,1))</f>
        <v>80</v>
      </c>
    </row>
    <row r="11" spans="1:13" s="7" customFormat="1" ht="16.05" customHeight="1">
      <c r="A11" s="243" t="s">
        <v>85</v>
      </c>
      <c r="B11" s="114" t="str">
        <f>IF(ISNA(VLOOKUP($F11,Declarations!B$6:C$185,2,FALSE)),"",IF(VLOOKUP($F11,Declarations!B$6:C$185,2,FALSE)="","NOT DECLARED",IF(ISNA(_xlfn.TEXTBEFORE(VLOOKUP($F11,Declarations!B$6:C$185,2,FALSE)," ")),VLOOKUP($F11,Declarations!B$6:C$185,2,FALSE),_xlfn.TEXTBEFORE(VLOOKUP($F11,Declarations!B$6:C$185,2,FALSE)," "))))</f>
        <v>OLI</v>
      </c>
      <c r="C11" s="114" t="str">
        <f>IF(ISNA(VLOOKUP($F11,Declarations!B$6:C$185,2,FALSE)),"",IF(VLOOKUP($F11,Declarations!B$6:C$185,2,FALSE)="","NOT DECLARED",IF(ISNA(_xlfn.TEXTAFTER(VLOOKUP($F11,Declarations!B$6:C$185,2,FALSE)," ")),VLOOKUP($F11,Declarations!B$6:C$185,2,FALSE),_xlfn.TEXTAFTER(VLOOKUP($F11,Declarations!B$6:C$185,2,FALSE)," "))))</f>
        <v>THOMPSON</v>
      </c>
      <c r="D11" s="114" t="str">
        <f>IF(ISNA(VLOOKUP($F11,Declarations!$B$6:$F$185,5,FALSE)),"",IF(VLOOKUP($F11,Declarations!$B$6:$F$185,5,FALSE)="","NOT DECLARED",VLOOKUP($F11,Declarations!$B$6:$F$185,5,FALSE)))</f>
        <v>Woking AC</v>
      </c>
      <c r="E11" s="112" t="str">
        <f>IF(ISNA(VLOOKUP($F11,Declarations!$B$6:$D$185,3,FALSE)),"",IF(VLOOKUP($F11,Declarations!$B$6:$D$185,3,FALSE)="","NOT DECLARED",VLOOKUP($F11,Declarations!$B$6:$D$185,3,FALSE)&amp;LEFT(VLOOKUP($F11,Declarations!$B$6:$E$185,4,FALSE))))</f>
        <v>U12B</v>
      </c>
      <c r="F11" s="58">
        <v>31</v>
      </c>
      <c r="G11" s="122">
        <v>12.8</v>
      </c>
      <c r="H11" s="122"/>
      <c r="I11" s="114" t="str">
        <f>IF(ISNA(VLOOKUP(F11,Declarations!B$6:C$185,2,FALSE)),"",IF(VLOOKUP(F11,Declarations!B$6:C$185,2,FALSE)="","NOT DECLARED",VLOOKUP(F11,Declarations!B$6:C$185,2,FALSE)))</f>
        <v>OLI THOMPSON</v>
      </c>
      <c r="J11" s="112">
        <f>IF(LOWER(G11)="dnf",1,IF(G11&lt;ScoringTable!B$3,ScoringTable!I$2,VLOOKUP((1000-G11),ScoringTable!G$2:I$95,3)))</f>
        <v>42</v>
      </c>
      <c r="K11" s="112" t="str">
        <f>IF(OR(E11="",G11=""),"",IF(RIGHT(E11,1)="G",_xlfn.XLOOKUP(G11,Data!$D$10:$L$10,Data!$D$9:$L$9,"",1,1),_xlfn.XLOOKUP(G11,Data!$D$3:$L$3,Data!$D$2:$L$2,"",1,1)))</f>
        <v>PB5</v>
      </c>
      <c r="L11" s="160" t="str" cm="1">
        <f t="array" ref="L11">IFERROR(_xlfn.IFNA(
                      _xlfn.IFS(
                      G11="", "",
                      AND(E11="U12B",G11&lt;=Data!$M$3), "U12 Boys record",
                      AND(E11="U12G",G11&lt;=Data!$M$10), "U12 Girls record"
                       ),""), "")</f>
        <v/>
      </c>
      <c r="M11" s="18" cm="1">
        <f t="array" ref="M11">_xlfn.IFS($G11="",0, AND(NOT(ISNUMBER($G11)),LOWER($G11)&lt;&gt;"dnf"),"Not a valid time",OR(LOWER($G11)="dnf",$G11&gt;ScoringTable!$M$161),1,RIGHT($E11,1)="B",_xlfn.XLOOKUP($G11,ScoringTable!$M$2:$M$161,ScoringTable!$L$2:$L$161,,1),TRUE,_xlfn.XLOOKUP($G11,ScoringTable!$S$2:$S$161,ScoringTable!$R$2:$R$161,,1))</f>
        <v>64</v>
      </c>
    </row>
    <row r="12" spans="1:13" s="7" customFormat="1" ht="16.05" customHeight="1">
      <c r="A12" s="243" t="s">
        <v>85</v>
      </c>
      <c r="B12" s="114" t="str">
        <f>IF(ISNA(VLOOKUP($F12,Declarations!B$6:C$185,2,FALSE)),"",IF(VLOOKUP($F12,Declarations!B$6:C$185,2,FALSE)="","NOT DECLARED",IF(ISNA(_xlfn.TEXTBEFORE(VLOOKUP($F12,Declarations!B$6:C$185,2,FALSE)," ")),VLOOKUP($F12,Declarations!B$6:C$185,2,FALSE),_xlfn.TEXTBEFORE(VLOOKUP($F12,Declarations!B$6:C$185,2,FALSE)," "))))</f>
        <v>NOAH</v>
      </c>
      <c r="C12" s="114" t="str">
        <f>IF(ISNA(VLOOKUP($F12,Declarations!B$6:C$185,2,FALSE)),"",IF(VLOOKUP($F12,Declarations!B$6:C$185,2,FALSE)="","NOT DECLARED",IF(ISNA(_xlfn.TEXTAFTER(VLOOKUP($F12,Declarations!B$6:C$185,2,FALSE)," ")),VLOOKUP($F12,Declarations!B$6:C$185,2,FALSE),_xlfn.TEXTAFTER(VLOOKUP($F12,Declarations!B$6:C$185,2,FALSE)," "))))</f>
        <v>GRAHAM</v>
      </c>
      <c r="D12" s="114" t="str">
        <f>IF(ISNA(VLOOKUP($F12,Declarations!$B$6:$F$185,5,FALSE)),"",IF(VLOOKUP($F12,Declarations!$B$6:$F$185,5,FALSE)="","NOT DECLARED",VLOOKUP($F12,Declarations!$B$6:$F$185,5,FALSE)))</f>
        <v>Basingstoke &amp; Mid Hants AC</v>
      </c>
      <c r="E12" s="112" t="str">
        <f>IF(ISNA(VLOOKUP($F12,Declarations!$B$6:$D$185,3,FALSE)),"",IF(VLOOKUP($F12,Declarations!$B$6:$D$185,3,FALSE)="","NOT DECLARED",VLOOKUP($F12,Declarations!$B$6:$D$185,3,FALSE)&amp;LEFT(VLOOKUP($F12,Declarations!$B$6:$E$185,4,FALSE))))</f>
        <v>U12B</v>
      </c>
      <c r="F12" s="58">
        <v>112</v>
      </c>
      <c r="G12" s="122">
        <v>11.3</v>
      </c>
      <c r="H12" s="122"/>
      <c r="I12" s="114" t="str">
        <f>IF(ISNA(VLOOKUP(F12,Declarations!B$6:C$185,2,FALSE)),"",IF(VLOOKUP(F12,Declarations!B$6:C$185,2,FALSE)="","NOT DECLARED",VLOOKUP(F12,Declarations!B$6:C$185,2,FALSE)))</f>
        <v>NOAH GRAHAM</v>
      </c>
      <c r="J12" s="112">
        <f>IF(LOWER(G12)="dnf",1,IF(G12&lt;ScoringTable!B$3,ScoringTable!I$2,VLOOKUP((1000-G12),ScoringTable!G$2:I$95,3)))</f>
        <v>57</v>
      </c>
      <c r="K12" s="112" t="str">
        <f>IF(OR(E12="",G12=""),"",IF(RIGHT(E12,1)="G",_xlfn.XLOOKUP(G12,Data!$D$10:$L$10,Data!$D$9:$L$9,"",1,1),_xlfn.XLOOKUP(G12,Data!$D$3:$L$3,Data!$D$2:$L$2,"",1,1)))</f>
        <v>PB8</v>
      </c>
      <c r="L12" s="160" t="str" cm="1">
        <f t="array" ref="L12">IFERROR(_xlfn.IFNA(
                      _xlfn.IFS(
                      G12="", "",
                      AND(E12="U12B",G12&lt;=Data!$M$3), "U12 Boys record",
                      AND(E12="U12G",G12&lt;=Data!$M$10), "U12 Girls record"
                       ),""), "")</f>
        <v/>
      </c>
      <c r="M12" s="18" cm="1">
        <f t="array" ref="M12">_xlfn.IFS($G12="",0, AND(NOT(ISNUMBER($G12)),LOWER($G12)&lt;&gt;"dnf"),"Not a valid time",OR(LOWER($G12)="dnf",$G12&gt;ScoringTable!$M$161),1,RIGHT($E12,1)="B",_xlfn.XLOOKUP($G12,ScoringTable!$M$2:$M$161,ScoringTable!$L$2:$L$161,,1),TRUE,_xlfn.XLOOKUP($G12,ScoringTable!$S$2:$S$161,ScoringTable!$R$2:$R$161,,1))</f>
        <v>97</v>
      </c>
    </row>
    <row r="13" spans="1:13" s="7" customFormat="1" ht="16.05" customHeight="1">
      <c r="A13" s="243" t="s">
        <v>85</v>
      </c>
      <c r="B13" s="114" t="str">
        <f>IF(ISNA(VLOOKUP($F13,Declarations!B$6:C$185,2,FALSE)),"",IF(VLOOKUP($F13,Declarations!B$6:C$185,2,FALSE)="","NOT DECLARED",IF(ISNA(_xlfn.TEXTBEFORE(VLOOKUP($F13,Declarations!B$6:C$185,2,FALSE)," ")),VLOOKUP($F13,Declarations!B$6:C$185,2,FALSE),_xlfn.TEXTBEFORE(VLOOKUP($F13,Declarations!B$6:C$185,2,FALSE)," "))))</f>
        <v>LEVI</v>
      </c>
      <c r="C13" s="114" t="str">
        <f>IF(ISNA(VLOOKUP($F13,Declarations!B$6:C$185,2,FALSE)),"",IF(VLOOKUP($F13,Declarations!B$6:C$185,2,FALSE)="","NOT DECLARED",IF(ISNA(_xlfn.TEXTAFTER(VLOOKUP($F13,Declarations!B$6:C$185,2,FALSE)," ")),VLOOKUP($F13,Declarations!B$6:C$185,2,FALSE),_xlfn.TEXTAFTER(VLOOKUP($F13,Declarations!B$6:C$185,2,FALSE)," "))))</f>
        <v>KIRWAN</v>
      </c>
      <c r="D13" s="114" t="str">
        <f>IF(ISNA(VLOOKUP($F13,Declarations!$B$6:$F$185,5,FALSE)),"",IF(VLOOKUP($F13,Declarations!$B$6:$F$185,5,FALSE)="","NOT DECLARED",VLOOKUP($F13,Declarations!$B$6:$F$185,5,FALSE)))</f>
        <v>Fleet &amp; Crookham AC</v>
      </c>
      <c r="E13" s="112" t="str">
        <f>IF(ISNA(VLOOKUP($F13,Declarations!$B$6:$D$185,3,FALSE)),"",IF(VLOOKUP($F13,Declarations!$B$6:$D$185,3,FALSE)="","NOT DECLARED",VLOOKUP($F13,Declarations!$B$6:$D$185,3,FALSE)&amp;LEFT(VLOOKUP($F13,Declarations!$B$6:$E$185,4,FALSE))))</f>
        <v>U12B</v>
      </c>
      <c r="F13" s="58">
        <v>72</v>
      </c>
      <c r="G13" s="122">
        <v>11.5</v>
      </c>
      <c r="H13" s="122"/>
      <c r="I13" s="114" t="str">
        <f>IF(ISNA(VLOOKUP(F13,Declarations!B$6:C$185,2,FALSE)),"",IF(VLOOKUP(F13,Declarations!B$6:C$185,2,FALSE)="","NOT DECLARED",VLOOKUP(F13,Declarations!B$6:C$185,2,FALSE)))</f>
        <v>LEVI KIRWAN</v>
      </c>
      <c r="J13" s="112">
        <f>IF(LOWER(G13)="dnf",1,IF(G13&lt;ScoringTable!B$3,ScoringTable!I$2,VLOOKUP((1000-G13),ScoringTable!G$2:I$95,3)))</f>
        <v>55</v>
      </c>
      <c r="K13" s="112" t="str">
        <f>IF(OR(E13="",G13=""),"",IF(RIGHT(E13,1)="G",_xlfn.XLOOKUP(G13,Data!$D$10:$L$10,Data!$D$9:$L$9,"",1,1),_xlfn.XLOOKUP(G13,Data!$D$3:$L$3,Data!$D$2:$L$2,"",1,1)))</f>
        <v>PB8</v>
      </c>
      <c r="L13" s="160" t="str" cm="1">
        <f t="array" ref="L13">IFERROR(_xlfn.IFNA(
                      _xlfn.IFS(
                      G13="", "",
                      AND(E13="U12B",G13&lt;=Data!$M$3), "U12 Boys record",
                      AND(E13="U12G",G13&lt;=Data!$M$10), "U12 Girls record"
                       ),""), "")</f>
        <v/>
      </c>
      <c r="M13" s="18" cm="1">
        <f t="array" ref="M13">_xlfn.IFS($G13="",0, AND(NOT(ISNUMBER($G13)),LOWER($G13)&lt;&gt;"dnf"),"Not a valid time",OR(LOWER($G13)="dnf",$G13&gt;ScoringTable!$M$161),1,RIGHT($E13,1)="B",_xlfn.XLOOKUP($G13,ScoringTable!$M$2:$M$161,ScoringTable!$L$2:$L$161,,1),TRUE,_xlfn.XLOOKUP($G13,ScoringTable!$S$2:$S$161,ScoringTable!$R$2:$R$161,,1))</f>
        <v>92</v>
      </c>
    </row>
    <row r="14" spans="1:13" s="7" customFormat="1" ht="16.05" customHeight="1">
      <c r="A14" s="243" t="s">
        <v>85</v>
      </c>
      <c r="B14" s="114" t="str">
        <f>IF(ISNA(VLOOKUP($F14,Declarations!B$6:C$185,2,FALSE)),"",IF(VLOOKUP($F14,Declarations!B$6:C$185,2,FALSE)="","NOT DECLARED",IF(ISNA(_xlfn.TEXTBEFORE(VLOOKUP($F14,Declarations!B$6:C$185,2,FALSE)," ")),VLOOKUP($F14,Declarations!B$6:C$185,2,FALSE),_xlfn.TEXTBEFORE(VLOOKUP($F14,Declarations!B$6:C$185,2,FALSE)," "))))</f>
        <v>ISAAC</v>
      </c>
      <c r="C14" s="114" t="str">
        <f>IF(ISNA(VLOOKUP($F14,Declarations!B$6:C$185,2,FALSE)),"",IF(VLOOKUP($F14,Declarations!B$6:C$185,2,FALSE)="","NOT DECLARED",IF(ISNA(_xlfn.TEXTAFTER(VLOOKUP($F14,Declarations!B$6:C$185,2,FALSE)," ")),VLOOKUP($F14,Declarations!B$6:C$185,2,FALSE),_xlfn.TEXTAFTER(VLOOKUP($F14,Declarations!B$6:C$185,2,FALSE)," "))))</f>
        <v>HUTCHISON</v>
      </c>
      <c r="D14" s="114" t="str">
        <f>IF(ISNA(VLOOKUP($F14,Declarations!$B$6:$F$185,5,FALSE)),"",IF(VLOOKUP($F14,Declarations!$B$6:$F$185,5,FALSE)="","NOT DECLARED",VLOOKUP($F14,Declarations!$B$6:$F$185,5,FALSE)))</f>
        <v>Woking AC</v>
      </c>
      <c r="E14" s="112" t="str">
        <f>IF(ISNA(VLOOKUP($F14,Declarations!$B$6:$D$185,3,FALSE)),"",IF(VLOOKUP($F14,Declarations!$B$6:$D$185,3,FALSE)="","NOT DECLARED",VLOOKUP($F14,Declarations!$B$6:$D$185,3,FALSE)&amp;LEFT(VLOOKUP($F14,Declarations!$B$6:$E$185,4,FALSE))))</f>
        <v>U12B</v>
      </c>
      <c r="F14" s="58">
        <v>32</v>
      </c>
      <c r="G14" s="122">
        <v>11.8</v>
      </c>
      <c r="H14" s="122"/>
      <c r="I14" s="114" t="str">
        <f>IF(ISNA(VLOOKUP(F14,Declarations!B$6:C$185,2,FALSE)),"",IF(VLOOKUP(F14,Declarations!B$6:C$185,2,FALSE)="","NOT DECLARED",VLOOKUP(F14,Declarations!B$6:C$185,2,FALSE)))</f>
        <v>ISAAC HUTCHISON</v>
      </c>
      <c r="J14" s="112">
        <f>IF(LOWER(G14)="dnf",1,IF(G14&lt;ScoringTable!B$3,ScoringTable!I$2,VLOOKUP((1000-G14),ScoringTable!G$2:I$95,3)))</f>
        <v>52</v>
      </c>
      <c r="K14" s="112" t="str">
        <f>IF(OR(E14="",G14=""),"",IF(RIGHT(E14,1)="G",_xlfn.XLOOKUP(G14,Data!$D$10:$L$10,Data!$D$9:$L$9,"",1,1),_xlfn.XLOOKUP(G14,Data!$D$3:$L$3,Data!$D$2:$L$2,"",1,1)))</f>
        <v>PB7</v>
      </c>
      <c r="L14" s="160" t="str" cm="1">
        <f t="array" ref="L14">IFERROR(_xlfn.IFNA(
                      _xlfn.IFS(
                      G14="", "",
                      AND(E14="U12B",G14&lt;=Data!$M$3), "U12 Boys record",
                      AND(E14="U12G",G14&lt;=Data!$M$10), "U12 Girls record"
                       ),""), "")</f>
        <v/>
      </c>
      <c r="M14" s="18" cm="1">
        <f t="array" ref="M14">_xlfn.IFS($G14="",0, AND(NOT(ISNUMBER($G14)),LOWER($G14)&lt;&gt;"dnf"),"Not a valid time",OR(LOWER($G14)="dnf",$G14&gt;ScoringTable!$M$161),1,RIGHT($E14,1)="B",_xlfn.XLOOKUP($G14,ScoringTable!$M$2:$M$161,ScoringTable!$L$2:$L$161,,1),TRUE,_xlfn.XLOOKUP($G14,ScoringTable!$S$2:$S$161,ScoringTable!$R$2:$R$161,,1))</f>
        <v>85</v>
      </c>
    </row>
    <row r="15" spans="1:13" s="7" customFormat="1" ht="16.05" customHeight="1">
      <c r="A15" s="243" t="s">
        <v>85</v>
      </c>
      <c r="B15" s="114" t="str">
        <f>IF(ISNA(VLOOKUP($F15,Declarations!B$6:C$185,2,FALSE)),"",IF(VLOOKUP($F15,Declarations!B$6:C$185,2,FALSE)="","NOT DECLARED",IF(ISNA(_xlfn.TEXTBEFORE(VLOOKUP($F15,Declarations!B$6:C$185,2,FALSE)," ")),VLOOKUP($F15,Declarations!B$6:C$185,2,FALSE),_xlfn.TEXTBEFORE(VLOOKUP($F15,Declarations!B$6:C$185,2,FALSE)," "))))</f>
        <v>OSCAR</v>
      </c>
      <c r="C15" s="114" t="str">
        <f>IF(ISNA(VLOOKUP($F15,Declarations!B$6:C$185,2,FALSE)),"",IF(VLOOKUP($F15,Declarations!B$6:C$185,2,FALSE)="","NOT DECLARED",IF(ISNA(_xlfn.TEXTAFTER(VLOOKUP($F15,Declarations!B$6:C$185,2,FALSE)," ")),VLOOKUP($F15,Declarations!B$6:C$185,2,FALSE),_xlfn.TEXTAFTER(VLOOKUP($F15,Declarations!B$6:C$185,2,FALSE)," "))))</f>
        <v>FROST</v>
      </c>
      <c r="D15" s="114" t="str">
        <f>IF(ISNA(VLOOKUP($F15,Declarations!$B$6:$F$185,5,FALSE)),"",IF(VLOOKUP($F15,Declarations!$B$6:$F$185,5,FALSE)="","NOT DECLARED",VLOOKUP($F15,Declarations!$B$6:$F$185,5,FALSE)))</f>
        <v>Camberley &amp; District AC</v>
      </c>
      <c r="E15" s="112" t="str">
        <f>IF(ISNA(VLOOKUP($F15,Declarations!$B$6:$D$185,3,FALSE)),"",IF(VLOOKUP($F15,Declarations!$B$6:$D$185,3,FALSE)="","NOT DECLARED",VLOOKUP($F15,Declarations!$B$6:$D$185,3,FALSE)&amp;LEFT(VLOOKUP($F15,Declarations!$B$6:$E$185,4,FALSE))))</f>
        <v>U12B</v>
      </c>
      <c r="F15" s="58">
        <v>12</v>
      </c>
      <c r="G15" s="122">
        <v>11.9</v>
      </c>
      <c r="H15" s="122"/>
      <c r="I15" s="114" t="str">
        <f>IF(ISNA(VLOOKUP(F15,Declarations!B$6:C$185,2,FALSE)),"",IF(VLOOKUP(F15,Declarations!B$6:C$185,2,FALSE)="","NOT DECLARED",VLOOKUP(F15,Declarations!B$6:C$185,2,FALSE)))</f>
        <v>OSCAR FROST</v>
      </c>
      <c r="J15" s="112">
        <f>IF(LOWER(G15)="dnf",1,IF(G15&lt;ScoringTable!B$3,ScoringTable!I$2,VLOOKUP((1000-G15),ScoringTable!G$2:I$95,3)))</f>
        <v>51</v>
      </c>
      <c r="K15" s="112" t="str">
        <f>IF(OR(E15="",G15=""),"",IF(RIGHT(E15,1)="G",_xlfn.XLOOKUP(G15,Data!$D$10:$L$10,Data!$D$9:$L$9,"",1,1),_xlfn.XLOOKUP(G15,Data!$D$3:$L$3,Data!$D$2:$L$2,"",1,1)))</f>
        <v>PB7</v>
      </c>
      <c r="L15" s="160" t="str" cm="1">
        <f t="array" ref="L15">IFERROR(_xlfn.IFNA(
                      _xlfn.IFS(
                      G15="", "",
                      AND(E15="U12B",G15&lt;=Data!$M$3), "U12 Boys record",
                      AND(E15="U12G",G15&lt;=Data!$M$10), "U12 Girls record"
                       ),""), "")</f>
        <v/>
      </c>
      <c r="M15" s="18" cm="1">
        <f t="array" ref="M15">_xlfn.IFS($G15="",0, AND(NOT(ISNUMBER($G15)),LOWER($G15)&lt;&gt;"dnf"),"Not a valid time",OR(LOWER($G15)="dnf",$G15&gt;ScoringTable!$M$161),1,RIGHT($E15,1)="B",_xlfn.XLOOKUP($G15,ScoringTable!$M$2:$M$161,ScoringTable!$L$2:$L$161,,1),TRUE,_xlfn.XLOOKUP($G15,ScoringTable!$S$2:$S$161,ScoringTable!$R$2:$R$161,,1))</f>
        <v>82</v>
      </c>
    </row>
    <row r="16" spans="1:13" s="7" customFormat="1" ht="16.05" customHeight="1">
      <c r="A16" s="243" t="s">
        <v>85</v>
      </c>
      <c r="B16" s="114" t="str">
        <f>IF(ISNA(VLOOKUP($F16,Declarations!B$6:C$185,2,FALSE)),"",IF(VLOOKUP($F16,Declarations!B$6:C$185,2,FALSE)="","NOT DECLARED",IF(ISNA(_xlfn.TEXTBEFORE(VLOOKUP($F16,Declarations!B$6:C$185,2,FALSE)," ")),VLOOKUP($F16,Declarations!B$6:C$185,2,FALSE),_xlfn.TEXTBEFORE(VLOOKUP($F16,Declarations!B$6:C$185,2,FALSE)," "))))</f>
        <v>BLAKE</v>
      </c>
      <c r="C16" s="114" t="str">
        <f>IF(ISNA(VLOOKUP($F16,Declarations!B$6:C$185,2,FALSE)),"",IF(VLOOKUP($F16,Declarations!B$6:C$185,2,FALSE)="","NOT DECLARED",IF(ISNA(_xlfn.TEXTAFTER(VLOOKUP($F16,Declarations!B$6:C$185,2,FALSE)," ")),VLOOKUP($F16,Declarations!B$6:C$185,2,FALSE),_xlfn.TEXTAFTER(VLOOKUP($F16,Declarations!B$6:C$185,2,FALSE)," "))))</f>
        <v>BARNES</v>
      </c>
      <c r="D16" s="114" t="str">
        <f>IF(ISNA(VLOOKUP($F16,Declarations!$B$6:$F$185,5,FALSE)),"",IF(VLOOKUP($F16,Declarations!$B$6:$F$185,5,FALSE)="","NOT DECLARED",VLOOKUP($F16,Declarations!$B$6:$F$185,5,FALSE)))</f>
        <v>Waverley Athletics Club</v>
      </c>
      <c r="E16" s="112" t="str">
        <f>IF(ISNA(VLOOKUP($F16,Declarations!$B$6:$D$185,3,FALSE)),"",IF(VLOOKUP($F16,Declarations!$B$6:$D$185,3,FALSE)="","NOT DECLARED",VLOOKUP($F16,Declarations!$B$6:$D$185,3,FALSE)&amp;LEFT(VLOOKUP($F16,Declarations!$B$6:$E$185,4,FALSE))))</f>
        <v>U12B</v>
      </c>
      <c r="F16" s="58">
        <v>92</v>
      </c>
      <c r="G16" s="122">
        <v>12</v>
      </c>
      <c r="H16" s="122"/>
      <c r="I16" s="114" t="str">
        <f>IF(ISNA(VLOOKUP(F16,Declarations!B$6:C$185,2,FALSE)),"",IF(VLOOKUP(F16,Declarations!B$6:C$185,2,FALSE)="","NOT DECLARED",VLOOKUP(F16,Declarations!B$6:C$185,2,FALSE)))</f>
        <v>BLAKE BARNES</v>
      </c>
      <c r="J16" s="112">
        <f>IF(LOWER(G16)="dnf",1,IF(G16&lt;ScoringTable!B$3,ScoringTable!I$2,VLOOKUP((1000-G16),ScoringTable!G$2:I$95,3)))</f>
        <v>50</v>
      </c>
      <c r="K16" s="112" t="str">
        <f>IF(OR(E16="",G16=""),"",IF(RIGHT(E16,1)="G",_xlfn.XLOOKUP(G16,Data!$D$10:$L$10,Data!$D$9:$L$9,"",1,1),_xlfn.XLOOKUP(G16,Data!$D$3:$L$3,Data!$D$2:$L$2,"",1,1)))</f>
        <v>PB7</v>
      </c>
      <c r="L16" s="160" t="str" cm="1">
        <f t="array" ref="L16">IFERROR(_xlfn.IFNA(
                      _xlfn.IFS(
                      G16="", "",
                      AND(E16="U12B",G16&lt;=Data!$M$3), "U12 Boys record",
                      AND(E16="U12G",G16&lt;=Data!$M$10), "U12 Girls record"
                       ),""), "")</f>
        <v/>
      </c>
      <c r="M16" s="18" cm="1">
        <f t="array" ref="M16">_xlfn.IFS($G16="",0, AND(NOT(ISNUMBER($G16)),LOWER($G16)&lt;&gt;"dnf"),"Not a valid time",OR(LOWER($G16)="dnf",$G16&gt;ScoringTable!$M$161),1,RIGHT($E16,1)="B",_xlfn.XLOOKUP($G16,ScoringTable!$M$2:$M$161,ScoringTable!$L$2:$L$161,,1),TRUE,_xlfn.XLOOKUP($G16,ScoringTable!$S$2:$S$161,ScoringTable!$R$2:$R$161,,1))</f>
        <v>80</v>
      </c>
    </row>
    <row r="17" spans="1:13" s="7" customFormat="1" ht="16.05" customHeight="1">
      <c r="A17" s="243" t="s">
        <v>85</v>
      </c>
      <c r="B17" s="114" t="str">
        <f>IF(ISNA(VLOOKUP($F17,Declarations!B$6:C$185,2,FALSE)),"",IF(VLOOKUP($F17,Declarations!B$6:C$185,2,FALSE)="","NOT DECLARED",IF(ISNA(_xlfn.TEXTBEFORE(VLOOKUP($F17,Declarations!B$6:C$185,2,FALSE)," ")),VLOOKUP($F17,Declarations!B$6:C$185,2,FALSE),_xlfn.TEXTBEFORE(VLOOKUP($F17,Declarations!B$6:C$185,2,FALSE)," "))))</f>
        <v>MARLOWE</v>
      </c>
      <c r="C17" s="114" t="str">
        <f>IF(ISNA(VLOOKUP($F17,Declarations!B$6:C$185,2,FALSE)),"",IF(VLOOKUP($F17,Declarations!B$6:C$185,2,FALSE)="","NOT DECLARED",IF(ISNA(_xlfn.TEXTAFTER(VLOOKUP($F17,Declarations!B$6:C$185,2,FALSE)," ")),VLOOKUP($F17,Declarations!B$6:C$185,2,FALSE),_xlfn.TEXTAFTER(VLOOKUP($F17,Declarations!B$6:C$185,2,FALSE)," "))))</f>
        <v>PEACH</v>
      </c>
      <c r="D17" s="114" t="str">
        <f>IF(ISNA(VLOOKUP($F17,Declarations!$B$6:$F$185,5,FALSE)),"",IF(VLOOKUP($F17,Declarations!$B$6:$F$185,5,FALSE)="","NOT DECLARED",VLOOKUP($F17,Declarations!$B$6:$F$185,5,FALSE)))</f>
        <v>Poole Runners</v>
      </c>
      <c r="E17" s="112" t="str">
        <f>IF(ISNA(VLOOKUP($F17,Declarations!$B$6:$D$185,3,FALSE)),"",IF(VLOOKUP($F17,Declarations!$B$6:$D$185,3,FALSE)="","NOT DECLARED",VLOOKUP($F17,Declarations!$B$6:$D$185,3,FALSE)&amp;LEFT(VLOOKUP($F17,Declarations!$B$6:$E$185,4,FALSE))))</f>
        <v>U12B</v>
      </c>
      <c r="F17" s="58">
        <v>52</v>
      </c>
      <c r="G17" s="122">
        <v>13.1</v>
      </c>
      <c r="H17" s="122"/>
      <c r="I17" s="114" t="str">
        <f>IF(ISNA(VLOOKUP(F17,Declarations!B$6:C$185,2,FALSE)),"",IF(VLOOKUP(F17,Declarations!B$6:C$185,2,FALSE)="","NOT DECLARED",VLOOKUP(F17,Declarations!B$6:C$185,2,FALSE)))</f>
        <v>MARLOWE PEACH</v>
      </c>
      <c r="J17" s="112">
        <f>IF(LOWER(G17)="dnf",1,IF(G17&lt;ScoringTable!B$3,ScoringTable!I$2,VLOOKUP((1000-G17),ScoringTable!G$2:I$95,3)))</f>
        <v>39</v>
      </c>
      <c r="K17" s="112" t="str">
        <f>IF(OR(E17="",G17=""),"",IF(RIGHT(E17,1)="G",_xlfn.XLOOKUP(G17,Data!$D$10:$L$10,Data!$D$9:$L$9,"",1,1),_xlfn.XLOOKUP(G17,Data!$D$3:$L$3,Data!$D$2:$L$2,"",1,1)))</f>
        <v>PB4</v>
      </c>
      <c r="L17" s="160" t="str" cm="1">
        <f t="array" ref="L17">IFERROR(_xlfn.IFNA(
                      _xlfn.IFS(
                      G17="", "",
                      AND(E17="U12B",G17&lt;=Data!$M$3), "U12 Boys record",
                      AND(E17="U12G",G17&lt;=Data!$M$10), "U12 Girls record"
                       ),""), "")</f>
        <v/>
      </c>
      <c r="M17" s="18" cm="1">
        <f t="array" ref="M17">_xlfn.IFS($G17="",0, AND(NOT(ISNUMBER($G17)),LOWER($G17)&lt;&gt;"dnf"),"Not a valid time",OR(LOWER($G17)="dnf",$G17&gt;ScoringTable!$M$161),1,RIGHT($E17,1)="B",_xlfn.XLOOKUP($G17,ScoringTable!$M$2:$M$161,ScoringTable!$L$2:$L$161,,1),TRUE,_xlfn.XLOOKUP($G17,ScoringTable!$S$2:$S$161,ScoringTable!$R$2:$R$161,,1))</f>
        <v>58</v>
      </c>
    </row>
    <row r="18" spans="1:13" s="7" customFormat="1" ht="16.05" customHeight="1">
      <c r="A18" s="243" t="s">
        <v>85</v>
      </c>
      <c r="B18" s="114" t="str">
        <f>IF(ISNA(VLOOKUP($F18,Declarations!B$6:C$185,2,FALSE)),"",IF(VLOOKUP($F18,Declarations!B$6:C$185,2,FALSE)="","NOT DECLARED",IF(ISNA(_xlfn.TEXTBEFORE(VLOOKUP($F18,Declarations!B$6:C$185,2,FALSE)," ")),VLOOKUP($F18,Declarations!B$6:C$185,2,FALSE),_xlfn.TEXTBEFORE(VLOOKUP($F18,Declarations!B$6:C$185,2,FALSE)," "))))</f>
        <v>ROME</v>
      </c>
      <c r="C18" s="114" t="str">
        <f>IF(ISNA(VLOOKUP($F18,Declarations!B$6:C$185,2,FALSE)),"",IF(VLOOKUP($F18,Declarations!B$6:C$185,2,FALSE)="","NOT DECLARED",IF(ISNA(_xlfn.TEXTAFTER(VLOOKUP($F18,Declarations!B$6:C$185,2,FALSE)," ")),VLOOKUP($F18,Declarations!B$6:C$185,2,FALSE),_xlfn.TEXTAFTER(VLOOKUP($F18,Declarations!B$6:C$185,2,FALSE)," "))))</f>
        <v>ALEXANDER SOLOMAN</v>
      </c>
      <c r="D18" s="114" t="str">
        <f>IF(ISNA(VLOOKUP($F18,Declarations!$B$6:$F$185,5,FALSE)),"",IF(VLOOKUP($F18,Declarations!$B$6:$F$185,5,FALSE)="","NOT DECLARED",VLOOKUP($F18,Declarations!$B$6:$F$185,5,FALSE)))</f>
        <v>Basingstoke &amp; Mid Hants AC</v>
      </c>
      <c r="E18" s="112" t="str">
        <f>IF(ISNA(VLOOKUP($F18,Declarations!$B$6:$D$185,3,FALSE)),"",IF(VLOOKUP($F18,Declarations!$B$6:$D$185,3,FALSE)="","NOT DECLARED",VLOOKUP($F18,Declarations!$B$6:$D$185,3,FALSE)&amp;LEFT(VLOOKUP($F18,Declarations!$B$6:$E$185,4,FALSE))))</f>
        <v>U12B</v>
      </c>
      <c r="F18" s="58">
        <v>113</v>
      </c>
      <c r="G18" s="122">
        <v>10.8</v>
      </c>
      <c r="H18" s="122"/>
      <c r="I18" s="114" t="str">
        <f>IF(ISNA(VLOOKUP(F18,Declarations!B$6:C$185,2,FALSE)),"",IF(VLOOKUP(F18,Declarations!B$6:C$185,2,FALSE)="","NOT DECLARED",VLOOKUP(F18,Declarations!B$6:C$185,2,FALSE)))</f>
        <v>ROME ALEXANDER SOLOMAN</v>
      </c>
      <c r="J18" s="112">
        <f>IF(LOWER(G18)="dnf",1,IF(G18&lt;ScoringTable!B$3,ScoringTable!I$2,VLOOKUP((1000-G18),ScoringTable!G$2:I$95,3)))</f>
        <v>62</v>
      </c>
      <c r="K18" s="112" t="str">
        <f>IF(OR(E18="",G18=""),"",IF(RIGHT(E18,1)="G",_xlfn.XLOOKUP(G18,Data!$D$10:$L$10,Data!$D$9:$L$9,"",1,1),_xlfn.XLOOKUP(G18,Data!$D$3:$L$3,Data!$D$2:$L$2,"",1,1)))</f>
        <v>PB9</v>
      </c>
      <c r="L18" s="160" t="str" cm="1">
        <f t="array" ref="L18">IFERROR(_xlfn.IFNA(
                      _xlfn.IFS(
                      G18="", "",
                      AND(E18="U12B",G18&lt;=Data!$M$3), "U12 Boys record",
                      AND(E18="U12G",G18&lt;=Data!$M$10), "U12 Girls record"
                       ),""), "")</f>
        <v/>
      </c>
      <c r="M18" s="18" cm="1">
        <f t="array" ref="M18">_xlfn.IFS($G18="",0, AND(NOT(ISNUMBER($G18)),LOWER($G18)&lt;&gt;"dnf"),"Not a valid time",OR(LOWER($G18)="dnf",$G18&gt;ScoringTable!$M$161),1,RIGHT($E18,1)="B",_xlfn.XLOOKUP($G18,ScoringTable!$M$2:$M$161,ScoringTable!$L$2:$L$161,,1),TRUE,_xlfn.XLOOKUP($G18,ScoringTable!$S$2:$S$161,ScoringTable!$R$2:$R$161,,1))</f>
        <v>110</v>
      </c>
    </row>
    <row r="19" spans="1:13" s="7" customFormat="1" ht="16.05" customHeight="1">
      <c r="A19" s="243" t="s">
        <v>85</v>
      </c>
      <c r="B19" s="114" t="str">
        <f>IF(ISNA(VLOOKUP($F19,Declarations!B$6:C$185,2,FALSE)),"",IF(VLOOKUP($F19,Declarations!B$6:C$185,2,FALSE)="","NOT DECLARED",IF(ISNA(_xlfn.TEXTBEFORE(VLOOKUP($F19,Declarations!B$6:C$185,2,FALSE)," ")),VLOOKUP($F19,Declarations!B$6:C$185,2,FALSE),_xlfn.TEXTBEFORE(VLOOKUP($F19,Declarations!B$6:C$185,2,FALSE)," "))))</f>
        <v>CHARLIE</v>
      </c>
      <c r="C19" s="114" t="str">
        <f>IF(ISNA(VLOOKUP($F19,Declarations!B$6:C$185,2,FALSE)),"",IF(VLOOKUP($F19,Declarations!B$6:C$185,2,FALSE)="","NOT DECLARED",IF(ISNA(_xlfn.TEXTAFTER(VLOOKUP($F19,Declarations!B$6:C$185,2,FALSE)," ")),VLOOKUP($F19,Declarations!B$6:C$185,2,FALSE),_xlfn.TEXTAFTER(VLOOKUP($F19,Declarations!B$6:C$185,2,FALSE)," "))))</f>
        <v>BLACKWELL</v>
      </c>
      <c r="D19" s="114" t="str">
        <f>IF(ISNA(VLOOKUP($F19,Declarations!$B$6:$F$185,5,FALSE)),"",IF(VLOOKUP($F19,Declarations!$B$6:$F$185,5,FALSE)="","NOT DECLARED",VLOOKUP($F19,Declarations!$B$6:$F$185,5,FALSE)))</f>
        <v>Fleet &amp; Crookham AC</v>
      </c>
      <c r="E19" s="112" t="str">
        <f>IF(ISNA(VLOOKUP($F19,Declarations!$B$6:$D$185,3,FALSE)),"",IF(VLOOKUP($F19,Declarations!$B$6:$D$185,3,FALSE)="","NOT DECLARED",VLOOKUP($F19,Declarations!$B$6:$D$185,3,FALSE)&amp;LEFT(VLOOKUP($F19,Declarations!$B$6:$E$185,4,FALSE))))</f>
        <v>U12B</v>
      </c>
      <c r="F19" s="58">
        <v>73</v>
      </c>
      <c r="G19" s="122">
        <v>10.9</v>
      </c>
      <c r="H19" s="122"/>
      <c r="I19" s="114" t="str">
        <f>IF(ISNA(VLOOKUP(F19,Declarations!B$6:C$185,2,FALSE)),"",IF(VLOOKUP(F19,Declarations!B$6:C$185,2,FALSE)="","NOT DECLARED",VLOOKUP(F19,Declarations!B$6:C$185,2,FALSE)))</f>
        <v>CHARLIE BLACKWELL</v>
      </c>
      <c r="J19" s="112">
        <f>IF(LOWER(G19)="dnf",1,IF(G19&lt;ScoringTable!B$3,ScoringTable!I$2,VLOOKUP((1000-G19),ScoringTable!G$2:I$95,3)))</f>
        <v>61</v>
      </c>
      <c r="K19" s="112" t="str">
        <f>IF(OR(E19="",G19=""),"",IF(RIGHT(E19,1)="G",_xlfn.XLOOKUP(G19,Data!$D$10:$L$10,Data!$D$9:$L$9,"",1,1),_xlfn.XLOOKUP(G19,Data!$D$3:$L$3,Data!$D$2:$L$2,"",1,1)))</f>
        <v>PB9</v>
      </c>
      <c r="L19" s="160" t="str" cm="1">
        <f t="array" ref="L19">IFERROR(_xlfn.IFNA(
                      _xlfn.IFS(
                      G19="", "",
                      AND(E19="U12B",G19&lt;=Data!$M$3), "U12 Boys record",
                      AND(E19="U12G",G19&lt;=Data!$M$10), "U12 Girls record"
                       ),""), "")</f>
        <v/>
      </c>
      <c r="M19" s="18" cm="1">
        <f t="array" ref="M19">_xlfn.IFS($G19="",0, AND(NOT(ISNUMBER($G19)),LOWER($G19)&lt;&gt;"dnf"),"Not a valid time",OR(LOWER($G19)="dnf",$G19&gt;ScoringTable!$M$161),1,RIGHT($E19,1)="B",_xlfn.XLOOKUP($G19,ScoringTable!$M$2:$M$161,ScoringTable!$L$2:$L$161,,1),TRUE,_xlfn.XLOOKUP($G19,ScoringTable!$S$2:$S$161,ScoringTable!$R$2:$R$161,,1))</f>
        <v>107</v>
      </c>
    </row>
    <row r="20" spans="1:13" s="7" customFormat="1" ht="16.05" customHeight="1">
      <c r="A20" s="243" t="s">
        <v>85</v>
      </c>
      <c r="B20" s="114" t="str">
        <f>IF(ISNA(VLOOKUP($F20,Declarations!B$6:C$185,2,FALSE)),"",IF(VLOOKUP($F20,Declarations!B$6:C$185,2,FALSE)="","NOT DECLARED",IF(ISNA(_xlfn.TEXTBEFORE(VLOOKUP($F20,Declarations!B$6:C$185,2,FALSE)," ")),VLOOKUP($F20,Declarations!B$6:C$185,2,FALSE),_xlfn.TEXTBEFORE(VLOOKUP($F20,Declarations!B$6:C$185,2,FALSE)," "))))</f>
        <v>WILLIAM</v>
      </c>
      <c r="C20" s="114" t="str">
        <f>IF(ISNA(VLOOKUP($F20,Declarations!B$6:C$185,2,FALSE)),"",IF(VLOOKUP($F20,Declarations!B$6:C$185,2,FALSE)="","NOT DECLARED",IF(ISNA(_xlfn.TEXTAFTER(VLOOKUP($F20,Declarations!B$6:C$185,2,FALSE)," ")),VLOOKUP($F20,Declarations!B$6:C$185,2,FALSE),_xlfn.TEXTAFTER(VLOOKUP($F20,Declarations!B$6:C$185,2,FALSE)," "))))</f>
        <v>PEARCE</v>
      </c>
      <c r="D20" s="114" t="str">
        <f>IF(ISNA(VLOOKUP($F20,Declarations!$B$6:$F$185,5,FALSE)),"",IF(VLOOKUP($F20,Declarations!$B$6:$F$185,5,FALSE)="","NOT DECLARED",VLOOKUP($F20,Declarations!$B$6:$F$185,5,FALSE)))</f>
        <v>Woking AC</v>
      </c>
      <c r="E20" s="112" t="str">
        <f>IF(ISNA(VLOOKUP($F20,Declarations!$B$6:$D$185,3,FALSE)),"",IF(VLOOKUP($F20,Declarations!$B$6:$D$185,3,FALSE)="","NOT DECLARED",VLOOKUP($F20,Declarations!$B$6:$D$185,3,FALSE)&amp;LEFT(VLOOKUP($F20,Declarations!$B$6:$E$185,4,FALSE))))</f>
        <v>U12B</v>
      </c>
      <c r="F20" s="58">
        <v>33</v>
      </c>
      <c r="G20" s="122">
        <v>11.2</v>
      </c>
      <c r="H20" s="122"/>
      <c r="I20" s="114" t="str">
        <f>IF(ISNA(VLOOKUP(F20,Declarations!B$6:C$185,2,FALSE)),"",IF(VLOOKUP(F20,Declarations!B$6:C$185,2,FALSE)="","NOT DECLARED",VLOOKUP(F20,Declarations!B$6:C$185,2,FALSE)))</f>
        <v>WILLIAM PEARCE</v>
      </c>
      <c r="J20" s="112">
        <f>IF(LOWER(G20)="dnf",1,IF(G20&lt;ScoringTable!B$3,ScoringTable!I$2,VLOOKUP((1000-G20),ScoringTable!G$2:I$95,3)))</f>
        <v>58</v>
      </c>
      <c r="K20" s="112" t="str">
        <f>IF(OR(E20="",G20=""),"",IF(RIGHT(E20,1)="G",_xlfn.XLOOKUP(G20,Data!$D$10:$L$10,Data!$D$9:$L$9,"",1,1),_xlfn.XLOOKUP(G20,Data!$D$3:$L$3,Data!$D$2:$L$2,"",1,1)))</f>
        <v>PB9</v>
      </c>
      <c r="L20" s="160" t="str" cm="1">
        <f t="array" ref="L20">IFERROR(_xlfn.IFNA(
                      _xlfn.IFS(
                      G20="", "",
                      AND(E20="U12B",G20&lt;=Data!$M$3), "U12 Boys record",
                      AND(E20="U12G",G20&lt;=Data!$M$10), "U12 Girls record"
                       ),""), "")</f>
        <v/>
      </c>
      <c r="M20" s="18" cm="1">
        <f t="array" ref="M20">_xlfn.IFS($G20="",0, AND(NOT(ISNUMBER($G20)),LOWER($G20)&lt;&gt;"dnf"),"Not a valid time",OR(LOWER($G20)="dnf",$G20&gt;ScoringTable!$M$161),1,RIGHT($E20,1)="B",_xlfn.XLOOKUP($G20,ScoringTable!$M$2:$M$161,ScoringTable!$L$2:$L$161,,1),TRUE,_xlfn.XLOOKUP($G20,ScoringTable!$S$2:$S$161,ScoringTable!$R$2:$R$161,,1))</f>
        <v>100</v>
      </c>
    </row>
    <row r="21" spans="1:13" s="3" customFormat="1" ht="16.05" customHeight="1">
      <c r="A21" s="243" t="s">
        <v>85</v>
      </c>
      <c r="B21" s="114" t="str">
        <f>IF(ISNA(VLOOKUP($F21,Declarations!B$6:C$185,2,FALSE)),"",IF(VLOOKUP($F21,Declarations!B$6:C$185,2,FALSE)="","NOT DECLARED",IF(ISNA(_xlfn.TEXTBEFORE(VLOOKUP($F21,Declarations!B$6:C$185,2,FALSE)," ")),VLOOKUP($F21,Declarations!B$6:C$185,2,FALSE),_xlfn.TEXTBEFORE(VLOOKUP($F21,Declarations!B$6:C$185,2,FALSE)," "))))</f>
        <v>HARRY</v>
      </c>
      <c r="C21" s="114" t="str">
        <f>IF(ISNA(VLOOKUP($F21,Declarations!B$6:C$185,2,FALSE)),"",IF(VLOOKUP($F21,Declarations!B$6:C$185,2,FALSE)="","NOT DECLARED",IF(ISNA(_xlfn.TEXTAFTER(VLOOKUP($F21,Declarations!B$6:C$185,2,FALSE)," ")),VLOOKUP($F21,Declarations!B$6:C$185,2,FALSE),_xlfn.TEXTAFTER(VLOOKUP($F21,Declarations!B$6:C$185,2,FALSE)," "))))</f>
        <v>COLLINS</v>
      </c>
      <c r="D21" s="114" t="str">
        <f>IF(ISNA(VLOOKUP($F21,Declarations!$B$6:$F$185,5,FALSE)),"",IF(VLOOKUP($F21,Declarations!$B$6:$F$185,5,FALSE)="","NOT DECLARED",VLOOKUP($F21,Declarations!$B$6:$F$185,5,FALSE)))</f>
        <v>Camberley &amp; District AC</v>
      </c>
      <c r="E21" s="112" t="str">
        <f>IF(ISNA(VLOOKUP($F21,Declarations!$B$6:$D$185,3,FALSE)),"",IF(VLOOKUP($F21,Declarations!$B$6:$D$185,3,FALSE)="","NOT DECLARED",VLOOKUP($F21,Declarations!$B$6:$D$185,3,FALSE)&amp;LEFT(VLOOKUP($F21,Declarations!$B$6:$E$185,4,FALSE))))</f>
        <v>U12B</v>
      </c>
      <c r="F21" s="58">
        <v>13</v>
      </c>
      <c r="G21" s="122">
        <v>12.5</v>
      </c>
      <c r="H21" s="122"/>
      <c r="I21" s="114" t="str">
        <f>IF(ISNA(VLOOKUP(F21,Declarations!B$6:C$185,2,FALSE)),"",IF(VLOOKUP(F21,Declarations!B$6:C$185,2,FALSE)="","NOT DECLARED",VLOOKUP(F21,Declarations!B$6:C$185,2,FALSE)))</f>
        <v>HARRY COLLINS</v>
      </c>
      <c r="J21" s="112">
        <f>IF(LOWER(G21)="dnf",1,IF(G21&lt;ScoringTable!B$3,ScoringTable!I$2,VLOOKUP((1000-G21),ScoringTable!G$2:I$95,3)))</f>
        <v>45</v>
      </c>
      <c r="K21" s="112" t="str">
        <f>IF(OR(E21="",G21=""),"",IF(RIGHT(E21,1)="G",_xlfn.XLOOKUP(G21,Data!$D$10:$L$10,Data!$D$9:$L$9,"",1,1),_xlfn.XLOOKUP(G21,Data!$D$3:$L$3,Data!$D$2:$L$2,"",1,1)))</f>
        <v>PB6</v>
      </c>
      <c r="L21" s="160" t="str" cm="1">
        <f t="array" ref="L21">IFERROR(_xlfn.IFNA(
                      _xlfn.IFS(
                      G21="", "",
                      AND(E21="U12B",G21&lt;=Data!$M$3), "U12 Boys record",
                      AND(E21="U12G",G21&lt;=Data!$M$10), "U12 Girls record"
                       ),""), "")</f>
        <v/>
      </c>
      <c r="M21" s="18" cm="1">
        <f t="array" ref="M21">_xlfn.IFS($G21="",0, AND(NOT(ISNUMBER($G21)),LOWER($G21)&lt;&gt;"dnf"),"Not a valid time",OR(LOWER($G21)="dnf",$G21&gt;ScoringTable!$M$161),1,RIGHT($E21,1)="B",_xlfn.XLOOKUP($G21,ScoringTable!$M$2:$M$161,ScoringTable!$L$2:$L$161,,1),TRUE,_xlfn.XLOOKUP($G21,ScoringTable!$S$2:$S$161,ScoringTable!$R$2:$R$161,,1))</f>
        <v>70</v>
      </c>
    </row>
    <row r="22" spans="1:13" s="3" customFormat="1" ht="16.05" customHeight="1">
      <c r="A22" s="243" t="s">
        <v>85</v>
      </c>
      <c r="B22" s="114" t="str">
        <f>IF(ISNA(VLOOKUP($F22,Declarations!B$6:C$185,2,FALSE)),"",IF(VLOOKUP($F22,Declarations!B$6:C$185,2,FALSE)="","NOT DECLARED",IF(ISNA(_xlfn.TEXTBEFORE(VLOOKUP($F22,Declarations!B$6:C$185,2,FALSE)," ")),VLOOKUP($F22,Declarations!B$6:C$185,2,FALSE),_xlfn.TEXTBEFORE(VLOOKUP($F22,Declarations!B$6:C$185,2,FALSE)," "))))</f>
        <v>OAKLEY</v>
      </c>
      <c r="C22" s="114" t="str">
        <f>IF(ISNA(VLOOKUP($F22,Declarations!B$6:C$185,2,FALSE)),"",IF(VLOOKUP($F22,Declarations!B$6:C$185,2,FALSE)="","NOT DECLARED",IF(ISNA(_xlfn.TEXTAFTER(VLOOKUP($F22,Declarations!B$6:C$185,2,FALSE)," ")),VLOOKUP($F22,Declarations!B$6:C$185,2,FALSE),_xlfn.TEXTAFTER(VLOOKUP($F22,Declarations!B$6:C$185,2,FALSE)," "))))</f>
        <v>SHEAN-STEVENS</v>
      </c>
      <c r="D22" s="114" t="str">
        <f>IF(ISNA(VLOOKUP($F22,Declarations!$B$6:$F$185,5,FALSE)),"",IF(VLOOKUP($F22,Declarations!$B$6:$F$185,5,FALSE)="","NOT DECLARED",VLOOKUP($F22,Declarations!$B$6:$F$185,5,FALSE)))</f>
        <v>Poole Runners</v>
      </c>
      <c r="E22" s="112" t="str">
        <f>IF(ISNA(VLOOKUP($F22,Declarations!$B$6:$D$185,3,FALSE)),"",IF(VLOOKUP($F22,Declarations!$B$6:$D$185,3,FALSE)="","NOT DECLARED",VLOOKUP($F22,Declarations!$B$6:$D$185,3,FALSE)&amp;LEFT(VLOOKUP($F22,Declarations!$B$6:$E$185,4,FALSE))))</f>
        <v>U12B</v>
      </c>
      <c r="F22" s="58">
        <v>53</v>
      </c>
      <c r="G22" s="122">
        <v>12.8</v>
      </c>
      <c r="H22" s="122"/>
      <c r="I22" s="114" t="str">
        <f>IF(ISNA(VLOOKUP(F22,Declarations!B$6:C$185,2,FALSE)),"",IF(VLOOKUP(F22,Declarations!B$6:C$185,2,FALSE)="","NOT DECLARED",VLOOKUP(F22,Declarations!B$6:C$185,2,FALSE)))</f>
        <v>OAKLEY SHEAN-STEVENS</v>
      </c>
      <c r="J22" s="112">
        <f>IF(LOWER(G22)="dnf",1,IF(G22&lt;ScoringTable!B$3,ScoringTable!I$2,VLOOKUP((1000-G22),ScoringTable!G$2:I$95,3)))</f>
        <v>42</v>
      </c>
      <c r="K22" s="112" t="str">
        <f>IF(OR(E22="",G22=""),"",IF(RIGHT(E22,1)="G",_xlfn.XLOOKUP(G22,Data!$D$10:$L$10,Data!$D$9:$L$9,"",1,1),_xlfn.XLOOKUP(G22,Data!$D$3:$L$3,Data!$D$2:$L$2,"",1,1)))</f>
        <v>PB5</v>
      </c>
      <c r="L22" s="160" t="str" cm="1">
        <f t="array" ref="L22">IFERROR(_xlfn.IFNA(
                      _xlfn.IFS(
                      G22="", "",
                      AND(E22="U12B",G22&lt;=Data!$M$3), "U12 Boys record",
                      AND(E22="U12G",G22&lt;=Data!$M$10), "U12 Girls record"
                       ),""), "")</f>
        <v/>
      </c>
      <c r="M22" s="18" cm="1">
        <f t="array" ref="M22">_xlfn.IFS($G22="",0, AND(NOT(ISNUMBER($G22)),LOWER($G22)&lt;&gt;"dnf"),"Not a valid time",OR(LOWER($G22)="dnf",$G22&gt;ScoringTable!$M$161),1,RIGHT($E22,1)="B",_xlfn.XLOOKUP($G22,ScoringTable!$M$2:$M$161,ScoringTable!$L$2:$L$161,,1),TRUE,_xlfn.XLOOKUP($G22,ScoringTable!$S$2:$S$161,ScoringTable!$R$2:$R$161,,1))</f>
        <v>64</v>
      </c>
    </row>
    <row r="23" spans="1:13" s="3" customFormat="1" ht="16.05" customHeight="1">
      <c r="A23" s="243" t="s">
        <v>85</v>
      </c>
      <c r="B23" s="114" t="str">
        <f>IF(ISNA(VLOOKUP($F23,Declarations!B$6:C$185,2,FALSE)),"",IF(VLOOKUP($F23,Declarations!B$6:C$185,2,FALSE)="","NOT DECLARED",IF(ISNA(_xlfn.TEXTBEFORE(VLOOKUP($F23,Declarations!B$6:C$185,2,FALSE)," ")),VLOOKUP($F23,Declarations!B$6:C$185,2,FALSE),_xlfn.TEXTBEFORE(VLOOKUP($F23,Declarations!B$6:C$185,2,FALSE)," "))))</f>
        <v>BEN</v>
      </c>
      <c r="C23" s="114" t="str">
        <f>IF(ISNA(VLOOKUP($F23,Declarations!B$6:C$185,2,FALSE)),"",IF(VLOOKUP($F23,Declarations!B$6:C$185,2,FALSE)="","NOT DECLARED",IF(ISNA(_xlfn.TEXTAFTER(VLOOKUP($F23,Declarations!B$6:C$185,2,FALSE)," ")),VLOOKUP($F23,Declarations!B$6:C$185,2,FALSE),_xlfn.TEXTAFTER(VLOOKUP($F23,Declarations!B$6:C$185,2,FALSE)," "))))</f>
        <v>QUICK</v>
      </c>
      <c r="D23" s="114" t="str">
        <f>IF(ISNA(VLOOKUP($F23,Declarations!$B$6:$F$185,5,FALSE)),"",IF(VLOOKUP($F23,Declarations!$B$6:$F$185,5,FALSE)="","NOT DECLARED",VLOOKUP($F23,Declarations!$B$6:$F$185,5,FALSE)))</f>
        <v>Waverley Athletics Club</v>
      </c>
      <c r="E23" s="112" t="str">
        <f>IF(ISNA(VLOOKUP($F23,Declarations!$B$6:$D$185,3,FALSE)),"",IF(VLOOKUP($F23,Declarations!$B$6:$D$185,3,FALSE)="","NOT DECLARED",VLOOKUP($F23,Declarations!$B$6:$D$185,3,FALSE)&amp;LEFT(VLOOKUP($F23,Declarations!$B$6:$E$185,4,FALSE))))</f>
        <v>U12B</v>
      </c>
      <c r="F23" s="58">
        <v>93</v>
      </c>
      <c r="G23" s="122">
        <v>12.8</v>
      </c>
      <c r="H23" s="122"/>
      <c r="I23" s="114" t="str">
        <f>IF(ISNA(VLOOKUP(F23,Declarations!B$6:C$185,2,FALSE)),"",IF(VLOOKUP(F23,Declarations!B$6:C$185,2,FALSE)="","NOT DECLARED",VLOOKUP(F23,Declarations!B$6:C$185,2,FALSE)))</f>
        <v>BEN QUICK</v>
      </c>
      <c r="J23" s="112">
        <f>IF(LOWER(G23)="dnf",1,IF(G23&lt;ScoringTable!B$3,ScoringTable!I$2,VLOOKUP((1000-G23),ScoringTable!G$2:I$95,3)))</f>
        <v>42</v>
      </c>
      <c r="K23" s="112" t="str">
        <f>IF(OR(E23="",G23=""),"",IF(RIGHT(E23,1)="G",_xlfn.XLOOKUP(G23,Data!$D$10:$L$10,Data!$D$9:$L$9,"",1,1),_xlfn.XLOOKUP(G23,Data!$D$3:$L$3,Data!$D$2:$L$2,"",1,1)))</f>
        <v>PB5</v>
      </c>
      <c r="L23" s="160" t="str" cm="1">
        <f t="array" ref="L23">IFERROR(_xlfn.IFNA(
                      _xlfn.IFS(
                      G23="", "",
                      AND(E23="U12B",G23&lt;=Data!$M$3), "U12 Boys record",
                      AND(E23="U12G",G23&lt;=Data!$M$10), "U12 Girls record"
                       ),""), "")</f>
        <v/>
      </c>
      <c r="M23" s="18" cm="1">
        <f t="array" ref="M23">_xlfn.IFS($G23="",0, AND(NOT(ISNUMBER($G23)),LOWER($G23)&lt;&gt;"dnf"),"Not a valid time",OR(LOWER($G23)="dnf",$G23&gt;ScoringTable!$M$161),1,RIGHT($E23,1)="B",_xlfn.XLOOKUP($G23,ScoringTable!$M$2:$M$161,ScoringTable!$L$2:$L$161,,1),TRUE,_xlfn.XLOOKUP($G23,ScoringTable!$S$2:$S$161,ScoringTable!$R$2:$R$161,,1))</f>
        <v>64</v>
      </c>
    </row>
    <row r="24" spans="1:13" s="7" customFormat="1" ht="16.05" customHeight="1">
      <c r="A24" s="243" t="s">
        <v>85</v>
      </c>
      <c r="B24" s="114" t="str">
        <f>IF(ISNA(VLOOKUP($F24,Declarations!B$6:C$185,2,FALSE)),"",IF(VLOOKUP($F24,Declarations!B$6:C$185,2,FALSE)="","NOT DECLARED",IF(ISNA(_xlfn.TEXTBEFORE(VLOOKUP($F24,Declarations!B$6:C$185,2,FALSE)," ")),VLOOKUP($F24,Declarations!B$6:C$185,2,FALSE),_xlfn.TEXTBEFORE(VLOOKUP($F24,Declarations!B$6:C$185,2,FALSE)," "))))</f>
        <v>ISAAC</v>
      </c>
      <c r="C24" s="114" t="str">
        <f>IF(ISNA(VLOOKUP($F24,Declarations!B$6:C$185,2,FALSE)),"",IF(VLOOKUP($F24,Declarations!B$6:C$185,2,FALSE)="","NOT DECLARED",IF(ISNA(_xlfn.TEXTAFTER(VLOOKUP($F24,Declarations!B$6:C$185,2,FALSE)," ")),VLOOKUP($F24,Declarations!B$6:C$185,2,FALSE),_xlfn.TEXTAFTER(VLOOKUP($F24,Declarations!B$6:C$185,2,FALSE)," "))))</f>
        <v>STEWART</v>
      </c>
      <c r="D24" s="114" t="str">
        <f>IF(ISNA(VLOOKUP($F24,Declarations!$B$6:$F$185,5,FALSE)),"",IF(VLOOKUP($F24,Declarations!$B$6:$F$185,5,FALSE)="","NOT DECLARED",VLOOKUP($F24,Declarations!$B$6:$F$185,5,FALSE)))</f>
        <v>Basingstoke &amp; Mid Hants AC</v>
      </c>
      <c r="E24" s="112" t="str">
        <f>IF(ISNA(VLOOKUP($F24,Declarations!$B$6:$D$185,3,FALSE)),"",IF(VLOOKUP($F24,Declarations!$B$6:$D$185,3,FALSE)="","NOT DECLARED",VLOOKUP($F24,Declarations!$B$6:$D$185,3,FALSE)&amp;LEFT(VLOOKUP($F24,Declarations!$B$6:$E$185,4,FALSE))))</f>
        <v>U12B</v>
      </c>
      <c r="F24" s="58">
        <v>114</v>
      </c>
      <c r="G24" s="122">
        <v>11.2</v>
      </c>
      <c r="H24" s="122"/>
      <c r="I24" s="114" t="str">
        <f>IF(ISNA(VLOOKUP(F24,Declarations!B$6:C$185,2,FALSE)),"",IF(VLOOKUP(F24,Declarations!B$6:C$185,2,FALSE)="","NOT DECLARED",VLOOKUP(F24,Declarations!B$6:C$185,2,FALSE)))</f>
        <v>ISAAC STEWART</v>
      </c>
      <c r="J24" s="112">
        <f>IF(LOWER(G24)="dnf",1,IF(G24&lt;ScoringTable!B$3,ScoringTable!I$2,VLOOKUP((1000-G24),ScoringTable!G$2:I$95,3)))</f>
        <v>58</v>
      </c>
      <c r="K24" s="112" t="str">
        <f>IF(OR(E24="",G24=""),"",IF(RIGHT(E24,1)="G",_xlfn.XLOOKUP(G24,Data!$D$10:$L$10,Data!$D$9:$L$9,"",1,1),_xlfn.XLOOKUP(G24,Data!$D$3:$L$3,Data!$D$2:$L$2,"",1,1)))</f>
        <v>PB9</v>
      </c>
      <c r="L24" s="160" t="str" cm="1">
        <f t="array" ref="L24">IFERROR(_xlfn.IFNA(
                      _xlfn.IFS(
                      G24="", "",
                      AND(E24="U12B",G24&lt;=Data!$M$3), "U12 Boys record",
                      AND(E24="U12G",G24&lt;=Data!$M$10), "U12 Girls record"
                       ),""), "")</f>
        <v/>
      </c>
      <c r="M24" s="18" cm="1">
        <f t="array" ref="M24">_xlfn.IFS($G24="",0, AND(NOT(ISNUMBER($G24)),LOWER($G24)&lt;&gt;"dnf"),"Not a valid time",OR(LOWER($G24)="dnf",$G24&gt;ScoringTable!$M$161),1,RIGHT($E24,1)="B",_xlfn.XLOOKUP($G24,ScoringTable!$M$2:$M$161,ScoringTable!$L$2:$L$161,,1),TRUE,_xlfn.XLOOKUP($G24,ScoringTable!$S$2:$S$161,ScoringTable!$R$2:$R$161,,1))</f>
        <v>100</v>
      </c>
    </row>
    <row r="25" spans="1:13" s="7" customFormat="1" ht="16.05" customHeight="1">
      <c r="A25" s="243" t="s">
        <v>85</v>
      </c>
      <c r="B25" s="114" t="str">
        <f>IF(ISNA(VLOOKUP($F25,Declarations!B$6:C$185,2,FALSE)),"",IF(VLOOKUP($F25,Declarations!B$6:C$185,2,FALSE)="","NOT DECLARED",IF(ISNA(_xlfn.TEXTBEFORE(VLOOKUP($F25,Declarations!B$6:C$185,2,FALSE)," ")),VLOOKUP($F25,Declarations!B$6:C$185,2,FALSE),_xlfn.TEXTBEFORE(VLOOKUP($F25,Declarations!B$6:C$185,2,FALSE)," "))))</f>
        <v>LOUIS</v>
      </c>
      <c r="C25" s="114" t="str">
        <f>IF(ISNA(VLOOKUP($F25,Declarations!B$6:C$185,2,FALSE)),"",IF(VLOOKUP($F25,Declarations!B$6:C$185,2,FALSE)="","NOT DECLARED",IF(ISNA(_xlfn.TEXTAFTER(VLOOKUP($F25,Declarations!B$6:C$185,2,FALSE)," ")),VLOOKUP($F25,Declarations!B$6:C$185,2,FALSE),_xlfn.TEXTAFTER(VLOOKUP($F25,Declarations!B$6:C$185,2,FALSE)," "))))</f>
        <v>MASON</v>
      </c>
      <c r="D25" s="114" t="str">
        <f>IF(ISNA(VLOOKUP($F25,Declarations!$B$6:$F$185,5,FALSE)),"",IF(VLOOKUP($F25,Declarations!$B$6:$F$185,5,FALSE)="","NOT DECLARED",VLOOKUP($F25,Declarations!$B$6:$F$185,5,FALSE)))</f>
        <v>Woking AC</v>
      </c>
      <c r="E25" s="112" t="str">
        <f>IF(ISNA(VLOOKUP($F25,Declarations!$B$6:$D$185,3,FALSE)),"",IF(VLOOKUP($F25,Declarations!$B$6:$D$185,3,FALSE)="","NOT DECLARED",VLOOKUP($F25,Declarations!$B$6:$D$185,3,FALSE)&amp;LEFT(VLOOKUP($F25,Declarations!$B$6:$E$185,4,FALSE))))</f>
        <v>U12B</v>
      </c>
      <c r="F25" s="58">
        <v>34</v>
      </c>
      <c r="G25" s="122">
        <v>11.6</v>
      </c>
      <c r="H25" s="122"/>
      <c r="I25" s="114" t="str">
        <f>IF(ISNA(VLOOKUP(F25,Declarations!B$6:C$185,2,FALSE)),"",IF(VLOOKUP(F25,Declarations!B$6:C$185,2,FALSE)="","NOT DECLARED",VLOOKUP(F25,Declarations!B$6:C$185,2,FALSE)))</f>
        <v>LOUIS MASON</v>
      </c>
      <c r="J25" s="112">
        <f>IF(LOWER(G25)="dnf",1,IF(G25&lt;ScoringTable!B$3,ScoringTable!I$2,VLOOKUP((1000-G25),ScoringTable!G$2:I$95,3)))</f>
        <v>54</v>
      </c>
      <c r="K25" s="112" t="str">
        <f>IF(OR(E25="",G25=""),"",IF(RIGHT(E25,1)="G",_xlfn.XLOOKUP(G25,Data!$D$10:$L$10,Data!$D$9:$L$9,"",1,1),_xlfn.XLOOKUP(G25,Data!$D$3:$L$3,Data!$D$2:$L$2,"",1,1)))</f>
        <v>PB8</v>
      </c>
      <c r="L25" s="160" t="str" cm="1">
        <f t="array" ref="L25">IFERROR(_xlfn.IFNA(
                      _xlfn.IFS(
                      G25="", "",
                      AND(E25="U12B",G25&lt;=Data!$M$3), "U12 Boys record",
                      AND(E25="U12G",G25&lt;=Data!$M$10), "U12 Girls record"
                       ),""), "")</f>
        <v/>
      </c>
      <c r="M25" s="18" cm="1">
        <f t="array" ref="M25">_xlfn.IFS($G25="",0, AND(NOT(ISNUMBER($G25)),LOWER($G25)&lt;&gt;"dnf"),"Not a valid time",OR(LOWER($G25)="dnf",$G25&gt;ScoringTable!$M$161),1,RIGHT($E25,1)="B",_xlfn.XLOOKUP($G25,ScoringTable!$M$2:$M$161,ScoringTable!$L$2:$L$161,,1),TRUE,_xlfn.XLOOKUP($G25,ScoringTable!$S$2:$S$161,ScoringTable!$R$2:$R$161,,1))</f>
        <v>90</v>
      </c>
    </row>
    <row r="26" spans="1:13" s="7" customFormat="1" ht="16.05" customHeight="1">
      <c r="A26" s="243" t="s">
        <v>85</v>
      </c>
      <c r="B26" s="114" t="str">
        <f>IF(ISNA(VLOOKUP($F26,Declarations!B$6:C$185,2,FALSE)),"",IF(VLOOKUP($F26,Declarations!B$6:C$185,2,FALSE)="","NOT DECLARED",IF(ISNA(_xlfn.TEXTBEFORE(VLOOKUP($F26,Declarations!B$6:C$185,2,FALSE)," ")),VLOOKUP($F26,Declarations!B$6:C$185,2,FALSE),_xlfn.TEXTBEFORE(VLOOKUP($F26,Declarations!B$6:C$185,2,FALSE)," "))))</f>
        <v>DANIEL</v>
      </c>
      <c r="C26" s="114" t="str">
        <f>IF(ISNA(VLOOKUP($F26,Declarations!B$6:C$185,2,FALSE)),"",IF(VLOOKUP($F26,Declarations!B$6:C$185,2,FALSE)="","NOT DECLARED",IF(ISNA(_xlfn.TEXTAFTER(VLOOKUP($F26,Declarations!B$6:C$185,2,FALSE)," ")),VLOOKUP($F26,Declarations!B$6:C$185,2,FALSE),_xlfn.TEXTAFTER(VLOOKUP($F26,Declarations!B$6:C$185,2,FALSE)," "))))</f>
        <v>BURDON</v>
      </c>
      <c r="D26" s="114" t="str">
        <f>IF(ISNA(VLOOKUP($F26,Declarations!$B$6:$F$185,5,FALSE)),"",IF(VLOOKUP($F26,Declarations!$B$6:$F$185,5,FALSE)="","NOT DECLARED",VLOOKUP($F26,Declarations!$B$6:$F$185,5,FALSE)))</f>
        <v>Camberley &amp; District AC</v>
      </c>
      <c r="E26" s="112" t="str">
        <f>IF(ISNA(VLOOKUP($F26,Declarations!$B$6:$D$185,3,FALSE)),"",IF(VLOOKUP($F26,Declarations!$B$6:$D$185,3,FALSE)="","NOT DECLARED",VLOOKUP($F26,Declarations!$B$6:$D$185,3,FALSE)&amp;LEFT(VLOOKUP($F26,Declarations!$B$6:$E$185,4,FALSE))))</f>
        <v>U12B</v>
      </c>
      <c r="F26" s="58">
        <v>14</v>
      </c>
      <c r="G26" s="122">
        <v>11.8</v>
      </c>
      <c r="H26" s="122"/>
      <c r="I26" s="114" t="str">
        <f>IF(ISNA(VLOOKUP(F26,Declarations!B$6:C$185,2,FALSE)),"",IF(VLOOKUP(F26,Declarations!B$6:C$185,2,FALSE)="","NOT DECLARED",VLOOKUP(F26,Declarations!B$6:C$185,2,FALSE)))</f>
        <v>DANIEL BURDON</v>
      </c>
      <c r="J26" s="112">
        <f>IF(LOWER(G26)="dnf",1,IF(G26&lt;ScoringTable!B$3,ScoringTable!I$2,VLOOKUP((1000-G26),ScoringTable!G$2:I$95,3)))</f>
        <v>52</v>
      </c>
      <c r="K26" s="112" t="str">
        <f>IF(OR(E26="",G26=""),"",IF(RIGHT(E26,1)="G",_xlfn.XLOOKUP(G26,Data!$D$10:$L$10,Data!$D$9:$L$9,"",1,1),_xlfn.XLOOKUP(G26,Data!$D$3:$L$3,Data!$D$2:$L$2,"",1,1)))</f>
        <v>PB7</v>
      </c>
      <c r="L26" s="160" t="str" cm="1">
        <f t="array" ref="L26">IFERROR(_xlfn.IFNA(
                      _xlfn.IFS(
                      G26="", "",
                      AND(E26="U12B",G26&lt;=Data!$M$3), "U12 Boys record",
                      AND(E26="U12G",G26&lt;=Data!$M$10), "U12 Girls record"
                       ),""), "")</f>
        <v/>
      </c>
      <c r="M26" s="18" cm="1">
        <f t="array" ref="M26">_xlfn.IFS($G26="",0, AND(NOT(ISNUMBER($G26)),LOWER($G26)&lt;&gt;"dnf"),"Not a valid time",OR(LOWER($G26)="dnf",$G26&gt;ScoringTable!$M$161),1,RIGHT($E26,1)="B",_xlfn.XLOOKUP($G26,ScoringTable!$M$2:$M$161,ScoringTable!$L$2:$L$161,,1),TRUE,_xlfn.XLOOKUP($G26,ScoringTable!$S$2:$S$161,ScoringTable!$R$2:$R$161,,1))</f>
        <v>85</v>
      </c>
    </row>
    <row r="27" spans="1:13" s="7" customFormat="1" ht="16.05" customHeight="1">
      <c r="A27" s="243" t="s">
        <v>85</v>
      </c>
      <c r="B27" s="114" t="str">
        <f>IF(ISNA(VLOOKUP($F27,Declarations!B$6:C$185,2,FALSE)),"",IF(VLOOKUP($F27,Declarations!B$6:C$185,2,FALSE)="","NOT DECLARED",IF(ISNA(_xlfn.TEXTBEFORE(VLOOKUP($F27,Declarations!B$6:C$185,2,FALSE)," ")),VLOOKUP($F27,Declarations!B$6:C$185,2,FALSE),_xlfn.TEXTBEFORE(VLOOKUP($F27,Declarations!B$6:C$185,2,FALSE)," "))))</f>
        <v>ELLIOTT</v>
      </c>
      <c r="C27" s="114" t="str">
        <f>IF(ISNA(VLOOKUP($F27,Declarations!B$6:C$185,2,FALSE)),"",IF(VLOOKUP($F27,Declarations!B$6:C$185,2,FALSE)="","NOT DECLARED",IF(ISNA(_xlfn.TEXTAFTER(VLOOKUP($F27,Declarations!B$6:C$185,2,FALSE)," ")),VLOOKUP($F27,Declarations!B$6:C$185,2,FALSE),_xlfn.TEXTAFTER(VLOOKUP($F27,Declarations!B$6:C$185,2,FALSE)," "))))</f>
        <v>LEAVEY</v>
      </c>
      <c r="D27" s="114" t="str">
        <f>IF(ISNA(VLOOKUP($F27,Declarations!$B$6:$F$185,5,FALSE)),"",IF(VLOOKUP($F27,Declarations!$B$6:$F$185,5,FALSE)="","NOT DECLARED",VLOOKUP($F27,Declarations!$B$6:$F$185,5,FALSE)))</f>
        <v>Basingstoke &amp; Mid Hants AC</v>
      </c>
      <c r="E27" s="112" t="str">
        <f>IF(ISNA(VLOOKUP($F27,Declarations!$B$6:$D$185,3,FALSE)),"",IF(VLOOKUP($F27,Declarations!$B$6:$D$185,3,FALSE)="","NOT DECLARED",VLOOKUP($F27,Declarations!$B$6:$D$185,3,FALSE)&amp;LEFT(VLOOKUP($F27,Declarations!$B$6:$E$185,4,FALSE))))</f>
        <v>U12B</v>
      </c>
      <c r="F27" s="58">
        <v>115</v>
      </c>
      <c r="G27" s="122">
        <v>12</v>
      </c>
      <c r="H27" s="122"/>
      <c r="I27" s="114" t="str">
        <f>IF(ISNA(VLOOKUP(F27,Declarations!B$6:C$185,2,FALSE)),"",IF(VLOOKUP(F27,Declarations!B$6:C$185,2,FALSE)="","NOT DECLARED",VLOOKUP(F27,Declarations!B$6:C$185,2,FALSE)))</f>
        <v>ELLIOTT LEAVEY</v>
      </c>
      <c r="J27" s="112">
        <f>IF(LOWER(G27)="dnf",1,IF(G27&lt;ScoringTable!B$3,ScoringTable!I$2,VLOOKUP((1000-G27),ScoringTable!G$2:I$95,3)))</f>
        <v>50</v>
      </c>
      <c r="K27" s="112" t="str">
        <f>IF(OR(E27="",G27=""),"",IF(RIGHT(E27,1)="G",_xlfn.XLOOKUP(G27,Data!$D$10:$L$10,Data!$D$9:$L$9,"",1,1),_xlfn.XLOOKUP(G27,Data!$D$3:$L$3,Data!$D$2:$L$2,"",1,1)))</f>
        <v>PB7</v>
      </c>
      <c r="L27" s="160" t="str" cm="1">
        <f t="array" ref="L27">IFERROR(_xlfn.IFNA(
                      _xlfn.IFS(
                      G27="", "",
                      AND(E27="U12B",G27&lt;=Data!$M$3), "U12 Boys record",
                      AND(E27="U12G",G27&lt;=Data!$M$10), "U12 Girls record"
                       ),""), "")</f>
        <v/>
      </c>
      <c r="M27" s="18" cm="1">
        <f t="array" ref="M27">_xlfn.IFS($G27="",0, AND(NOT(ISNUMBER($G27)),LOWER($G27)&lt;&gt;"dnf"),"Not a valid time",OR(LOWER($G27)="dnf",$G27&gt;ScoringTable!$M$161),1,RIGHT($E27,1)="B",_xlfn.XLOOKUP($G27,ScoringTable!$M$2:$M$161,ScoringTable!$L$2:$L$161,,1),TRUE,_xlfn.XLOOKUP($G27,ScoringTable!$S$2:$S$161,ScoringTable!$R$2:$R$161,,1))</f>
        <v>80</v>
      </c>
    </row>
    <row r="28" spans="1:13" s="7" customFormat="1" ht="16.05" customHeight="1">
      <c r="A28" s="243" t="s">
        <v>85</v>
      </c>
      <c r="B28" s="114" t="str">
        <f>IF(ISNA(VLOOKUP($F28,Declarations!B$6:C$185,2,FALSE)),"",IF(VLOOKUP($F28,Declarations!B$6:C$185,2,FALSE)="","NOT DECLARED",IF(ISNA(_xlfn.TEXTBEFORE(VLOOKUP($F28,Declarations!B$6:C$185,2,FALSE)," ")),VLOOKUP($F28,Declarations!B$6:C$185,2,FALSE),_xlfn.TEXTBEFORE(VLOOKUP($F28,Declarations!B$6:C$185,2,FALSE)," "))))</f>
        <v>THOMAS</v>
      </c>
      <c r="C28" s="114" t="str">
        <f>IF(ISNA(VLOOKUP($F28,Declarations!B$6:C$185,2,FALSE)),"",IF(VLOOKUP($F28,Declarations!B$6:C$185,2,FALSE)="","NOT DECLARED",IF(ISNA(_xlfn.TEXTAFTER(VLOOKUP($F28,Declarations!B$6:C$185,2,FALSE)," ")),VLOOKUP($F28,Declarations!B$6:C$185,2,FALSE),_xlfn.TEXTAFTER(VLOOKUP($F28,Declarations!B$6:C$185,2,FALSE)," "))))</f>
        <v>MOORE</v>
      </c>
      <c r="D28" s="114" t="str">
        <f>IF(ISNA(VLOOKUP($F28,Declarations!$B$6:$F$185,5,FALSE)),"",IF(VLOOKUP($F28,Declarations!$B$6:$F$185,5,FALSE)="","NOT DECLARED",VLOOKUP($F28,Declarations!$B$6:$F$185,5,FALSE)))</f>
        <v>Fleet &amp; Crookham AC</v>
      </c>
      <c r="E28" s="112" t="str">
        <f>IF(ISNA(VLOOKUP($F28,Declarations!$B$6:$D$185,3,FALSE)),"",IF(VLOOKUP($F28,Declarations!$B$6:$D$185,3,FALSE)="","NOT DECLARED",VLOOKUP($F28,Declarations!$B$6:$D$185,3,FALSE)&amp;LEFT(VLOOKUP($F28,Declarations!$B$6:$E$185,4,FALSE))))</f>
        <v>U12B</v>
      </c>
      <c r="F28" s="58">
        <v>74</v>
      </c>
      <c r="G28" s="122">
        <v>12.9</v>
      </c>
      <c r="H28" s="122"/>
      <c r="I28" s="114" t="str">
        <f>IF(ISNA(VLOOKUP(F28,Declarations!B$6:C$185,2,FALSE)),"",IF(VLOOKUP(F28,Declarations!B$6:C$185,2,FALSE)="","NOT DECLARED",VLOOKUP(F28,Declarations!B$6:C$185,2,FALSE)))</f>
        <v>THOMAS MOORE</v>
      </c>
      <c r="J28" s="112">
        <f>IF(LOWER(G28)="dnf",1,IF(G28&lt;ScoringTable!B$3,ScoringTable!I$2,VLOOKUP((1000-G28),ScoringTable!G$2:I$95,3)))</f>
        <v>41</v>
      </c>
      <c r="K28" s="112" t="str">
        <f>IF(OR(E28="",G28=""),"",IF(RIGHT(E28,1)="G",_xlfn.XLOOKUP(G28,Data!$D$10:$L$10,Data!$D$9:$L$9,"",1,1),_xlfn.XLOOKUP(G28,Data!$D$3:$L$3,Data!$D$2:$L$2,"",1,1)))</f>
        <v>PB5</v>
      </c>
      <c r="L28" s="160" t="str" cm="1">
        <f t="array" ref="L28">IFERROR(_xlfn.IFNA(
                      _xlfn.IFS(
                      G28="", "",
                      AND(E28="U12B",G28&lt;=Data!$M$3), "U12 Boys record",
                      AND(E28="U12G",G28&lt;=Data!$M$10), "U12 Girls record"
                       ),""), "")</f>
        <v/>
      </c>
      <c r="M28" s="18" cm="1">
        <f t="array" ref="M28">_xlfn.IFS($G28="",0, AND(NOT(ISNUMBER($G28)),LOWER($G28)&lt;&gt;"dnf"),"Not a valid time",OR(LOWER($G28)="dnf",$G28&gt;ScoringTable!$M$161),1,RIGHT($E28,1)="B",_xlfn.XLOOKUP($G28,ScoringTable!$M$2:$M$161,ScoringTable!$L$2:$L$161,,1),TRUE,_xlfn.XLOOKUP($G28,ScoringTable!$S$2:$S$161,ScoringTable!$R$2:$R$161,,1))</f>
        <v>62</v>
      </c>
    </row>
    <row r="29" spans="1:13" s="7" customFormat="1" ht="16.05" customHeight="1">
      <c r="A29" s="243" t="s">
        <v>85</v>
      </c>
      <c r="B29" s="114" t="str">
        <f>IF(ISNA(VLOOKUP($F29,Declarations!B$6:C$185,2,FALSE)),"",IF(VLOOKUP($F29,Declarations!B$6:C$185,2,FALSE)="","NOT DECLARED",IF(ISNA(_xlfn.TEXTBEFORE(VLOOKUP($F29,Declarations!B$6:C$185,2,FALSE)," ")),VLOOKUP($F29,Declarations!B$6:C$185,2,FALSE),_xlfn.TEXTBEFORE(VLOOKUP($F29,Declarations!B$6:C$185,2,FALSE)," "))))</f>
        <v>FERGUS</v>
      </c>
      <c r="C29" s="114" t="str">
        <f>IF(ISNA(VLOOKUP($F29,Declarations!B$6:C$185,2,FALSE)),"",IF(VLOOKUP($F29,Declarations!B$6:C$185,2,FALSE)="","NOT DECLARED",IF(ISNA(_xlfn.TEXTAFTER(VLOOKUP($F29,Declarations!B$6:C$185,2,FALSE)," ")),VLOOKUP($F29,Declarations!B$6:C$185,2,FALSE),_xlfn.TEXTAFTER(VLOOKUP($F29,Declarations!B$6:C$185,2,FALSE)," "))))</f>
        <v>STANNING</v>
      </c>
      <c r="D29" s="114" t="str">
        <f>IF(ISNA(VLOOKUP($F29,Declarations!$B$6:$F$185,5,FALSE)),"",IF(VLOOKUP($F29,Declarations!$B$6:$F$185,5,FALSE)="","NOT DECLARED",VLOOKUP($F29,Declarations!$B$6:$F$185,5,FALSE)))</f>
        <v>Poole Runners</v>
      </c>
      <c r="E29" s="112" t="str">
        <f>IF(ISNA(VLOOKUP($F29,Declarations!$B$6:$D$185,3,FALSE)),"",IF(VLOOKUP($F29,Declarations!$B$6:$D$185,3,FALSE)="","NOT DECLARED",VLOOKUP($F29,Declarations!$B$6:$D$185,3,FALSE)&amp;LEFT(VLOOKUP($F29,Declarations!$B$6:$E$185,4,FALSE))))</f>
        <v>U12B</v>
      </c>
      <c r="F29" s="58">
        <v>54</v>
      </c>
      <c r="G29" s="122">
        <v>13</v>
      </c>
      <c r="H29" s="122"/>
      <c r="I29" s="114" t="str">
        <f>IF(ISNA(VLOOKUP(F29,Declarations!B$6:C$185,2,FALSE)),"",IF(VLOOKUP(F29,Declarations!B$6:C$185,2,FALSE)="","NOT DECLARED",VLOOKUP(F29,Declarations!B$6:C$185,2,FALSE)))</f>
        <v>FERGUS STANNING</v>
      </c>
      <c r="J29" s="112">
        <f>IF(LOWER(G29)="dnf",1,IF(G29&lt;ScoringTable!B$3,ScoringTable!I$2,VLOOKUP((1000-G29),ScoringTable!G$2:I$95,3)))</f>
        <v>40</v>
      </c>
      <c r="K29" s="112" t="str">
        <f>IF(OR(E29="",G29=""),"",IF(RIGHT(E29,1)="G",_xlfn.XLOOKUP(G29,Data!$D$10:$L$10,Data!$D$9:$L$9,"",1,1),_xlfn.XLOOKUP(G29,Data!$D$3:$L$3,Data!$D$2:$L$2,"",1,1)))</f>
        <v>PB5</v>
      </c>
      <c r="L29" s="160" t="str" cm="1">
        <f t="array" ref="L29">IFERROR(_xlfn.IFNA(
                      _xlfn.IFS(
                      G29="", "",
                      AND(E29="U12B",G29&lt;=Data!$M$3), "U12 Boys record",
                      AND(E29="U12G",G29&lt;=Data!$M$10), "U12 Girls record"
                       ),""), "")</f>
        <v/>
      </c>
      <c r="M29" s="18" cm="1">
        <f t="array" ref="M29">_xlfn.IFS($G29="",0, AND(NOT(ISNUMBER($G29)),LOWER($G29)&lt;&gt;"dnf"),"Not a valid time",OR(LOWER($G29)="dnf",$G29&gt;ScoringTable!$M$161),1,RIGHT($E29,1)="B",_xlfn.XLOOKUP($G29,ScoringTable!$M$2:$M$161,ScoringTable!$L$2:$L$161,,1),TRUE,_xlfn.XLOOKUP($G29,ScoringTable!$S$2:$S$161,ScoringTable!$R$2:$R$161,,1))</f>
        <v>60</v>
      </c>
    </row>
    <row r="30" spans="1:13" s="7" customFormat="1" ht="16.05" customHeight="1">
      <c r="A30" s="243" t="s">
        <v>85</v>
      </c>
      <c r="B30" s="114" t="str">
        <f>IF(ISNA(VLOOKUP($F30,Declarations!B$6:C$185,2,FALSE)),"",IF(VLOOKUP($F30,Declarations!B$6:C$185,2,FALSE)="","NOT DECLARED",IF(ISNA(_xlfn.TEXTBEFORE(VLOOKUP($F30,Declarations!B$6:C$185,2,FALSE)," ")),VLOOKUP($F30,Declarations!B$6:C$185,2,FALSE),_xlfn.TEXTBEFORE(VLOOKUP($F30,Declarations!B$6:C$185,2,FALSE)," "))))</f>
        <v>TOBI</v>
      </c>
      <c r="C30" s="114" t="str">
        <f>IF(ISNA(VLOOKUP($F30,Declarations!B$6:C$185,2,FALSE)),"",IF(VLOOKUP($F30,Declarations!B$6:C$185,2,FALSE)="","NOT DECLARED",IF(ISNA(_xlfn.TEXTAFTER(VLOOKUP($F30,Declarations!B$6:C$185,2,FALSE)," ")),VLOOKUP($F30,Declarations!B$6:C$185,2,FALSE),_xlfn.TEXTAFTER(VLOOKUP($F30,Declarations!B$6:C$185,2,FALSE)," "))))</f>
        <v>AKINLUYI</v>
      </c>
      <c r="D30" s="114" t="str">
        <f>IF(ISNA(VLOOKUP($F30,Declarations!$B$6:$F$185,5,FALSE)),"",IF(VLOOKUP($F30,Declarations!$B$6:$F$185,5,FALSE)="","NOT DECLARED",VLOOKUP($F30,Declarations!$B$6:$F$185,5,FALSE)))</f>
        <v>Camberley &amp; District AC</v>
      </c>
      <c r="E30" s="112" t="str">
        <f>IF(ISNA(VLOOKUP($F30,Declarations!$B$6:$D$185,3,FALSE)),"",IF(VLOOKUP($F30,Declarations!$B$6:$D$185,3,FALSE)="","NOT DECLARED",VLOOKUP($F30,Declarations!$B$6:$D$185,3,FALSE)&amp;LEFT(VLOOKUP($F30,Declarations!$B$6:$E$185,4,FALSE))))</f>
        <v>U12B</v>
      </c>
      <c r="F30" s="58">
        <v>15</v>
      </c>
      <c r="G30" s="122">
        <v>10.9</v>
      </c>
      <c r="H30" s="122"/>
      <c r="I30" s="114" t="str">
        <f>IF(ISNA(VLOOKUP(F30,Declarations!B$6:C$185,2,FALSE)),"",IF(VLOOKUP(F30,Declarations!B$6:C$185,2,FALSE)="","NOT DECLARED",VLOOKUP(F30,Declarations!B$6:C$185,2,FALSE)))</f>
        <v>TOBI AKINLUYI</v>
      </c>
      <c r="J30" s="112">
        <f>IF(LOWER(G30)="dnf",1,IF(G30&lt;ScoringTable!B$3,ScoringTable!I$2,VLOOKUP((1000-G30),ScoringTable!G$2:I$95,3)))</f>
        <v>61</v>
      </c>
      <c r="K30" s="112" t="str">
        <f>IF(OR(E30="",G30=""),"",IF(RIGHT(E30,1)="G",_xlfn.XLOOKUP(G30,Data!$D$10:$L$10,Data!$D$9:$L$9,"",1,1),_xlfn.XLOOKUP(G30,Data!$D$3:$L$3,Data!$D$2:$L$2,"",1,1)))</f>
        <v>PB9</v>
      </c>
      <c r="L30" s="160" t="str" cm="1">
        <f t="array" ref="L30">IFERROR(_xlfn.IFNA(
                      _xlfn.IFS(
                      G30="", "",
                      AND(E30="U12B",G30&lt;=Data!$M$3), "U12 Boys record",
                      AND(E30="U12G",G30&lt;=Data!$M$10), "U12 Girls record"
                       ),""), "")</f>
        <v/>
      </c>
      <c r="M30" s="18" cm="1">
        <f t="array" ref="M30">_xlfn.IFS($G30="",0, AND(NOT(ISNUMBER($G30)),LOWER($G30)&lt;&gt;"dnf"),"Not a valid time",OR(LOWER($G30)="dnf",$G30&gt;ScoringTable!$M$161),1,RIGHT($E30,1)="B",_xlfn.XLOOKUP($G30,ScoringTable!$M$2:$M$161,ScoringTable!$L$2:$L$161,,1),TRUE,_xlfn.XLOOKUP($G30,ScoringTable!$S$2:$S$161,ScoringTable!$R$2:$R$161,,1))</f>
        <v>107</v>
      </c>
    </row>
    <row r="31" spans="1:13" s="7" customFormat="1" ht="16.05" customHeight="1">
      <c r="A31" s="243" t="s">
        <v>85</v>
      </c>
      <c r="B31" s="114" t="str">
        <f>IF(ISNA(VLOOKUP($F31,Declarations!B$6:C$185,2,FALSE)),"",IF(VLOOKUP($F31,Declarations!B$6:C$185,2,FALSE)="","NOT DECLARED",IF(ISNA(_xlfn.TEXTBEFORE(VLOOKUP($F31,Declarations!B$6:C$185,2,FALSE)," ")),VLOOKUP($F31,Declarations!B$6:C$185,2,FALSE),_xlfn.TEXTBEFORE(VLOOKUP($F31,Declarations!B$6:C$185,2,FALSE)," "))))</f>
        <v>MATTHIAS</v>
      </c>
      <c r="C31" s="114" t="str">
        <f>IF(ISNA(VLOOKUP($F31,Declarations!B$6:C$185,2,FALSE)),"",IF(VLOOKUP($F31,Declarations!B$6:C$185,2,FALSE)="","NOT DECLARED",IF(ISNA(_xlfn.TEXTAFTER(VLOOKUP($F31,Declarations!B$6:C$185,2,FALSE)," ")),VLOOKUP($F31,Declarations!B$6:C$185,2,FALSE),_xlfn.TEXTAFTER(VLOOKUP($F31,Declarations!B$6:C$185,2,FALSE)," "))))</f>
        <v>DE PAULA DENS</v>
      </c>
      <c r="D31" s="114" t="str">
        <f>IF(ISNA(VLOOKUP($F31,Declarations!$B$6:$F$185,5,FALSE)),"",IF(VLOOKUP($F31,Declarations!$B$6:$F$185,5,FALSE)="","NOT DECLARED",VLOOKUP($F31,Declarations!$B$6:$F$185,5,FALSE)))</f>
        <v>Woking AC</v>
      </c>
      <c r="E31" s="112" t="str">
        <f>IF(ISNA(VLOOKUP($F31,Declarations!$B$6:$D$185,3,FALSE)),"",IF(VLOOKUP($F31,Declarations!$B$6:$D$185,3,FALSE)="","NOT DECLARED",VLOOKUP($F31,Declarations!$B$6:$D$185,3,FALSE)&amp;LEFT(VLOOKUP($F31,Declarations!$B$6:$E$185,4,FALSE))))</f>
        <v>U12B</v>
      </c>
      <c r="F31" s="58">
        <v>35</v>
      </c>
      <c r="G31" s="122">
        <v>11</v>
      </c>
      <c r="H31" s="122"/>
      <c r="I31" s="114" t="str">
        <f>IF(ISNA(VLOOKUP(F31,Declarations!B$6:C$185,2,FALSE)),"",IF(VLOOKUP(F31,Declarations!B$6:C$185,2,FALSE)="","NOT DECLARED",VLOOKUP(F31,Declarations!B$6:C$185,2,FALSE)))</f>
        <v>MATTHIAS DE PAULA DENS</v>
      </c>
      <c r="J31" s="112">
        <f>IF(LOWER(G31)="dnf",1,IF(G31&lt;ScoringTable!B$3,ScoringTable!I$2,VLOOKUP((1000-G31),ScoringTable!G$2:I$95,3)))</f>
        <v>60</v>
      </c>
      <c r="K31" s="112" t="str">
        <f>IF(OR(E31="",G31=""),"",IF(RIGHT(E31,1)="G",_xlfn.XLOOKUP(G31,Data!$D$10:$L$10,Data!$D$9:$L$9,"",1,1),_xlfn.XLOOKUP(G31,Data!$D$3:$L$3,Data!$D$2:$L$2,"",1,1)))</f>
        <v>PB9</v>
      </c>
      <c r="L31" s="160" t="str" cm="1">
        <f t="array" ref="L31">IFERROR(_xlfn.IFNA(
                      _xlfn.IFS(
                      G31="", "",
                      AND(E31="U12B",G31&lt;=Data!$M$3), "U12 Boys record",
                      AND(E31="U12G",G31&lt;=Data!$M$10), "U12 Girls record"
                       ),""), "")</f>
        <v/>
      </c>
      <c r="M31" s="18" cm="1">
        <f t="array" ref="M31">_xlfn.IFS($G31="",0, AND(NOT(ISNUMBER($G31)),LOWER($G31)&lt;&gt;"dnf"),"Not a valid time",OR(LOWER($G31)="dnf",$G31&gt;ScoringTable!$M$161),1,RIGHT($E31,1)="B",_xlfn.XLOOKUP($G31,ScoringTable!$M$2:$M$161,ScoringTable!$L$2:$L$161,,1),TRUE,_xlfn.XLOOKUP($G31,ScoringTable!$S$2:$S$161,ScoringTable!$R$2:$R$161,,1))</f>
        <v>105</v>
      </c>
    </row>
    <row r="32" spans="1:13" s="7" customFormat="1" ht="16.05" customHeight="1">
      <c r="A32" s="243" t="s">
        <v>85</v>
      </c>
      <c r="B32" s="114" t="str">
        <f>IF(ISNA(VLOOKUP($F32,Declarations!B$6:C$185,2,FALSE)),"",IF(VLOOKUP($F32,Declarations!B$6:C$185,2,FALSE)="","NOT DECLARED",IF(ISNA(_xlfn.TEXTBEFORE(VLOOKUP($F32,Declarations!B$6:C$185,2,FALSE)," ")),VLOOKUP($F32,Declarations!B$6:C$185,2,FALSE),_xlfn.TEXTBEFORE(VLOOKUP($F32,Declarations!B$6:C$185,2,FALSE)," "))))</f>
        <v>KAI</v>
      </c>
      <c r="C32" s="114" t="str">
        <f>IF(ISNA(VLOOKUP($F32,Declarations!B$6:C$185,2,FALSE)),"",IF(VLOOKUP($F32,Declarations!B$6:C$185,2,FALSE)="","NOT DECLARED",IF(ISNA(_xlfn.TEXTAFTER(VLOOKUP($F32,Declarations!B$6:C$185,2,FALSE)," ")),VLOOKUP($F32,Declarations!B$6:C$185,2,FALSE),_xlfn.TEXTAFTER(VLOOKUP($F32,Declarations!B$6:C$185,2,FALSE)," "))))</f>
        <v>TEGG</v>
      </c>
      <c r="D32" s="114" t="str">
        <f>IF(ISNA(VLOOKUP($F32,Declarations!$B$6:$F$185,5,FALSE)),"",IF(VLOOKUP($F32,Declarations!$B$6:$F$185,5,FALSE)="","NOT DECLARED",VLOOKUP($F32,Declarations!$B$6:$F$185,5,FALSE)))</f>
        <v>Woking AC</v>
      </c>
      <c r="E32" s="112" t="str">
        <f>IF(ISNA(VLOOKUP($F32,Declarations!$B$6:$D$185,3,FALSE)),"",IF(VLOOKUP($F32,Declarations!$B$6:$D$185,3,FALSE)="","NOT DECLARED",VLOOKUP($F32,Declarations!$B$6:$D$185,3,FALSE)&amp;LEFT(VLOOKUP($F32,Declarations!$B$6:$E$185,4,FALSE))))</f>
        <v>U12B</v>
      </c>
      <c r="F32" s="58">
        <v>36</v>
      </c>
      <c r="G32" s="122">
        <v>11.6</v>
      </c>
      <c r="H32" s="122"/>
      <c r="I32" s="114" t="str">
        <f>IF(ISNA(VLOOKUP(F32,Declarations!B$6:C$185,2,FALSE)),"",IF(VLOOKUP(F32,Declarations!B$6:C$185,2,FALSE)="","NOT DECLARED",VLOOKUP(F32,Declarations!B$6:C$185,2,FALSE)))</f>
        <v>KAI TEGG</v>
      </c>
      <c r="J32" s="112">
        <f>IF(LOWER(G32)="dnf",1,IF(G32&lt;ScoringTable!B$3,ScoringTable!I$2,VLOOKUP((1000-G32),ScoringTable!G$2:I$95,3)))</f>
        <v>54</v>
      </c>
      <c r="K32" s="112" t="str">
        <f>IF(OR(E32="",G32=""),"",IF(RIGHT(E32,1)="G",_xlfn.XLOOKUP(G32,Data!$D$10:$L$10,Data!$D$9:$L$9,"",1,1),_xlfn.XLOOKUP(G32,Data!$D$3:$L$3,Data!$D$2:$L$2,"",1,1)))</f>
        <v>PB8</v>
      </c>
      <c r="L32" s="160" t="str" cm="1">
        <f t="array" ref="L32">IFERROR(_xlfn.IFNA(
                      _xlfn.IFS(
                      G32="", "",
                      AND(E32="U12B",G32&lt;=Data!$M$3), "U12 Boys record",
                      AND(E32="U12G",G32&lt;=Data!$M$10), "U12 Girls record"
                       ),""), "")</f>
        <v/>
      </c>
      <c r="M32" s="18" cm="1">
        <f t="array" ref="M32">_xlfn.IFS($G32="",0, AND(NOT(ISNUMBER($G32)),LOWER($G32)&lt;&gt;"dnf"),"Not a valid time",OR(LOWER($G32)="dnf",$G32&gt;ScoringTable!$M$161),1,RIGHT($E32,1)="B",_xlfn.XLOOKUP($G32,ScoringTable!$M$2:$M$161,ScoringTable!$L$2:$L$161,,1),TRUE,_xlfn.XLOOKUP($G32,ScoringTable!$S$2:$S$161,ScoringTable!$R$2:$R$161,,1))</f>
        <v>90</v>
      </c>
    </row>
    <row r="33" spans="1:13" s="7" customFormat="1" ht="16.05" customHeight="1">
      <c r="A33" s="243" t="s">
        <v>85</v>
      </c>
      <c r="B33" s="114" t="str">
        <f>IF(ISNA(VLOOKUP($F33,Declarations!B$6:C$185,2,FALSE)),"",IF(VLOOKUP($F33,Declarations!B$6:C$185,2,FALSE)="","NOT DECLARED",IF(ISNA(_xlfn.TEXTBEFORE(VLOOKUP($F33,Declarations!B$6:C$185,2,FALSE)," ")),VLOOKUP($F33,Declarations!B$6:C$185,2,FALSE),_xlfn.TEXTBEFORE(VLOOKUP($F33,Declarations!B$6:C$185,2,FALSE)," "))))</f>
        <v>MYLES</v>
      </c>
      <c r="C33" s="114" t="str">
        <f>IF(ISNA(VLOOKUP($F33,Declarations!B$6:C$185,2,FALSE)),"",IF(VLOOKUP($F33,Declarations!B$6:C$185,2,FALSE)="","NOT DECLARED",IF(ISNA(_xlfn.TEXTAFTER(VLOOKUP($F33,Declarations!B$6:C$185,2,FALSE)," ")),VLOOKUP($F33,Declarations!B$6:C$185,2,FALSE),_xlfn.TEXTAFTER(VLOOKUP($F33,Declarations!B$6:C$185,2,FALSE)," "))))</f>
        <v>GODDARD</v>
      </c>
      <c r="D33" s="114" t="str">
        <f>IF(ISNA(VLOOKUP($F33,Declarations!$B$6:$F$185,5,FALSE)),"",IF(VLOOKUP($F33,Declarations!$B$6:$F$185,5,FALSE)="","NOT DECLARED",VLOOKUP($F33,Declarations!$B$6:$F$185,5,FALSE)))</f>
        <v>Basingstoke &amp; Mid Hants AC</v>
      </c>
      <c r="E33" s="112" t="str">
        <f>IF(ISNA(VLOOKUP($F33,Declarations!$B$6:$D$185,3,FALSE)),"",IF(VLOOKUP($F33,Declarations!$B$6:$D$185,3,FALSE)="","NOT DECLARED",VLOOKUP($F33,Declarations!$B$6:$D$185,3,FALSE)&amp;LEFT(VLOOKUP($F33,Declarations!$B$6:$E$185,4,FALSE))))</f>
        <v>U12B</v>
      </c>
      <c r="F33" s="58">
        <v>116</v>
      </c>
      <c r="G33" s="122">
        <v>11.8</v>
      </c>
      <c r="H33" s="122"/>
      <c r="I33" s="114" t="str">
        <f>IF(ISNA(VLOOKUP(F33,Declarations!B$6:C$185,2,FALSE)),"",IF(VLOOKUP(F33,Declarations!B$6:C$185,2,FALSE)="","NOT DECLARED",VLOOKUP(F33,Declarations!B$6:C$185,2,FALSE)))</f>
        <v>MYLES GODDARD</v>
      </c>
      <c r="J33" s="112">
        <f>IF(LOWER(G33)="dnf",1,IF(G33&lt;ScoringTable!B$3,ScoringTable!I$2,VLOOKUP((1000-G33),ScoringTable!G$2:I$95,3)))</f>
        <v>52</v>
      </c>
      <c r="K33" s="112" t="str">
        <f>IF(OR(E33="",G33=""),"",IF(RIGHT(E33,1)="G",_xlfn.XLOOKUP(G33,Data!$D$10:$L$10,Data!$D$9:$L$9,"",1,1),_xlfn.XLOOKUP(G33,Data!$D$3:$L$3,Data!$D$2:$L$2,"",1,1)))</f>
        <v>PB7</v>
      </c>
      <c r="L33" s="160" t="str" cm="1">
        <f t="array" ref="L33">IFERROR(_xlfn.IFNA(
                      _xlfn.IFS(
                      G33="", "",
                      AND(E33="U12B",G33&lt;=Data!$M$3), "U12 Boys record",
                      AND(E33="U12G",G33&lt;=Data!$M$10), "U12 Girls record"
                       ),""), "")</f>
        <v/>
      </c>
      <c r="M33" s="18" cm="1">
        <f t="array" ref="M33">_xlfn.IFS($G33="",0, AND(NOT(ISNUMBER($G33)),LOWER($G33)&lt;&gt;"dnf"),"Not a valid time",OR(LOWER($G33)="dnf",$G33&gt;ScoringTable!$M$161),1,RIGHT($E33,1)="B",_xlfn.XLOOKUP($G33,ScoringTable!$M$2:$M$161,ScoringTable!$L$2:$L$161,,1),TRUE,_xlfn.XLOOKUP($G33,ScoringTable!$S$2:$S$161,ScoringTable!$R$2:$R$161,,1))</f>
        <v>85</v>
      </c>
    </row>
    <row r="34" spans="1:13" s="7" customFormat="1" ht="16.05" customHeight="1">
      <c r="A34" s="243" t="s">
        <v>85</v>
      </c>
      <c r="B34" s="114" t="str">
        <f>IF(ISNA(VLOOKUP($F34,Declarations!B$6:C$185,2,FALSE)),"",IF(VLOOKUP($F34,Declarations!B$6:C$185,2,FALSE)="","NOT DECLARED",IF(ISNA(_xlfn.TEXTBEFORE(VLOOKUP($F34,Declarations!B$6:C$185,2,FALSE)," ")),VLOOKUP($F34,Declarations!B$6:C$185,2,FALSE),_xlfn.TEXTBEFORE(VLOOKUP($F34,Declarations!B$6:C$185,2,FALSE)," "))))</f>
        <v>BERTIE</v>
      </c>
      <c r="C34" s="114" t="str">
        <f>IF(ISNA(VLOOKUP($F34,Declarations!B$6:C$185,2,FALSE)),"",IF(VLOOKUP($F34,Declarations!B$6:C$185,2,FALSE)="","NOT DECLARED",IF(ISNA(_xlfn.TEXTAFTER(VLOOKUP($F34,Declarations!B$6:C$185,2,FALSE)," ")),VLOOKUP($F34,Declarations!B$6:C$185,2,FALSE),_xlfn.TEXTAFTER(VLOOKUP($F34,Declarations!B$6:C$185,2,FALSE)," "))))</f>
        <v>LEIGH</v>
      </c>
      <c r="D34" s="114" t="str">
        <f>IF(ISNA(VLOOKUP($F34,Declarations!$B$6:$F$185,5,FALSE)),"",IF(VLOOKUP($F34,Declarations!$B$6:$F$185,5,FALSE)="","NOT DECLARED",VLOOKUP($F34,Declarations!$B$6:$F$185,5,FALSE)))</f>
        <v>Poole Runners</v>
      </c>
      <c r="E34" s="112" t="str">
        <f>IF(ISNA(VLOOKUP($F34,Declarations!$B$6:$D$185,3,FALSE)),"",IF(VLOOKUP($F34,Declarations!$B$6:$D$185,3,FALSE)="","NOT DECLARED",VLOOKUP($F34,Declarations!$B$6:$D$185,3,FALSE)&amp;LEFT(VLOOKUP($F34,Declarations!$B$6:$E$185,4,FALSE))))</f>
        <v>U12B</v>
      </c>
      <c r="F34" s="58">
        <v>55</v>
      </c>
      <c r="G34" s="122">
        <v>13.1</v>
      </c>
      <c r="H34" s="122"/>
      <c r="I34" s="114" t="str">
        <f>IF(ISNA(VLOOKUP(F34,Declarations!B$6:C$185,2,FALSE)),"",IF(VLOOKUP(F34,Declarations!B$6:C$185,2,FALSE)="","NOT DECLARED",VLOOKUP(F34,Declarations!B$6:C$185,2,FALSE)))</f>
        <v>BERTIE LEIGH</v>
      </c>
      <c r="J34" s="112">
        <f>IF(LOWER(G34)="dnf",1,IF(G34&lt;ScoringTable!B$3,ScoringTable!I$2,VLOOKUP((1000-G34),ScoringTable!G$2:I$95,3)))</f>
        <v>39</v>
      </c>
      <c r="K34" s="112" t="str">
        <f>IF(OR(E34="",G34=""),"",IF(RIGHT(E34,1)="G",_xlfn.XLOOKUP(G34,Data!$D$10:$L$10,Data!$D$9:$L$9,"",1,1),_xlfn.XLOOKUP(G34,Data!$D$3:$L$3,Data!$D$2:$L$2,"",1,1)))</f>
        <v>PB4</v>
      </c>
      <c r="L34" s="160" t="str" cm="1">
        <f t="array" ref="L34">IFERROR(_xlfn.IFNA(
                      _xlfn.IFS(
                      G34="", "",
                      AND(E34="U12B",G34&lt;=Data!$M$3), "U12 Boys record",
                      AND(E34="U12G",G34&lt;=Data!$M$10), "U12 Girls record"
                       ),""), "")</f>
        <v/>
      </c>
      <c r="M34" s="18" cm="1">
        <f t="array" ref="M34">_xlfn.IFS($G34="",0, AND(NOT(ISNUMBER($G34)),LOWER($G34)&lt;&gt;"dnf"),"Not a valid time",OR(LOWER($G34)="dnf",$G34&gt;ScoringTable!$M$161),1,RIGHT($E34,1)="B",_xlfn.XLOOKUP($G34,ScoringTable!$M$2:$M$161,ScoringTable!$L$2:$L$161,,1),TRUE,_xlfn.XLOOKUP($G34,ScoringTable!$S$2:$S$161,ScoringTable!$R$2:$R$161,,1))</f>
        <v>58</v>
      </c>
    </row>
    <row r="35" spans="1:13" s="7" customFormat="1" ht="16.05" customHeight="1">
      <c r="A35" s="243" t="s">
        <v>85</v>
      </c>
      <c r="B35" s="114" t="str">
        <f>IF(ISNA(VLOOKUP($F35,Declarations!B$6:C$185,2,FALSE)),"",IF(VLOOKUP($F35,Declarations!B$6:C$185,2,FALSE)="","NOT DECLARED",IF(ISNA(_xlfn.TEXTBEFORE(VLOOKUP($F35,Declarations!B$6:C$185,2,FALSE)," ")),VLOOKUP($F35,Declarations!B$6:C$185,2,FALSE),_xlfn.TEXTBEFORE(VLOOKUP($F35,Declarations!B$6:C$185,2,FALSE)," "))))</f>
        <v>MURRAY</v>
      </c>
      <c r="C35" s="114" t="str">
        <f>IF(ISNA(VLOOKUP($F35,Declarations!B$6:C$185,2,FALSE)),"",IF(VLOOKUP($F35,Declarations!B$6:C$185,2,FALSE)="","NOT DECLARED",IF(ISNA(_xlfn.TEXTAFTER(VLOOKUP($F35,Declarations!B$6:C$185,2,FALSE)," ")),VLOOKUP($F35,Declarations!B$6:C$185,2,FALSE),_xlfn.TEXTAFTER(VLOOKUP($F35,Declarations!B$6:C$185,2,FALSE)," "))))</f>
        <v>VOADEN</v>
      </c>
      <c r="D35" s="114" t="str">
        <f>IF(ISNA(VLOOKUP($F35,Declarations!$B$6:$F$185,5,FALSE)),"",IF(VLOOKUP($F35,Declarations!$B$6:$F$185,5,FALSE)="","NOT DECLARED",VLOOKUP($F35,Declarations!$B$6:$F$185,5,FALSE)))</f>
        <v>Fleet &amp; Crookham AC</v>
      </c>
      <c r="E35" s="112" t="str">
        <f>IF(ISNA(VLOOKUP($F35,Declarations!$B$6:$D$185,3,FALSE)),"",IF(VLOOKUP($F35,Declarations!$B$6:$D$185,3,FALSE)="","NOT DECLARED",VLOOKUP($F35,Declarations!$B$6:$D$185,3,FALSE)&amp;LEFT(VLOOKUP($F35,Declarations!$B$6:$E$185,4,FALSE))))</f>
        <v>U12B</v>
      </c>
      <c r="F35" s="58">
        <v>75</v>
      </c>
      <c r="G35" s="122">
        <v>13.4</v>
      </c>
      <c r="H35" s="122"/>
      <c r="I35" s="114" t="str">
        <f>IF(ISNA(VLOOKUP(F35,Declarations!B$6:C$185,2,FALSE)),"",IF(VLOOKUP(F35,Declarations!B$6:C$185,2,FALSE)="","NOT DECLARED",VLOOKUP(F35,Declarations!B$6:C$185,2,FALSE)))</f>
        <v>MURRAY VOADEN</v>
      </c>
      <c r="J35" s="112">
        <f>IF(LOWER(G35)="dnf",1,IF(G35&lt;ScoringTable!B$3,ScoringTable!I$2,VLOOKUP((1000-G35),ScoringTable!G$2:I$95,3)))</f>
        <v>36</v>
      </c>
      <c r="K35" s="112" t="str">
        <f>IF(OR(E35="",G35=""),"",IF(RIGHT(E35,1)="G",_xlfn.XLOOKUP(G35,Data!$D$10:$L$10,Data!$D$9:$L$9,"",1,1),_xlfn.XLOOKUP(G35,Data!$D$3:$L$3,Data!$D$2:$L$2,"",1,1)))</f>
        <v>PB4</v>
      </c>
      <c r="L35" s="160" t="str" cm="1">
        <f t="array" ref="L35">IFERROR(_xlfn.IFNA(
                      _xlfn.IFS(
                      G35="", "",
                      AND(E35="U12B",G35&lt;=Data!$M$3), "U12 Boys record",
                      AND(E35="U12G",G35&lt;=Data!$M$10), "U12 Girls record"
                       ),""), "")</f>
        <v/>
      </c>
      <c r="M35" s="18" cm="1">
        <f t="array" ref="M35">_xlfn.IFS($G35="",0, AND(NOT(ISNUMBER($G35)),LOWER($G35)&lt;&gt;"dnf"),"Not a valid time",OR(LOWER($G35)="dnf",$G35&gt;ScoringTable!$M$161),1,RIGHT($E35,1)="B",_xlfn.XLOOKUP($G35,ScoringTable!$M$2:$M$161,ScoringTable!$L$2:$L$161,,1),TRUE,_xlfn.XLOOKUP($G35,ScoringTable!$S$2:$S$161,ScoringTable!$R$2:$R$161,,1))</f>
        <v>52</v>
      </c>
    </row>
    <row r="36" spans="1:13" s="7" customFormat="1" ht="16.05" customHeight="1">
      <c r="A36" s="243" t="s">
        <v>85</v>
      </c>
      <c r="B36" s="114" t="str">
        <f>IF(ISNA(VLOOKUP($F36,Declarations!B$6:C$185,2,FALSE)),"",IF(VLOOKUP($F36,Declarations!B$6:C$185,2,FALSE)="","NOT DECLARED",IF(ISNA(_xlfn.TEXTBEFORE(VLOOKUP($F36,Declarations!B$6:C$185,2,FALSE)," ")),VLOOKUP($F36,Declarations!B$6:C$185,2,FALSE),_xlfn.TEXTBEFORE(VLOOKUP($F36,Declarations!B$6:C$185,2,FALSE)," "))))</f>
        <v>LEO</v>
      </c>
      <c r="C36" s="114" t="str">
        <f>IF(ISNA(VLOOKUP($F36,Declarations!B$6:C$185,2,FALSE)),"",IF(VLOOKUP($F36,Declarations!B$6:C$185,2,FALSE)="","NOT DECLARED",IF(ISNA(_xlfn.TEXTAFTER(VLOOKUP($F36,Declarations!B$6:C$185,2,FALSE)," ")),VLOOKUP($F36,Declarations!B$6:C$185,2,FALSE),_xlfn.TEXTAFTER(VLOOKUP($F36,Declarations!B$6:C$185,2,FALSE)," "))))</f>
        <v>AMEY</v>
      </c>
      <c r="D36" s="114" t="str">
        <f>IF(ISNA(VLOOKUP($F36,Declarations!$B$6:$F$185,5,FALSE)),"",IF(VLOOKUP($F36,Declarations!$B$6:$F$185,5,FALSE)="","NOT DECLARED",VLOOKUP($F36,Declarations!$B$6:$F$185,5,FALSE)))</f>
        <v>Poole Runners</v>
      </c>
      <c r="E36" s="112" t="str">
        <f>IF(ISNA(VLOOKUP($F36,Declarations!$B$6:$D$185,3,FALSE)),"",IF(VLOOKUP($F36,Declarations!$B$6:$D$185,3,FALSE)="","NOT DECLARED",VLOOKUP($F36,Declarations!$B$6:$D$185,3,FALSE)&amp;LEFT(VLOOKUP($F36,Declarations!$B$6:$E$185,4,FALSE))))</f>
        <v>U12B</v>
      </c>
      <c r="F36" s="58">
        <v>56</v>
      </c>
      <c r="G36" s="122">
        <v>12</v>
      </c>
      <c r="H36" s="122"/>
      <c r="I36" s="114" t="str">
        <f>IF(ISNA(VLOOKUP(F36,Declarations!B$6:C$185,2,FALSE)),"",IF(VLOOKUP(F36,Declarations!B$6:C$185,2,FALSE)="","NOT DECLARED",VLOOKUP(F36,Declarations!B$6:C$185,2,FALSE)))</f>
        <v>LEO AMEY</v>
      </c>
      <c r="J36" s="112">
        <f>IF(LOWER(G36)="dnf",1,IF(G36&lt;ScoringTable!B$3,ScoringTable!I$2,VLOOKUP((1000-G36),ScoringTable!G$2:I$95,3)))</f>
        <v>50</v>
      </c>
      <c r="K36" s="112" t="str">
        <f>IF(OR(E36="",G36=""),"",IF(RIGHT(E36,1)="G",_xlfn.XLOOKUP(G36,Data!$D$10:$L$10,Data!$D$9:$L$9,"",1,1),_xlfn.XLOOKUP(G36,Data!$D$3:$L$3,Data!$D$2:$L$2,"",1,1)))</f>
        <v>PB7</v>
      </c>
      <c r="L36" s="160" t="str" cm="1">
        <f t="array" ref="L36">IFERROR(_xlfn.IFNA(
                      _xlfn.IFS(
                      G36="", "",
                      AND(E36="U12B",G36&lt;=Data!$M$3), "U12 Boys record",
                      AND(E36="U12G",G36&lt;=Data!$M$10), "U12 Girls record"
                       ),""), "")</f>
        <v/>
      </c>
      <c r="M36" s="18" cm="1">
        <f t="array" ref="M36">_xlfn.IFS($G36="",0, AND(NOT(ISNUMBER($G36)),LOWER($G36)&lt;&gt;"dnf"),"Not a valid time",OR(LOWER($G36)="dnf",$G36&gt;ScoringTable!$M$161),1,RIGHT($E36,1)="B",_xlfn.XLOOKUP($G36,ScoringTable!$M$2:$M$161,ScoringTable!$L$2:$L$161,,1),TRUE,_xlfn.XLOOKUP($G36,ScoringTable!$S$2:$S$161,ScoringTable!$R$2:$R$161,,1))</f>
        <v>80</v>
      </c>
    </row>
    <row r="37" spans="1:13" s="7" customFormat="1" ht="16.05" customHeight="1">
      <c r="A37" s="243" t="s">
        <v>85</v>
      </c>
      <c r="B37" s="114" t="str">
        <f>IF(ISNA(VLOOKUP($F37,Declarations!B$6:C$185,2,FALSE)),"",IF(VLOOKUP($F37,Declarations!B$6:C$185,2,FALSE)="","NOT DECLARED",IF(ISNA(_xlfn.TEXTBEFORE(VLOOKUP($F37,Declarations!B$6:C$185,2,FALSE)," ")),VLOOKUP($F37,Declarations!B$6:C$185,2,FALSE),_xlfn.TEXTBEFORE(VLOOKUP($F37,Declarations!B$6:C$185,2,FALSE)," "))))</f>
        <v>TOBY</v>
      </c>
      <c r="C37" s="114" t="str">
        <f>IF(ISNA(VLOOKUP($F37,Declarations!B$6:C$185,2,FALSE)),"",IF(VLOOKUP($F37,Declarations!B$6:C$185,2,FALSE)="","NOT DECLARED",IF(ISNA(_xlfn.TEXTAFTER(VLOOKUP($F37,Declarations!B$6:C$185,2,FALSE)," ")),VLOOKUP($F37,Declarations!B$6:C$185,2,FALSE),_xlfn.TEXTAFTER(VLOOKUP($F37,Declarations!B$6:C$185,2,FALSE)," "))))</f>
        <v>POWELL</v>
      </c>
      <c r="D37" s="114" t="str">
        <f>IF(ISNA(VLOOKUP($F37,Declarations!$B$6:$F$185,5,FALSE)),"",IF(VLOOKUP($F37,Declarations!$B$6:$F$185,5,FALSE)="","NOT DECLARED",VLOOKUP($F37,Declarations!$B$6:$F$185,5,FALSE)))</f>
        <v>Basingstoke &amp; Mid Hants AC</v>
      </c>
      <c r="E37" s="112" t="str">
        <f>IF(ISNA(VLOOKUP($F37,Declarations!$B$6:$D$185,3,FALSE)),"",IF(VLOOKUP($F37,Declarations!$B$6:$D$185,3,FALSE)="","NOT DECLARED",VLOOKUP($F37,Declarations!$B$6:$D$185,3,FALSE)&amp;LEFT(VLOOKUP($F37,Declarations!$B$6:$E$185,4,FALSE))))</f>
        <v>U12B</v>
      </c>
      <c r="F37" s="58">
        <v>118</v>
      </c>
      <c r="G37" s="122">
        <v>12.1</v>
      </c>
      <c r="H37" s="122"/>
      <c r="I37" s="114" t="str">
        <f>IF(ISNA(VLOOKUP(F37,Declarations!B$6:C$185,2,FALSE)),"",IF(VLOOKUP(F37,Declarations!B$6:C$185,2,FALSE)="","NOT DECLARED",VLOOKUP(F37,Declarations!B$6:C$185,2,FALSE)))</f>
        <v>TOBY POWELL</v>
      </c>
      <c r="J37" s="112">
        <f>IF(LOWER(G37)="dnf",1,IF(G37&lt;ScoringTable!B$3,ScoringTable!I$2,VLOOKUP((1000-G37),ScoringTable!G$2:I$95,3)))</f>
        <v>49</v>
      </c>
      <c r="K37" s="112" t="str">
        <f>IF(OR(E37="",G37=""),"",IF(RIGHT(E37,1)="G",_xlfn.XLOOKUP(G37,Data!$D$10:$L$10,Data!$D$9:$L$9,"",1,1),_xlfn.XLOOKUP(G37,Data!$D$3:$L$3,Data!$D$2:$L$2,"",1,1)))</f>
        <v>PB6</v>
      </c>
      <c r="L37" s="160" t="str" cm="1">
        <f t="array" ref="L37">IFERROR(_xlfn.IFNA(
                      _xlfn.IFS(
                      G37="", "",
                      AND(E37="U12B",G37&lt;=Data!$M$3), "U12 Boys record",
                      AND(E37="U12G",G37&lt;=Data!$M$10), "U12 Girls record"
                       ),""), "")</f>
        <v/>
      </c>
      <c r="M37" s="18" cm="1">
        <f t="array" ref="M37">_xlfn.IFS($G37="",0, AND(NOT(ISNUMBER($G37)),LOWER($G37)&lt;&gt;"dnf"),"Not a valid time",OR(LOWER($G37)="dnf",$G37&gt;ScoringTable!$M$161),1,RIGHT($E37,1)="B",_xlfn.XLOOKUP($G37,ScoringTable!$M$2:$M$161,ScoringTable!$L$2:$L$161,,1),TRUE,_xlfn.XLOOKUP($G37,ScoringTable!$S$2:$S$161,ScoringTable!$R$2:$R$161,,1))</f>
        <v>78</v>
      </c>
    </row>
    <row r="38" spans="1:13" s="7" customFormat="1" ht="16.05" customHeight="1">
      <c r="A38" s="243" t="s">
        <v>85</v>
      </c>
      <c r="B38" s="114" t="str">
        <f>IF(ISNA(VLOOKUP($F38,Declarations!B$6:C$185,2,FALSE)),"",IF(VLOOKUP($F38,Declarations!B$6:C$185,2,FALSE)="","NOT DECLARED",IF(ISNA(_xlfn.TEXTBEFORE(VLOOKUP($F38,Declarations!B$6:C$185,2,FALSE)," ")),VLOOKUP($F38,Declarations!B$6:C$185,2,FALSE),_xlfn.TEXTBEFORE(VLOOKUP($F38,Declarations!B$6:C$185,2,FALSE)," "))))</f>
        <v>ADAM</v>
      </c>
      <c r="C38" s="114" t="str">
        <f>IF(ISNA(VLOOKUP($F38,Declarations!B$6:C$185,2,FALSE)),"",IF(VLOOKUP($F38,Declarations!B$6:C$185,2,FALSE)="","NOT DECLARED",IF(ISNA(_xlfn.TEXTAFTER(VLOOKUP($F38,Declarations!B$6:C$185,2,FALSE)," ")),VLOOKUP($F38,Declarations!B$6:C$185,2,FALSE),_xlfn.TEXTAFTER(VLOOKUP($F38,Declarations!B$6:C$185,2,FALSE)," "))))</f>
        <v>PRICE</v>
      </c>
      <c r="D38" s="114" t="str">
        <f>IF(ISNA(VLOOKUP($F38,Declarations!$B$6:$F$185,5,FALSE)),"",IF(VLOOKUP($F38,Declarations!$B$6:$F$185,5,FALSE)="","NOT DECLARED",VLOOKUP($F38,Declarations!$B$6:$F$185,5,FALSE)))</f>
        <v>Woking AC</v>
      </c>
      <c r="E38" s="112" t="str">
        <f>IF(ISNA(VLOOKUP($F38,Declarations!$B$6:$D$185,3,FALSE)),"",IF(VLOOKUP($F38,Declarations!$B$6:$D$185,3,FALSE)="","NOT DECLARED",VLOOKUP($F38,Declarations!$B$6:$D$185,3,FALSE)&amp;LEFT(VLOOKUP($F38,Declarations!$B$6:$E$185,4,FALSE))))</f>
        <v>U12B</v>
      </c>
      <c r="F38" s="58">
        <v>37</v>
      </c>
      <c r="G38" s="122">
        <v>12.2</v>
      </c>
      <c r="H38" s="122"/>
      <c r="I38" s="114" t="str">
        <f>IF(ISNA(VLOOKUP(F38,Declarations!B$6:C$185,2,FALSE)),"",IF(VLOOKUP(F38,Declarations!B$6:C$185,2,FALSE)="","NOT DECLARED",VLOOKUP(F38,Declarations!B$6:C$185,2,FALSE)))</f>
        <v>ADAM PRICE</v>
      </c>
      <c r="J38" s="112">
        <f>IF(LOWER(G38)="dnf",1,IF(G38&lt;ScoringTable!B$3,ScoringTable!I$2,VLOOKUP((1000-G38),ScoringTable!G$2:I$95,3)))</f>
        <v>48</v>
      </c>
      <c r="K38" s="112" t="str">
        <f>IF(OR(E38="",G38=""),"",IF(RIGHT(E38,1)="G",_xlfn.XLOOKUP(G38,Data!$D$10:$L$10,Data!$D$9:$L$9,"",1,1),_xlfn.XLOOKUP(G38,Data!$D$3:$L$3,Data!$D$2:$L$2,"",1,1)))</f>
        <v>PB6</v>
      </c>
      <c r="L38" s="160" t="str" cm="1">
        <f t="array" ref="L38">IFERROR(_xlfn.IFNA(
                      _xlfn.IFS(
                      G38="", "",
                      AND(E38="U12B",G38&lt;=Data!$M$3), "U12 Boys record",
                      AND(E38="U12G",G38&lt;=Data!$M$10), "U12 Girls record"
                       ),""), "")</f>
        <v/>
      </c>
      <c r="M38" s="18" cm="1">
        <f t="array" ref="M38">_xlfn.IFS($G38="",0, AND(NOT(ISNUMBER($G38)),LOWER($G38)&lt;&gt;"dnf"),"Not a valid time",OR(LOWER($G38)="dnf",$G38&gt;ScoringTable!$M$161),1,RIGHT($E38,1)="B",_xlfn.XLOOKUP($G38,ScoringTable!$M$2:$M$161,ScoringTable!$L$2:$L$161,,1),TRUE,_xlfn.XLOOKUP($G38,ScoringTable!$S$2:$S$161,ScoringTable!$R$2:$R$161,,1))</f>
        <v>76</v>
      </c>
    </row>
    <row r="39" spans="1:13" s="7" customFormat="1" ht="16.05" customHeight="1">
      <c r="A39" s="243" t="s">
        <v>85</v>
      </c>
      <c r="B39" s="114" t="str">
        <f>IF(ISNA(VLOOKUP($F39,Declarations!B$6:C$185,2,FALSE)),"",IF(VLOOKUP($F39,Declarations!B$6:C$185,2,FALSE)="","NOT DECLARED",IF(ISNA(_xlfn.TEXTBEFORE(VLOOKUP($F39,Declarations!B$6:C$185,2,FALSE)," ")),VLOOKUP($F39,Declarations!B$6:C$185,2,FALSE),_xlfn.TEXTBEFORE(VLOOKUP($F39,Declarations!B$6:C$185,2,FALSE)," "))))</f>
        <v>DYLAN</v>
      </c>
      <c r="C39" s="114" t="str">
        <f>IF(ISNA(VLOOKUP($F39,Declarations!B$6:C$185,2,FALSE)),"",IF(VLOOKUP($F39,Declarations!B$6:C$185,2,FALSE)="","NOT DECLARED",IF(ISNA(_xlfn.TEXTAFTER(VLOOKUP($F39,Declarations!B$6:C$185,2,FALSE)," ")),VLOOKUP($F39,Declarations!B$6:C$185,2,FALSE),_xlfn.TEXTAFTER(VLOOKUP($F39,Declarations!B$6:C$185,2,FALSE)," "))))</f>
        <v>MARLEY</v>
      </c>
      <c r="D39" s="114" t="str">
        <f>IF(ISNA(VLOOKUP($F39,Declarations!$B$6:$F$185,5,FALSE)),"",IF(VLOOKUP($F39,Declarations!$B$6:$F$185,5,FALSE)="","NOT DECLARED",VLOOKUP($F39,Declarations!$B$6:$F$185,5,FALSE)))</f>
        <v>Fleet &amp; Crookham AC</v>
      </c>
      <c r="E39" s="112" t="str">
        <f>IF(ISNA(VLOOKUP($F39,Declarations!$B$6:$D$185,3,FALSE)),"",IF(VLOOKUP($F39,Declarations!$B$6:$D$185,3,FALSE)="","NOT DECLARED",VLOOKUP($F39,Declarations!$B$6:$D$185,3,FALSE)&amp;LEFT(VLOOKUP($F39,Declarations!$B$6:$E$185,4,FALSE))))</f>
        <v>U12B</v>
      </c>
      <c r="F39" s="58">
        <v>76</v>
      </c>
      <c r="G39" s="122">
        <v>12.4</v>
      </c>
      <c r="H39" s="122"/>
      <c r="I39" s="114" t="str">
        <f>IF(ISNA(VLOOKUP(F39,Declarations!B$6:C$185,2,FALSE)),"",IF(VLOOKUP(F39,Declarations!B$6:C$185,2,FALSE)="","NOT DECLARED",VLOOKUP(F39,Declarations!B$6:C$185,2,FALSE)))</f>
        <v>DYLAN MARLEY</v>
      </c>
      <c r="J39" s="112">
        <f>IF(LOWER(G39)="dnf",1,IF(G39&lt;ScoringTable!B$3,ScoringTable!I$2,VLOOKUP((1000-G39),ScoringTable!G$2:I$95,3)))</f>
        <v>46</v>
      </c>
      <c r="K39" s="112" t="str">
        <f>IF(OR(E39="",G39=""),"",IF(RIGHT(E39,1)="G",_xlfn.XLOOKUP(G39,Data!$D$10:$L$10,Data!$D$9:$L$9,"",1,1),_xlfn.XLOOKUP(G39,Data!$D$3:$L$3,Data!$D$2:$L$2,"",1,1)))</f>
        <v>PB6</v>
      </c>
      <c r="L39" s="160" t="str" cm="1">
        <f t="array" ref="L39">IFERROR(_xlfn.IFNA(
                      _xlfn.IFS(
                      G39="", "",
                      AND(E39="U12B",G39&lt;=Data!$M$3), "U12 Boys record",
                      AND(E39="U12G",G39&lt;=Data!$M$10), "U12 Girls record"
                       ),""), "")</f>
        <v/>
      </c>
      <c r="M39" s="18" cm="1">
        <f t="array" ref="M39">_xlfn.IFS($G39="",0, AND(NOT(ISNUMBER($G39)),LOWER($G39)&lt;&gt;"dnf"),"Not a valid time",OR(LOWER($G39)="dnf",$G39&gt;ScoringTable!$M$161),1,RIGHT($E39,1)="B",_xlfn.XLOOKUP($G39,ScoringTable!$M$2:$M$161,ScoringTable!$L$2:$L$161,,1),TRUE,_xlfn.XLOOKUP($G39,ScoringTable!$S$2:$S$161,ScoringTable!$R$2:$R$161,,1))</f>
        <v>72</v>
      </c>
    </row>
    <row r="40" spans="1:13" s="7" customFormat="1" ht="16.05" customHeight="1">
      <c r="A40" s="243" t="s">
        <v>85</v>
      </c>
      <c r="B40" s="114" t="str">
        <f>IF(ISNA(VLOOKUP($F40,Declarations!B$6:C$185,2,FALSE)),"",IF(VLOOKUP($F40,Declarations!B$6:C$185,2,FALSE)="","NOT DECLARED",IF(ISNA(_xlfn.TEXTBEFORE(VLOOKUP($F40,Declarations!B$6:C$185,2,FALSE)," ")),VLOOKUP($F40,Declarations!B$6:C$185,2,FALSE),_xlfn.TEXTBEFORE(VLOOKUP($F40,Declarations!B$6:C$185,2,FALSE)," "))))</f>
        <v>RAFI</v>
      </c>
      <c r="C40" s="114" t="str">
        <f>IF(ISNA(VLOOKUP($F40,Declarations!B$6:C$185,2,FALSE)),"",IF(VLOOKUP($F40,Declarations!B$6:C$185,2,FALSE)="","NOT DECLARED",IF(ISNA(_xlfn.TEXTAFTER(VLOOKUP($F40,Declarations!B$6:C$185,2,FALSE)," ")),VLOOKUP($F40,Declarations!B$6:C$185,2,FALSE),_xlfn.TEXTAFTER(VLOOKUP($F40,Declarations!B$6:C$185,2,FALSE)," "))))</f>
        <v>PAYNE</v>
      </c>
      <c r="D40" s="114" t="str">
        <f>IF(ISNA(VLOOKUP($F40,Declarations!$B$6:$F$185,5,FALSE)),"",IF(VLOOKUP($F40,Declarations!$B$6:$F$185,5,FALSE)="","NOT DECLARED",VLOOKUP($F40,Declarations!$B$6:$F$185,5,FALSE)))</f>
        <v>Camberley &amp; District AC</v>
      </c>
      <c r="E40" s="112" t="str">
        <f>IF(ISNA(VLOOKUP($F40,Declarations!$B$6:$D$185,3,FALSE)),"",IF(VLOOKUP($F40,Declarations!$B$6:$D$185,3,FALSE)="","NOT DECLARED",VLOOKUP($F40,Declarations!$B$6:$D$185,3,FALSE)&amp;LEFT(VLOOKUP($F40,Declarations!$B$6:$E$185,4,FALSE))))</f>
        <v>U12B</v>
      </c>
      <c r="F40" s="58">
        <v>16</v>
      </c>
      <c r="G40" s="122">
        <v>12.6</v>
      </c>
      <c r="H40" s="122"/>
      <c r="I40" s="114" t="str">
        <f>IF(ISNA(VLOOKUP(F40,Declarations!B$6:C$185,2,FALSE)),"",IF(VLOOKUP(F40,Declarations!B$6:C$185,2,FALSE)="","NOT DECLARED",VLOOKUP(F40,Declarations!B$6:C$185,2,FALSE)))</f>
        <v>RAFI PAYNE</v>
      </c>
      <c r="J40" s="112">
        <f>IF(LOWER(G40)="dnf",1,IF(G40&lt;ScoringTable!B$3,ScoringTable!I$2,VLOOKUP((1000-G40),ScoringTable!G$2:I$95,3)))</f>
        <v>44</v>
      </c>
      <c r="K40" s="112" t="str">
        <f>IF(OR(E40="",G40=""),"",IF(RIGHT(E40,1)="G",_xlfn.XLOOKUP(G40,Data!$D$10:$L$10,Data!$D$9:$L$9,"",1,1),_xlfn.XLOOKUP(G40,Data!$D$3:$L$3,Data!$D$2:$L$2,"",1,1)))</f>
        <v>PB5</v>
      </c>
      <c r="L40" s="160" t="str" cm="1">
        <f t="array" ref="L40">IFERROR(_xlfn.IFNA(
                      _xlfn.IFS(
                      G40="", "",
                      AND(E40="U12B",G40&lt;=Data!$M$3), "U12 Boys record",
                      AND(E40="U12G",G40&lt;=Data!$M$10), "U12 Girls record"
                       ),""), "")</f>
        <v/>
      </c>
      <c r="M40" s="18" cm="1">
        <f t="array" ref="M40">_xlfn.IFS($G40="",0, AND(NOT(ISNUMBER($G40)),LOWER($G40)&lt;&gt;"dnf"),"Not a valid time",OR(LOWER($G40)="dnf",$G40&gt;ScoringTable!$M$161),1,RIGHT($E40,1)="B",_xlfn.XLOOKUP($G40,ScoringTable!$M$2:$M$161,ScoringTable!$L$2:$L$161,,1),TRUE,_xlfn.XLOOKUP($G40,ScoringTable!$S$2:$S$161,ScoringTable!$R$2:$R$161,,1))</f>
        <v>68</v>
      </c>
    </row>
    <row r="41" spans="1:13" s="7" customFormat="1" ht="16.05" customHeight="1">
      <c r="A41" s="243" t="s">
        <v>85</v>
      </c>
      <c r="B41" s="114" t="str">
        <f>IF(ISNA(VLOOKUP($F41,Declarations!B$6:C$185,2,FALSE)),"",IF(VLOOKUP($F41,Declarations!B$6:C$185,2,FALSE)="","NOT DECLARED",IF(ISNA(_xlfn.TEXTBEFORE(VLOOKUP($F41,Declarations!B$6:C$185,2,FALSE)," ")),VLOOKUP($F41,Declarations!B$6:C$185,2,FALSE),_xlfn.TEXTBEFORE(VLOOKUP($F41,Declarations!B$6:C$185,2,FALSE)," "))))</f>
        <v>JAY</v>
      </c>
      <c r="C41" s="114" t="str">
        <f>IF(ISNA(VLOOKUP($F41,Declarations!B$6:C$185,2,FALSE)),"",IF(VLOOKUP($F41,Declarations!B$6:C$185,2,FALSE)="","NOT DECLARED",IF(ISNA(_xlfn.TEXTAFTER(VLOOKUP($F41,Declarations!B$6:C$185,2,FALSE)," ")),VLOOKUP($F41,Declarations!B$6:C$185,2,FALSE),_xlfn.TEXTAFTER(VLOOKUP($F41,Declarations!B$6:C$185,2,FALSE)," "))))</f>
        <v>GOVIND</v>
      </c>
      <c r="D41" s="114" t="str">
        <f>IF(ISNA(VLOOKUP($F41,Declarations!$B$6:$F$185,5,FALSE)),"",IF(VLOOKUP($F41,Declarations!$B$6:$F$185,5,FALSE)="","NOT DECLARED",VLOOKUP($F41,Declarations!$B$6:$F$185,5,FALSE)))</f>
        <v>Basingstoke &amp; Mid Hants AC</v>
      </c>
      <c r="E41" s="112" t="str">
        <f>IF(ISNA(VLOOKUP($F41,Declarations!$B$6:$D$185,3,FALSE)),"",IF(VLOOKUP($F41,Declarations!$B$6:$D$185,3,FALSE)="","NOT DECLARED",VLOOKUP($F41,Declarations!$B$6:$D$185,3,FALSE)&amp;LEFT(VLOOKUP($F41,Declarations!$B$6:$E$185,4,FALSE))))</f>
        <v>U12B</v>
      </c>
      <c r="F41" s="58">
        <v>117</v>
      </c>
      <c r="G41" s="122">
        <v>11.7</v>
      </c>
      <c r="H41" s="122"/>
      <c r="I41" s="114" t="str">
        <f>IF(ISNA(VLOOKUP(F41,Declarations!B$6:C$185,2,FALSE)),"",IF(VLOOKUP(F41,Declarations!B$6:C$185,2,FALSE)="","NOT DECLARED",VLOOKUP(F41,Declarations!B$6:C$185,2,FALSE)))</f>
        <v>JAY GOVIND</v>
      </c>
      <c r="J41" s="112">
        <f>IF(LOWER(G41)="dnf",1,IF(G41&lt;ScoringTable!B$3,ScoringTable!I$2,VLOOKUP((1000-G41),ScoringTable!G$2:I$95,3)))</f>
        <v>53</v>
      </c>
      <c r="K41" s="112" t="str">
        <f>IF(OR(E41="",G41=""),"",IF(RIGHT(E41,1)="G",_xlfn.XLOOKUP(G41,Data!$D$10:$L$10,Data!$D$9:$L$9,"",1,1),_xlfn.XLOOKUP(G41,Data!$D$3:$L$3,Data!$D$2:$L$2,"",1,1)))</f>
        <v>PB7</v>
      </c>
      <c r="L41" s="160" t="str" cm="1">
        <f t="array" ref="L41">IFERROR(_xlfn.IFNA(
                      _xlfn.IFS(
                      G41="", "",
                      AND(E41="U12B",G41&lt;=Data!$M$3), "U12 Boys record",
                      AND(E41="U12G",G41&lt;=Data!$M$10), "U12 Girls record"
                       ),""), "")</f>
        <v/>
      </c>
      <c r="M41" s="18" cm="1">
        <f t="array" ref="M41">_xlfn.IFS($G41="",0, AND(NOT(ISNUMBER($G41)),LOWER($G41)&lt;&gt;"dnf"),"Not a valid time",OR(LOWER($G41)="dnf",$G41&gt;ScoringTable!$M$161),1,RIGHT($E41,1)="B",_xlfn.XLOOKUP($G41,ScoringTable!$M$2:$M$161,ScoringTable!$L$2:$L$161,,1),TRUE,_xlfn.XLOOKUP($G41,ScoringTable!$S$2:$S$161,ScoringTable!$R$2:$R$161,,1))</f>
        <v>87</v>
      </c>
    </row>
    <row r="42" spans="1:13" s="7" customFormat="1" ht="16.05" customHeight="1">
      <c r="A42" s="243" t="s">
        <v>85</v>
      </c>
      <c r="B42" s="114" t="str">
        <f>IF(ISNA(VLOOKUP($F42,Declarations!B$6:C$185,2,FALSE)),"",IF(VLOOKUP($F42,Declarations!B$6:C$185,2,FALSE)="","NOT DECLARED",IF(ISNA(_xlfn.TEXTBEFORE(VLOOKUP($F42,Declarations!B$6:C$185,2,FALSE)," ")),VLOOKUP($F42,Declarations!B$6:C$185,2,FALSE),_xlfn.TEXTBEFORE(VLOOKUP($F42,Declarations!B$6:C$185,2,FALSE)," "))))</f>
        <v>FREDDIE</v>
      </c>
      <c r="C42" s="114" t="str">
        <f>IF(ISNA(VLOOKUP($F42,Declarations!B$6:C$185,2,FALSE)),"",IF(VLOOKUP($F42,Declarations!B$6:C$185,2,FALSE)="","NOT DECLARED",IF(ISNA(_xlfn.TEXTAFTER(VLOOKUP($F42,Declarations!B$6:C$185,2,FALSE)," ")),VLOOKUP($F42,Declarations!B$6:C$185,2,FALSE),_xlfn.TEXTAFTER(VLOOKUP($F42,Declarations!B$6:C$185,2,FALSE)," "))))</f>
        <v>SMITH</v>
      </c>
      <c r="D42" s="114" t="str">
        <f>IF(ISNA(VLOOKUP($F42,Declarations!$B$6:$F$185,5,FALSE)),"",IF(VLOOKUP($F42,Declarations!$B$6:$F$185,5,FALSE)="","NOT DECLARED",VLOOKUP($F42,Declarations!$B$6:$F$185,5,FALSE)))</f>
        <v>Woking AC</v>
      </c>
      <c r="E42" s="112" t="str">
        <f>IF(ISNA(VLOOKUP($F42,Declarations!$B$6:$D$185,3,FALSE)),"",IF(VLOOKUP($F42,Declarations!$B$6:$D$185,3,FALSE)="","NOT DECLARED",VLOOKUP($F42,Declarations!$B$6:$D$185,3,FALSE)&amp;LEFT(VLOOKUP($F42,Declarations!$B$6:$E$185,4,FALSE))))</f>
        <v>U12B</v>
      </c>
      <c r="F42" s="58">
        <v>39</v>
      </c>
      <c r="G42" s="122">
        <v>11.8</v>
      </c>
      <c r="H42" s="122"/>
      <c r="I42" s="114" t="str">
        <f>IF(ISNA(VLOOKUP(F42,Declarations!B$6:C$185,2,FALSE)),"",IF(VLOOKUP(F42,Declarations!B$6:C$185,2,FALSE)="","NOT DECLARED",VLOOKUP(F42,Declarations!B$6:C$185,2,FALSE)))</f>
        <v>FREDDIE SMITH</v>
      </c>
      <c r="J42" s="112">
        <f>IF(LOWER(G42)="dnf",1,IF(G42&lt;ScoringTable!B$3,ScoringTable!I$2,VLOOKUP((1000-G42),ScoringTable!G$2:I$95,3)))</f>
        <v>52</v>
      </c>
      <c r="K42" s="112" t="str">
        <f>IF(OR(E42="",G42=""),"",IF(RIGHT(E42,1)="G",_xlfn.XLOOKUP(G42,Data!$D$10:$L$10,Data!$D$9:$L$9,"",1,1),_xlfn.XLOOKUP(G42,Data!$D$3:$L$3,Data!$D$2:$L$2,"",1,1)))</f>
        <v>PB7</v>
      </c>
      <c r="L42" s="160" t="str" cm="1">
        <f t="array" ref="L42">IFERROR(_xlfn.IFNA(
                      _xlfn.IFS(
                      G42="", "",
                      AND(E42="U12B",G42&lt;=Data!$M$3), "U12 Boys record",
                      AND(E42="U12G",G42&lt;=Data!$M$10), "U12 Girls record"
                       ),""), "")</f>
        <v/>
      </c>
      <c r="M42" s="18" cm="1">
        <f t="array" ref="M42">_xlfn.IFS($G42="",0, AND(NOT(ISNUMBER($G42)),LOWER($G42)&lt;&gt;"dnf"),"Not a valid time",OR(LOWER($G42)="dnf",$G42&gt;ScoringTable!$M$161),1,RIGHT($E42,1)="B",_xlfn.XLOOKUP($G42,ScoringTable!$M$2:$M$161,ScoringTable!$L$2:$L$161,,1),TRUE,_xlfn.XLOOKUP($G42,ScoringTable!$S$2:$S$161,ScoringTable!$R$2:$R$161,,1))</f>
        <v>85</v>
      </c>
    </row>
    <row r="43" spans="1:13" s="7" customFormat="1" ht="16.05" customHeight="1">
      <c r="A43" s="243" t="s">
        <v>85</v>
      </c>
      <c r="B43" s="114" t="str">
        <f>IF(ISNA(VLOOKUP($F43,Declarations!B$6:C$185,2,FALSE)),"",IF(VLOOKUP($F43,Declarations!B$6:C$185,2,FALSE)="","NOT DECLARED",IF(ISNA(_xlfn.TEXTBEFORE(VLOOKUP($F43,Declarations!B$6:C$185,2,FALSE)," ")),VLOOKUP($F43,Declarations!B$6:C$185,2,FALSE),_xlfn.TEXTBEFORE(VLOOKUP($F43,Declarations!B$6:C$185,2,FALSE)," "))))</f>
        <v>FELIX</v>
      </c>
      <c r="C43" s="114" t="str">
        <f>IF(ISNA(VLOOKUP($F43,Declarations!B$6:C$185,2,FALSE)),"",IF(VLOOKUP($F43,Declarations!B$6:C$185,2,FALSE)="","NOT DECLARED",IF(ISNA(_xlfn.TEXTAFTER(VLOOKUP($F43,Declarations!B$6:C$185,2,FALSE)," ")),VLOOKUP($F43,Declarations!B$6:C$185,2,FALSE),_xlfn.TEXTAFTER(VLOOKUP($F43,Declarations!B$6:C$185,2,FALSE)," "))))</f>
        <v>POWERS</v>
      </c>
      <c r="D43" s="114" t="str">
        <f>IF(ISNA(VLOOKUP($F43,Declarations!$B$6:$F$185,5,FALSE)),"",IF(VLOOKUP($F43,Declarations!$B$6:$F$185,5,FALSE)="","NOT DECLARED",VLOOKUP($F43,Declarations!$B$6:$F$185,5,FALSE)))</f>
        <v>Camberley &amp; District AC</v>
      </c>
      <c r="E43" s="112" t="str">
        <f>IF(ISNA(VLOOKUP($F43,Declarations!$B$6:$D$185,3,FALSE)),"",IF(VLOOKUP($F43,Declarations!$B$6:$D$185,3,FALSE)="","NOT DECLARED",VLOOKUP($F43,Declarations!$B$6:$D$185,3,FALSE)&amp;LEFT(VLOOKUP($F43,Declarations!$B$6:$E$185,4,FALSE))))</f>
        <v>U12B</v>
      </c>
      <c r="F43" s="58">
        <v>17</v>
      </c>
      <c r="G43" s="122">
        <v>12.8</v>
      </c>
      <c r="H43" s="122"/>
      <c r="I43" s="114" t="str">
        <f>IF(ISNA(VLOOKUP(F43,Declarations!B$6:C$185,2,FALSE)),"",IF(VLOOKUP(F43,Declarations!B$6:C$185,2,FALSE)="","NOT DECLARED",VLOOKUP(F43,Declarations!B$6:C$185,2,FALSE)))</f>
        <v>FELIX POWERS</v>
      </c>
      <c r="J43" s="112">
        <f>IF(LOWER(G43)="dnf",1,IF(G43&lt;ScoringTable!B$3,ScoringTable!I$2,VLOOKUP((1000-G43),ScoringTable!G$2:I$95,3)))</f>
        <v>42</v>
      </c>
      <c r="K43" s="112" t="str">
        <f>IF(OR(E43="",G43=""),"",IF(RIGHT(E43,1)="G",_xlfn.XLOOKUP(G43,Data!$D$10:$L$10,Data!$D$9:$L$9,"",1,1),_xlfn.XLOOKUP(G43,Data!$D$3:$L$3,Data!$D$2:$L$2,"",1,1)))</f>
        <v>PB5</v>
      </c>
      <c r="L43" s="160" t="str" cm="1">
        <f t="array" ref="L43">IFERROR(_xlfn.IFNA(
                      _xlfn.IFS(
                      G43="", "",
                      AND(E43="U12B",G43&lt;=Data!$M$3), "U12 Boys record",
                      AND(E43="U12G",G43&lt;=Data!$M$10), "U12 Girls record"
                       ),""), "")</f>
        <v/>
      </c>
      <c r="M43" s="18" cm="1">
        <f t="array" ref="M43">_xlfn.IFS($G43="",0, AND(NOT(ISNUMBER($G43)),LOWER($G43)&lt;&gt;"dnf"),"Not a valid time",OR(LOWER($G43)="dnf",$G43&gt;ScoringTable!$M$161),1,RIGHT($E43,1)="B",_xlfn.XLOOKUP($G43,ScoringTable!$M$2:$M$161,ScoringTable!$L$2:$L$161,,1),TRUE,_xlfn.XLOOKUP($G43,ScoringTable!$S$2:$S$161,ScoringTable!$R$2:$R$161,,1))</f>
        <v>64</v>
      </c>
    </row>
    <row r="44" spans="1:13" s="7" customFormat="1" ht="16.05" customHeight="1">
      <c r="A44" s="243" t="s">
        <v>85</v>
      </c>
      <c r="B44" s="114" t="str">
        <f>IF(ISNA(VLOOKUP($F44,Declarations!B$6:C$185,2,FALSE)),"",IF(VLOOKUP($F44,Declarations!B$6:C$185,2,FALSE)="","NOT DECLARED",IF(ISNA(_xlfn.TEXTBEFORE(VLOOKUP($F44,Declarations!B$6:C$185,2,FALSE)," ")),VLOOKUP($F44,Declarations!B$6:C$185,2,FALSE),_xlfn.TEXTBEFORE(VLOOKUP($F44,Declarations!B$6:C$185,2,FALSE)," "))))</f>
        <v>MATTHEW</v>
      </c>
      <c r="C44" s="114" t="str">
        <f>IF(ISNA(VLOOKUP($F44,Declarations!B$6:C$185,2,FALSE)),"",IF(VLOOKUP($F44,Declarations!B$6:C$185,2,FALSE)="","NOT DECLARED",IF(ISNA(_xlfn.TEXTAFTER(VLOOKUP($F44,Declarations!B$6:C$185,2,FALSE)," ")),VLOOKUP($F44,Declarations!B$6:C$185,2,FALSE),_xlfn.TEXTAFTER(VLOOKUP($F44,Declarations!B$6:C$185,2,FALSE)," "))))</f>
        <v>LEWIS</v>
      </c>
      <c r="D44" s="114" t="str">
        <f>IF(ISNA(VLOOKUP($F44,Declarations!$B$6:$F$185,5,FALSE)),"",IF(VLOOKUP($F44,Declarations!$B$6:$F$185,5,FALSE)="","NOT DECLARED",VLOOKUP($F44,Declarations!$B$6:$F$185,5,FALSE)))</f>
        <v>Woking AC</v>
      </c>
      <c r="E44" s="112" t="str">
        <f>IF(ISNA(VLOOKUP($F44,Declarations!$B$6:$D$185,3,FALSE)),"",IF(VLOOKUP($F44,Declarations!$B$6:$D$185,3,FALSE)="","NOT DECLARED",VLOOKUP($F44,Declarations!$B$6:$D$185,3,FALSE)&amp;LEFT(VLOOKUP($F44,Declarations!$B$6:$E$185,4,FALSE))))</f>
        <v>U12B</v>
      </c>
      <c r="F44" s="58">
        <v>38</v>
      </c>
      <c r="G44" s="122">
        <v>12.9</v>
      </c>
      <c r="H44" s="122"/>
      <c r="I44" s="114" t="str">
        <f>IF(ISNA(VLOOKUP(F44,Declarations!B$6:C$185,2,FALSE)),"",IF(VLOOKUP(F44,Declarations!B$6:C$185,2,FALSE)="","NOT DECLARED",VLOOKUP(F44,Declarations!B$6:C$185,2,FALSE)))</f>
        <v>MATTHEW LEWIS</v>
      </c>
      <c r="J44" s="112">
        <f>IF(LOWER(G44)="dnf",1,IF(G44&lt;ScoringTable!B$3,ScoringTable!I$2,VLOOKUP((1000-G44),ScoringTable!G$2:I$95,3)))</f>
        <v>41</v>
      </c>
      <c r="K44" s="112" t="str">
        <f>IF(OR(E44="",G44=""),"",IF(RIGHT(E44,1)="G",_xlfn.XLOOKUP(G44,Data!$D$10:$L$10,Data!$D$9:$L$9,"",1,1),_xlfn.XLOOKUP(G44,Data!$D$3:$L$3,Data!$D$2:$L$2,"",1,1)))</f>
        <v>PB5</v>
      </c>
      <c r="L44" s="160" t="str" cm="1">
        <f t="array" ref="L44">IFERROR(_xlfn.IFNA(
                      _xlfn.IFS(
                      G44="", "",
                      AND(E44="U12B",G44&lt;=Data!$M$3), "U12 Boys record",
                      AND(E44="U12G",G44&lt;=Data!$M$10), "U12 Girls record"
                       ),""), "")</f>
        <v/>
      </c>
      <c r="M44" s="18" cm="1">
        <f t="array" ref="M44">_xlfn.IFS($G44="",0, AND(NOT(ISNUMBER($G44)),LOWER($G44)&lt;&gt;"dnf"),"Not a valid time",OR(LOWER($G44)="dnf",$G44&gt;ScoringTable!$M$161),1,RIGHT($E44,1)="B",_xlfn.XLOOKUP($G44,ScoringTable!$M$2:$M$161,ScoringTable!$L$2:$L$161,,1),TRUE,_xlfn.XLOOKUP($G44,ScoringTable!$S$2:$S$161,ScoringTable!$R$2:$R$161,,1))</f>
        <v>62</v>
      </c>
    </row>
    <row r="45" spans="1:13" s="7" customFormat="1" ht="16.05" customHeight="1">
      <c r="A45" s="243" t="s">
        <v>85</v>
      </c>
      <c r="B45" s="114" t="str">
        <f>IF(ISNA(VLOOKUP($F45,Declarations!B$6:C$185,2,FALSE)),"",IF(VLOOKUP($F45,Declarations!B$6:C$185,2,FALSE)="","NOT DECLARED",IF(ISNA(_xlfn.TEXTBEFORE(VLOOKUP($F45,Declarations!B$6:C$185,2,FALSE)," ")),VLOOKUP($F45,Declarations!B$6:C$185,2,FALSE),_xlfn.TEXTBEFORE(VLOOKUP($F45,Declarations!B$6:C$185,2,FALSE)," "))))</f>
        <v>SAM</v>
      </c>
      <c r="C45" s="114" t="str">
        <f>IF(ISNA(VLOOKUP($F45,Declarations!B$6:C$185,2,FALSE)),"",IF(VLOOKUP($F45,Declarations!B$6:C$185,2,FALSE)="","NOT DECLARED",IF(ISNA(_xlfn.TEXTAFTER(VLOOKUP($F45,Declarations!B$6:C$185,2,FALSE)," ")),VLOOKUP($F45,Declarations!B$6:C$185,2,FALSE),_xlfn.TEXTAFTER(VLOOKUP($F45,Declarations!B$6:C$185,2,FALSE)," "))))</f>
        <v>SUCKLING</v>
      </c>
      <c r="D45" s="114" t="str">
        <f>IF(ISNA(VLOOKUP($F45,Declarations!$B$6:$F$185,5,FALSE)),"",IF(VLOOKUP($F45,Declarations!$B$6:$F$185,5,FALSE)="","NOT DECLARED",VLOOKUP($F45,Declarations!$B$6:$F$185,5,FALSE)))</f>
        <v>Poole Runners</v>
      </c>
      <c r="E45" s="112" t="str">
        <f>IF(ISNA(VLOOKUP($F45,Declarations!$B$6:$D$185,3,FALSE)),"",IF(VLOOKUP($F45,Declarations!$B$6:$D$185,3,FALSE)="","NOT DECLARED",VLOOKUP($F45,Declarations!$B$6:$D$185,3,FALSE)&amp;LEFT(VLOOKUP($F45,Declarations!$B$6:$E$185,4,FALSE))))</f>
        <v>U12B</v>
      </c>
      <c r="F45" s="58">
        <v>57</v>
      </c>
      <c r="G45" s="122">
        <v>13.1</v>
      </c>
      <c r="H45" s="122"/>
      <c r="I45" s="114" t="str">
        <f>IF(ISNA(VLOOKUP(F45,Declarations!B$6:C$185,2,FALSE)),"",IF(VLOOKUP(F45,Declarations!B$6:C$185,2,FALSE)="","NOT DECLARED",VLOOKUP(F45,Declarations!B$6:C$185,2,FALSE)))</f>
        <v>SAM SUCKLING</v>
      </c>
      <c r="J45" s="112">
        <f>IF(LOWER(G45)="dnf",1,IF(G45&lt;ScoringTable!B$3,ScoringTable!I$2,VLOOKUP((1000-G45),ScoringTable!G$2:I$95,3)))</f>
        <v>39</v>
      </c>
      <c r="K45" s="112" t="str">
        <f>IF(OR(E45="",G45=""),"",IF(RIGHT(E45,1)="G",_xlfn.XLOOKUP(G45,Data!$D$10:$L$10,Data!$D$9:$L$9,"",1,1),_xlfn.XLOOKUP(G45,Data!$D$3:$L$3,Data!$D$2:$L$2,"",1,1)))</f>
        <v>PB4</v>
      </c>
      <c r="L45" s="160" t="str" cm="1">
        <f t="array" ref="L45">IFERROR(_xlfn.IFNA(
                      _xlfn.IFS(
                      G45="", "",
                      AND(E45="U12B",G45&lt;=Data!$M$3), "U12 Boys record",
                      AND(E45="U12G",G45&lt;=Data!$M$10), "U12 Girls record"
                       ),""), "")</f>
        <v/>
      </c>
      <c r="M45" s="18" cm="1">
        <f t="array" ref="M45">_xlfn.IFS($G45="",0, AND(NOT(ISNUMBER($G45)),LOWER($G45)&lt;&gt;"dnf"),"Not a valid time",OR(LOWER($G45)="dnf",$G45&gt;ScoringTable!$M$161),1,RIGHT($E45,1)="B",_xlfn.XLOOKUP($G45,ScoringTable!$M$2:$M$161,ScoringTable!$L$2:$L$161,,1),TRUE,_xlfn.XLOOKUP($G45,ScoringTable!$S$2:$S$161,ScoringTable!$R$2:$R$161,,1))</f>
        <v>58</v>
      </c>
    </row>
    <row r="46" spans="1:13" s="7" customFormat="1" ht="16.05" customHeight="1">
      <c r="A46" s="243" t="s">
        <v>85</v>
      </c>
      <c r="B46" s="114" t="str">
        <f>IF(ISNA(VLOOKUP($F46,Declarations!B$6:C$185,2,FALSE)),"",IF(VLOOKUP($F46,Declarations!B$6:C$185,2,FALSE)="","NOT DECLARED",IF(ISNA(_xlfn.TEXTBEFORE(VLOOKUP($F46,Declarations!B$6:C$185,2,FALSE)," ")),VLOOKUP($F46,Declarations!B$6:C$185,2,FALSE),_xlfn.TEXTBEFORE(VLOOKUP($F46,Declarations!B$6:C$185,2,FALSE)," "))))</f>
        <v>OWEN</v>
      </c>
      <c r="C46" s="114" t="str">
        <f>IF(ISNA(VLOOKUP($F46,Declarations!B$6:C$185,2,FALSE)),"",IF(VLOOKUP($F46,Declarations!B$6:C$185,2,FALSE)="","NOT DECLARED",IF(ISNA(_xlfn.TEXTAFTER(VLOOKUP($F46,Declarations!B$6:C$185,2,FALSE)," ")),VLOOKUP($F46,Declarations!B$6:C$185,2,FALSE),_xlfn.TEXTAFTER(VLOOKUP($F46,Declarations!B$6:C$185,2,FALSE)," "))))</f>
        <v>BRAYBOOKE</v>
      </c>
      <c r="D46" s="114" t="str">
        <f>IF(ISNA(VLOOKUP($F46,Declarations!$B$6:$F$185,5,FALSE)),"",IF(VLOOKUP($F46,Declarations!$B$6:$F$185,5,FALSE)="","NOT DECLARED",VLOOKUP($F46,Declarations!$B$6:$F$185,5,FALSE)))</f>
        <v>Woking AC</v>
      </c>
      <c r="E46" s="112" t="str">
        <f>IF(ISNA(VLOOKUP($F46,Declarations!$B$6:$D$185,3,FALSE)),"",IF(VLOOKUP($F46,Declarations!$B$6:$D$185,3,FALSE)="","NOT DECLARED",VLOOKUP($F46,Declarations!$B$6:$D$185,3,FALSE)&amp;LEFT(VLOOKUP($F46,Declarations!$B$6:$E$185,4,FALSE))))</f>
        <v>U12B</v>
      </c>
      <c r="F46" s="58">
        <v>40</v>
      </c>
      <c r="G46" s="122">
        <v>11.1</v>
      </c>
      <c r="H46" s="122"/>
      <c r="I46" s="114" t="str">
        <f>IF(ISNA(VLOOKUP(F46,Declarations!B$6:C$185,2,FALSE)),"",IF(VLOOKUP(F46,Declarations!B$6:C$185,2,FALSE)="","NOT DECLARED",VLOOKUP(F46,Declarations!B$6:C$185,2,FALSE)))</f>
        <v>OWEN BRAYBOOKE</v>
      </c>
      <c r="J46" s="112">
        <f>IF(LOWER(G46)="dnf",1,IF(G46&lt;ScoringTable!B$3,ScoringTable!I$2,VLOOKUP((1000-G46),ScoringTable!G$2:I$95,3)))</f>
        <v>59</v>
      </c>
      <c r="K46" s="112" t="str">
        <f>IF(OR(E46="",G46=""),"",IF(RIGHT(E46,1)="G",_xlfn.XLOOKUP(G46,Data!$D$10:$L$10,Data!$D$9:$L$9,"",1,1),_xlfn.XLOOKUP(G46,Data!$D$3:$L$3,Data!$D$2:$L$2,"",1,1)))</f>
        <v>PB9</v>
      </c>
      <c r="L46" s="160" t="str" cm="1">
        <f t="array" ref="L46">IFERROR(_xlfn.IFNA(
                      _xlfn.IFS(
                      G46="", "",
                      AND(E46="U12B",G46&lt;=Data!$M$3), "U12 Boys record",
                      AND(E46="U12G",G46&lt;=Data!$M$10), "U12 Girls record"
                       ),""), "")</f>
        <v/>
      </c>
      <c r="M46" s="18" cm="1">
        <f t="array" ref="M46">_xlfn.IFS($G46="",0, AND(NOT(ISNUMBER($G46)),LOWER($G46)&lt;&gt;"dnf"),"Not a valid time",OR(LOWER($G46)="dnf",$G46&gt;ScoringTable!$M$161),1,RIGHT($E46,1)="B",_xlfn.XLOOKUP($G46,ScoringTable!$M$2:$M$161,ScoringTable!$L$2:$L$161,,1),TRUE,_xlfn.XLOOKUP($G46,ScoringTable!$S$2:$S$161,ScoringTable!$R$2:$R$161,,1))</f>
        <v>102</v>
      </c>
    </row>
    <row r="47" spans="1:13" s="7" customFormat="1" ht="16.05" customHeight="1">
      <c r="A47" s="243" t="s">
        <v>85</v>
      </c>
      <c r="B47" s="114" t="str">
        <f>IF(ISNA(VLOOKUP($F47,Declarations!B$6:C$185,2,FALSE)),"",IF(VLOOKUP($F47,Declarations!B$6:C$185,2,FALSE)="","NOT DECLARED",IF(ISNA(_xlfn.TEXTBEFORE(VLOOKUP($F47,Declarations!B$6:C$185,2,FALSE)," ")),VLOOKUP($F47,Declarations!B$6:C$185,2,FALSE),_xlfn.TEXTBEFORE(VLOOKUP($F47,Declarations!B$6:C$185,2,FALSE)," "))))</f>
        <v>FINLAY</v>
      </c>
      <c r="C47" s="114" t="str">
        <f>IF(ISNA(VLOOKUP($F47,Declarations!B$6:C$185,2,FALSE)),"",IF(VLOOKUP($F47,Declarations!B$6:C$185,2,FALSE)="","NOT DECLARED",IF(ISNA(_xlfn.TEXTAFTER(VLOOKUP($F47,Declarations!B$6:C$185,2,FALSE)," ")),VLOOKUP($F47,Declarations!B$6:C$185,2,FALSE),_xlfn.TEXTAFTER(VLOOKUP($F47,Declarations!B$6:C$185,2,FALSE)," "))))</f>
        <v>KENYON</v>
      </c>
      <c r="D47" s="114" t="str">
        <f>IF(ISNA(VLOOKUP($F47,Declarations!$B$6:$F$185,5,FALSE)),"",IF(VLOOKUP($F47,Declarations!$B$6:$F$185,5,FALSE)="","NOT DECLARED",VLOOKUP($F47,Declarations!$B$6:$F$185,5,FALSE)))</f>
        <v>Poole Runners</v>
      </c>
      <c r="E47" s="112" t="str">
        <f>IF(ISNA(VLOOKUP($F47,Declarations!$B$6:$D$185,3,FALSE)),"",IF(VLOOKUP($F47,Declarations!$B$6:$D$185,3,FALSE)="","NOT DECLARED",VLOOKUP($F47,Declarations!$B$6:$D$185,3,FALSE)&amp;LEFT(VLOOKUP($F47,Declarations!$B$6:$E$185,4,FALSE))))</f>
        <v>U12B</v>
      </c>
      <c r="F47" s="58">
        <v>58</v>
      </c>
      <c r="G47" s="122">
        <v>12</v>
      </c>
      <c r="H47" s="122"/>
      <c r="I47" s="114" t="str">
        <f>IF(ISNA(VLOOKUP(F47,Declarations!B$6:C$185,2,FALSE)),"",IF(VLOOKUP(F47,Declarations!B$6:C$185,2,FALSE)="","NOT DECLARED",VLOOKUP(F47,Declarations!B$6:C$185,2,FALSE)))</f>
        <v>FINLAY KENYON</v>
      </c>
      <c r="J47" s="112">
        <f>IF(LOWER(G47)="dnf",1,IF(G47&lt;ScoringTable!B$3,ScoringTable!I$2,VLOOKUP((1000-G47),ScoringTable!G$2:I$95,3)))</f>
        <v>50</v>
      </c>
      <c r="K47" s="112" t="str">
        <f>IF(OR(E47="",G47=""),"",IF(RIGHT(E47,1)="G",_xlfn.XLOOKUP(G47,Data!$D$10:$L$10,Data!$D$9:$L$9,"",1,1),_xlfn.XLOOKUP(G47,Data!$D$3:$L$3,Data!$D$2:$L$2,"",1,1)))</f>
        <v>PB7</v>
      </c>
      <c r="L47" s="160" t="str" cm="1">
        <f t="array" ref="L47">IFERROR(_xlfn.IFNA(
                      _xlfn.IFS(
                      G47="", "",
                      AND(E47="U12B",G47&lt;=Data!$M$3), "U12 Boys record",
                      AND(E47="U12G",G47&lt;=Data!$M$10), "U12 Girls record"
                       ),""), "")</f>
        <v/>
      </c>
      <c r="M47" s="18" cm="1">
        <f t="array" ref="M47">_xlfn.IFS($G47="",0, AND(NOT(ISNUMBER($G47)),LOWER($G47)&lt;&gt;"dnf"),"Not a valid time",OR(LOWER($G47)="dnf",$G47&gt;ScoringTable!$M$161),1,RIGHT($E47,1)="B",_xlfn.XLOOKUP($G47,ScoringTable!$M$2:$M$161,ScoringTable!$L$2:$L$161,,1),TRUE,_xlfn.XLOOKUP($G47,ScoringTable!$S$2:$S$161,ScoringTable!$R$2:$R$161,,1))</f>
        <v>80</v>
      </c>
    </row>
    <row r="48" spans="1:13" s="7" customFormat="1" ht="16.05" customHeight="1">
      <c r="A48" s="243" t="s">
        <v>85</v>
      </c>
      <c r="B48" s="114" t="str">
        <f>IF(ISNA(VLOOKUP($F48,Declarations!B$6:C$185,2,FALSE)),"",IF(VLOOKUP($F48,Declarations!B$6:C$185,2,FALSE)="","NOT DECLARED",IF(ISNA(_xlfn.TEXTBEFORE(VLOOKUP($F48,Declarations!B$6:C$185,2,FALSE)," ")),VLOOKUP($F48,Declarations!B$6:C$185,2,FALSE),_xlfn.TEXTBEFORE(VLOOKUP($F48,Declarations!B$6:C$185,2,FALSE)," "))))</f>
        <v>ETHAN</v>
      </c>
      <c r="C48" s="114" t="str">
        <f>IF(ISNA(VLOOKUP($F48,Declarations!B$6:C$185,2,FALSE)),"",IF(VLOOKUP($F48,Declarations!B$6:C$185,2,FALSE)="","NOT DECLARED",IF(ISNA(_xlfn.TEXTAFTER(VLOOKUP($F48,Declarations!B$6:C$185,2,FALSE)," ")),VLOOKUP($F48,Declarations!B$6:C$185,2,FALSE),_xlfn.TEXTAFTER(VLOOKUP($F48,Declarations!B$6:C$185,2,FALSE)," "))))</f>
        <v>WEIGHT</v>
      </c>
      <c r="D48" s="114" t="str">
        <f>IF(ISNA(VLOOKUP($F48,Declarations!$B$6:$F$185,5,FALSE)),"",IF(VLOOKUP($F48,Declarations!$B$6:$F$185,5,FALSE)="","NOT DECLARED",VLOOKUP($F48,Declarations!$B$6:$F$185,5,FALSE)))</f>
        <v>Basingstoke &amp; Mid Hants AC</v>
      </c>
      <c r="E48" s="112" t="str">
        <f>IF(ISNA(VLOOKUP($F48,Declarations!$B$6:$D$185,3,FALSE)),"",IF(VLOOKUP($F48,Declarations!$B$6:$D$185,3,FALSE)="","NOT DECLARED",VLOOKUP($F48,Declarations!$B$6:$D$185,3,FALSE)&amp;LEFT(VLOOKUP($F48,Declarations!$B$6:$E$185,4,FALSE))))</f>
        <v>U12B</v>
      </c>
      <c r="F48" s="58">
        <v>120</v>
      </c>
      <c r="G48" s="122">
        <v>12.2</v>
      </c>
      <c r="H48" s="122"/>
      <c r="I48" s="114" t="str">
        <f>IF(ISNA(VLOOKUP(F48,Declarations!B$6:C$185,2,FALSE)),"",IF(VLOOKUP(F48,Declarations!B$6:C$185,2,FALSE)="","NOT DECLARED",VLOOKUP(F48,Declarations!B$6:C$185,2,FALSE)))</f>
        <v>ETHAN WEIGHT</v>
      </c>
      <c r="J48" s="112">
        <f>IF(LOWER(G48)="dnf",1,IF(G48&lt;ScoringTable!B$3,ScoringTable!I$2,VLOOKUP((1000-G48),ScoringTable!G$2:I$95,3)))</f>
        <v>48</v>
      </c>
      <c r="K48" s="112" t="str">
        <f>IF(OR(E48="",G48=""),"",IF(RIGHT(E48,1)="G",_xlfn.XLOOKUP(G48,Data!$D$10:$L$10,Data!$D$9:$L$9,"",1,1),_xlfn.XLOOKUP(G48,Data!$D$3:$L$3,Data!$D$2:$L$2,"",1,1)))</f>
        <v>PB6</v>
      </c>
      <c r="L48" s="160" t="str" cm="1">
        <f t="array" ref="L48">IFERROR(_xlfn.IFNA(
                      _xlfn.IFS(
                      G48="", "",
                      AND(E48="U12B",G48&lt;=Data!$M$3), "U12 Boys record",
                      AND(E48="U12G",G48&lt;=Data!$M$10), "U12 Girls record"
                       ),""), "")</f>
        <v/>
      </c>
      <c r="M48" s="18" cm="1">
        <f t="array" ref="M48">_xlfn.IFS($G48="",0, AND(NOT(ISNUMBER($G48)),LOWER($G48)&lt;&gt;"dnf"),"Not a valid time",OR(LOWER($G48)="dnf",$G48&gt;ScoringTable!$M$161),1,RIGHT($E48,1)="B",_xlfn.XLOOKUP($G48,ScoringTable!$M$2:$M$161,ScoringTable!$L$2:$L$161,,1),TRUE,_xlfn.XLOOKUP($G48,ScoringTable!$S$2:$S$161,ScoringTable!$R$2:$R$161,,1))</f>
        <v>76</v>
      </c>
    </row>
    <row r="49" spans="1:13" s="7" customFormat="1" ht="16.05" customHeight="1">
      <c r="A49" s="243" t="s">
        <v>85</v>
      </c>
      <c r="B49" s="114" t="str">
        <f>IF(ISNA(VLOOKUP($F49,Declarations!B$6:C$185,2,FALSE)),"",IF(VLOOKUP($F49,Declarations!B$6:C$185,2,FALSE)="","NOT DECLARED",IF(ISNA(_xlfn.TEXTBEFORE(VLOOKUP($F49,Declarations!B$6:C$185,2,FALSE)," ")),VLOOKUP($F49,Declarations!B$6:C$185,2,FALSE),_xlfn.TEXTBEFORE(VLOOKUP($F49,Declarations!B$6:C$185,2,FALSE)," "))))</f>
        <v>ALEX</v>
      </c>
      <c r="C49" s="114" t="str">
        <f>IF(ISNA(VLOOKUP($F49,Declarations!B$6:C$185,2,FALSE)),"",IF(VLOOKUP($F49,Declarations!B$6:C$185,2,FALSE)="","NOT DECLARED",IF(ISNA(_xlfn.TEXTAFTER(VLOOKUP($F49,Declarations!B$6:C$185,2,FALSE)," ")),VLOOKUP($F49,Declarations!B$6:C$185,2,FALSE),_xlfn.TEXTAFTER(VLOOKUP($F49,Declarations!B$6:C$185,2,FALSE)," "))))</f>
        <v>WILKINSON</v>
      </c>
      <c r="D49" s="114" t="str">
        <f>IF(ISNA(VLOOKUP($F49,Declarations!$B$6:$F$185,5,FALSE)),"",IF(VLOOKUP($F49,Declarations!$B$6:$F$185,5,FALSE)="","NOT DECLARED",VLOOKUP($F49,Declarations!$B$6:$F$185,5,FALSE)))</f>
        <v>Basingstoke &amp; Mid Hants AC</v>
      </c>
      <c r="E49" s="112" t="str">
        <f>IF(ISNA(VLOOKUP($F49,Declarations!$B$6:$D$185,3,FALSE)),"",IF(VLOOKUP($F49,Declarations!$B$6:$D$185,3,FALSE)="","NOT DECLARED",VLOOKUP($F49,Declarations!$B$6:$D$185,3,FALSE)&amp;LEFT(VLOOKUP($F49,Declarations!$B$6:$E$185,4,FALSE))))</f>
        <v>U12B</v>
      </c>
      <c r="F49" s="58">
        <v>119</v>
      </c>
      <c r="G49" s="122">
        <v>12.5</v>
      </c>
      <c r="H49" s="122"/>
      <c r="I49" s="114" t="str">
        <f>IF(ISNA(VLOOKUP(F49,Declarations!B$6:C$185,2,FALSE)),"",IF(VLOOKUP(F49,Declarations!B$6:C$185,2,FALSE)="","NOT DECLARED",VLOOKUP(F49,Declarations!B$6:C$185,2,FALSE)))</f>
        <v>ALEX WILKINSON</v>
      </c>
      <c r="J49" s="112">
        <f>IF(LOWER(G49)="dnf",1,IF(G49&lt;ScoringTable!B$3,ScoringTable!I$2,VLOOKUP((1000-G49),ScoringTable!G$2:I$95,3)))</f>
        <v>45</v>
      </c>
      <c r="K49" s="112" t="str">
        <f>IF(OR(E49="",G49=""),"",IF(RIGHT(E49,1)="G",_xlfn.XLOOKUP(G49,Data!$D$10:$L$10,Data!$D$9:$L$9,"",1,1),_xlfn.XLOOKUP(G49,Data!$D$3:$L$3,Data!$D$2:$L$2,"",1,1)))</f>
        <v>PB6</v>
      </c>
      <c r="L49" s="160" t="str" cm="1">
        <f t="array" ref="L49">IFERROR(_xlfn.IFNA(
                      _xlfn.IFS(
                      G49="", "",
                      AND(E49="U12B",G49&lt;=Data!$M$3), "U12 Boys record",
                      AND(E49="U12G",G49&lt;=Data!$M$10), "U12 Girls record"
                       ),""), "")</f>
        <v/>
      </c>
      <c r="M49" s="18" cm="1">
        <f t="array" ref="M49">_xlfn.IFS($G49="",0, AND(NOT(ISNUMBER($G49)),LOWER($G49)&lt;&gt;"dnf"),"Not a valid time",OR(LOWER($G49)="dnf",$G49&gt;ScoringTable!$M$161),1,RIGHT($E49,1)="B",_xlfn.XLOOKUP($G49,ScoringTable!$M$2:$M$161,ScoringTable!$L$2:$L$161,,1),TRUE,_xlfn.XLOOKUP($G49,ScoringTable!$S$2:$S$161,ScoringTable!$R$2:$R$161,,1))</f>
        <v>70</v>
      </c>
    </row>
    <row r="50" spans="1:13" s="7" customFormat="1" ht="16.05" customHeight="1">
      <c r="A50" s="243" t="s">
        <v>85</v>
      </c>
      <c r="B50" s="114" t="str">
        <f>IF(ISNA(VLOOKUP($F50,Declarations!B$6:C$185,2,FALSE)),"",IF(VLOOKUP($F50,Declarations!B$6:C$185,2,FALSE)="","NOT DECLARED",IF(ISNA(_xlfn.TEXTBEFORE(VLOOKUP($F50,Declarations!B$6:C$185,2,FALSE)," ")),VLOOKUP($F50,Declarations!B$6:C$185,2,FALSE),_xlfn.TEXTBEFORE(VLOOKUP($F50,Declarations!B$6:C$185,2,FALSE)," "))))</f>
        <v>CADEN</v>
      </c>
      <c r="C50" s="114" t="str">
        <f>IF(ISNA(VLOOKUP($F50,Declarations!B$6:C$185,2,FALSE)),"",IF(VLOOKUP($F50,Declarations!B$6:C$185,2,FALSE)="","NOT DECLARED",IF(ISNA(_xlfn.TEXTAFTER(VLOOKUP($F50,Declarations!B$6:C$185,2,FALSE)," ")),VLOOKUP($F50,Declarations!B$6:C$185,2,FALSE),_xlfn.TEXTAFTER(VLOOKUP($F50,Declarations!B$6:C$185,2,FALSE)," "))))</f>
        <v>LUCAS</v>
      </c>
      <c r="D50" s="114" t="str">
        <f>IF(ISNA(VLOOKUP($F50,Declarations!$B$6:$F$185,5,FALSE)),"",IF(VLOOKUP($F50,Declarations!$B$6:$F$185,5,FALSE)="","NOT DECLARED",VLOOKUP($F50,Declarations!$B$6:$F$185,5,FALSE)))</f>
        <v>Camberley &amp; District AC</v>
      </c>
      <c r="E50" s="112" t="str">
        <f>IF(ISNA(VLOOKUP($F50,Declarations!$B$6:$D$185,3,FALSE)),"",IF(VLOOKUP($F50,Declarations!$B$6:$D$185,3,FALSE)="","NOT DECLARED",VLOOKUP($F50,Declarations!$B$6:$D$185,3,FALSE)&amp;LEFT(VLOOKUP($F50,Declarations!$B$6:$E$185,4,FALSE))))</f>
        <v>U12B</v>
      </c>
      <c r="F50" s="58">
        <v>18</v>
      </c>
      <c r="G50" s="122">
        <v>13.7</v>
      </c>
      <c r="H50" s="122"/>
      <c r="I50" s="114" t="str">
        <f>IF(ISNA(VLOOKUP(F50,Declarations!B$6:C$185,2,FALSE)),"",IF(VLOOKUP(F50,Declarations!B$6:C$185,2,FALSE)="","NOT DECLARED",VLOOKUP(F50,Declarations!B$6:C$185,2,FALSE)))</f>
        <v>CADEN LUCAS</v>
      </c>
      <c r="J50" s="112">
        <f>IF(LOWER(G50)="dnf",1,IF(G50&lt;ScoringTable!B$3,ScoringTable!I$2,VLOOKUP((1000-G50),ScoringTable!G$2:I$95,3)))</f>
        <v>33</v>
      </c>
      <c r="K50" s="112" t="str">
        <f>IF(OR(E50="",G50=""),"",IF(RIGHT(E50,1)="G",_xlfn.XLOOKUP(G50,Data!$D$10:$L$10,Data!$D$9:$L$9,"",1,1),_xlfn.XLOOKUP(G50,Data!$D$3:$L$3,Data!$D$2:$L$2,"",1,1)))</f>
        <v>PB3</v>
      </c>
      <c r="L50" s="160" t="str" cm="1">
        <f t="array" ref="L50">IFERROR(_xlfn.IFNA(
                      _xlfn.IFS(
                      G50="", "",
                      AND(E50="U12B",G50&lt;=Data!$M$3), "U12 Boys record",
                      AND(E50="U12G",G50&lt;=Data!$M$10), "U12 Girls record"
                       ),""), "")</f>
        <v/>
      </c>
      <c r="M50" s="18" cm="1">
        <f t="array" ref="M50">_xlfn.IFS($G50="",0, AND(NOT(ISNUMBER($G50)),LOWER($G50)&lt;&gt;"dnf"),"Not a valid time",OR(LOWER($G50)="dnf",$G50&gt;ScoringTable!$M$161),1,RIGHT($E50,1)="B",_xlfn.XLOOKUP($G50,ScoringTable!$M$2:$M$161,ScoringTable!$L$2:$L$161,,1),TRUE,_xlfn.XLOOKUP($G50,ScoringTable!$S$2:$S$161,ScoringTable!$R$2:$R$161,,1))</f>
        <v>46</v>
      </c>
    </row>
    <row r="51" spans="1:13" s="7" customFormat="1" ht="16.05" customHeight="1">
      <c r="A51" s="243" t="s">
        <v>85</v>
      </c>
      <c r="B51" s="114" t="str">
        <f>IF(ISNA(VLOOKUP($F51,Declarations!B$6:C$185,2,FALSE)),"",IF(VLOOKUP($F51,Declarations!B$6:C$185,2,FALSE)="","NOT DECLARED",IF(ISNA(_xlfn.TEXTBEFORE(VLOOKUP($F51,Declarations!B$6:C$185,2,FALSE)," ")),VLOOKUP($F51,Declarations!B$6:C$185,2,FALSE),_xlfn.TEXTBEFORE(VLOOKUP($F51,Declarations!B$6:C$185,2,FALSE)," "))))</f>
        <v>EVNI</v>
      </c>
      <c r="C51" s="114" t="str">
        <f>IF(ISNA(VLOOKUP($F51,Declarations!B$6:C$185,2,FALSE)),"",IF(VLOOKUP($F51,Declarations!B$6:C$185,2,FALSE)="","NOT DECLARED",IF(ISNA(_xlfn.TEXTAFTER(VLOOKUP($F51,Declarations!B$6:C$185,2,FALSE)," ")),VLOOKUP($F51,Declarations!B$6:C$185,2,FALSE),_xlfn.TEXTAFTER(VLOOKUP($F51,Declarations!B$6:C$185,2,FALSE)," "))))</f>
        <v>DUNUSINGHE</v>
      </c>
      <c r="D51" s="114" t="str">
        <f>IF(ISNA(VLOOKUP($F51,Declarations!$B$6:$F$185,5,FALSE)),"",IF(VLOOKUP($F51,Declarations!$B$6:$F$185,5,FALSE)="","NOT DECLARED",VLOOKUP($F51,Declarations!$B$6:$F$185,5,FALSE)))</f>
        <v>Camberley &amp; District AC</v>
      </c>
      <c r="E51" s="112" t="str">
        <f>IF(ISNA(VLOOKUP($F51,Declarations!$B$6:$D$185,3,FALSE)),"",IF(VLOOKUP($F51,Declarations!$B$6:$D$185,3,FALSE)="","NOT DECLARED",VLOOKUP($F51,Declarations!$B$6:$D$185,3,FALSE)&amp;LEFT(VLOOKUP($F51,Declarations!$B$6:$E$185,4,FALSE))))</f>
        <v>U12G</v>
      </c>
      <c r="F51" s="58">
        <v>1</v>
      </c>
      <c r="G51" s="122">
        <v>11.4</v>
      </c>
      <c r="H51" s="122"/>
      <c r="I51" s="114" t="str">
        <f>IF(ISNA(VLOOKUP(F51,Declarations!B$6:C$185,2,FALSE)),"",IF(VLOOKUP(F51,Declarations!B$6:C$185,2,FALSE)="","NOT DECLARED",VLOOKUP(F51,Declarations!B$6:C$185,2,FALSE)))</f>
        <v>EVNI DUNUSINGHE</v>
      </c>
      <c r="J51" s="112">
        <f>IF(LOWER(G51)="dnf",1,IF(G51&lt;ScoringTable!B$3,ScoringTable!I$2,VLOOKUP((1000-G51),ScoringTable!G$2:I$95,3)))</f>
        <v>56</v>
      </c>
      <c r="K51" s="112" t="str">
        <f>IF(OR(E51="",G51=""),"",IF(RIGHT(E51,1)="G",_xlfn.XLOOKUP(G51,Data!$D$10:$L$10,Data!$D$9:$L$9,"",1,1),_xlfn.XLOOKUP(G51,Data!$D$3:$L$3,Data!$D$2:$L$2,"",1,1)))</f>
        <v>PB9</v>
      </c>
      <c r="L51" s="160" t="str" cm="1">
        <f t="array" ref="L51">IFERROR(_xlfn.IFNA(
                      _xlfn.IFS(
                      G51="", "",
                      AND(E51="U12B",G51&lt;=Data!$M$3), "U12 Boys record",
                      AND(E51="U12G",G51&lt;=Data!$M$10), "U12 Girls record"
                       ),""), "")</f>
        <v/>
      </c>
      <c r="M51" s="18" cm="1">
        <f t="array" ref="M51">_xlfn.IFS($G51="",0, AND(NOT(ISNUMBER($G51)),LOWER($G51)&lt;&gt;"dnf"),"Not a valid time",OR(LOWER($G51)="dnf",$G51&gt;ScoringTable!$M$161),1,RIGHT($E51,1)="B",_xlfn.XLOOKUP($G51,ScoringTable!$M$2:$M$161,ScoringTable!$L$2:$L$161,,1),TRUE,_xlfn.XLOOKUP($G51,ScoringTable!$S$2:$S$161,ScoringTable!$R$2:$R$161,,1))</f>
        <v>106</v>
      </c>
    </row>
    <row r="52" spans="1:13" s="7" customFormat="1" ht="16.05" customHeight="1">
      <c r="A52" s="243" t="s">
        <v>85</v>
      </c>
      <c r="B52" s="114" t="str">
        <f>IF(ISNA(VLOOKUP($F52,Declarations!B$6:C$185,2,FALSE)),"",IF(VLOOKUP($F52,Declarations!B$6:C$185,2,FALSE)="","NOT DECLARED",IF(ISNA(_xlfn.TEXTBEFORE(VLOOKUP($F52,Declarations!B$6:C$185,2,FALSE)," ")),VLOOKUP($F52,Declarations!B$6:C$185,2,FALSE),_xlfn.TEXTBEFORE(VLOOKUP($F52,Declarations!B$6:C$185,2,FALSE)," "))))</f>
        <v>MARCY</v>
      </c>
      <c r="C52" s="114" t="str">
        <f>IF(ISNA(VLOOKUP($F52,Declarations!B$6:C$185,2,FALSE)),"",IF(VLOOKUP($F52,Declarations!B$6:C$185,2,FALSE)="","NOT DECLARED",IF(ISNA(_xlfn.TEXTAFTER(VLOOKUP($F52,Declarations!B$6:C$185,2,FALSE)," ")),VLOOKUP($F52,Declarations!B$6:C$185,2,FALSE),_xlfn.TEXTAFTER(VLOOKUP($F52,Declarations!B$6:C$185,2,FALSE)," "))))</f>
        <v>POWER</v>
      </c>
      <c r="D52" s="114" t="str">
        <f>IF(ISNA(VLOOKUP($F52,Declarations!$B$6:$F$185,5,FALSE)),"",IF(VLOOKUP($F52,Declarations!$B$6:$F$185,5,FALSE)="","NOT DECLARED",VLOOKUP($F52,Declarations!$B$6:$F$185,5,FALSE)))</f>
        <v>Fleet &amp; Crookham AC</v>
      </c>
      <c r="E52" s="112" t="str">
        <f>IF(ISNA(VLOOKUP($F52,Declarations!$B$6:$D$185,3,FALSE)),"",IF(VLOOKUP($F52,Declarations!$B$6:$D$185,3,FALSE)="","NOT DECLARED",VLOOKUP($F52,Declarations!$B$6:$D$185,3,FALSE)&amp;LEFT(VLOOKUP($F52,Declarations!$B$6:$E$185,4,FALSE))))</f>
        <v>U12G</v>
      </c>
      <c r="F52" s="58">
        <v>61</v>
      </c>
      <c r="G52" s="122">
        <v>11.7</v>
      </c>
      <c r="H52" s="122"/>
      <c r="I52" s="114" t="str">
        <f>IF(ISNA(VLOOKUP(F52,Declarations!B$6:C$185,2,FALSE)),"",IF(VLOOKUP(F52,Declarations!B$6:C$185,2,FALSE)="","NOT DECLARED",VLOOKUP(F52,Declarations!B$6:C$185,2,FALSE)))</f>
        <v>MARCY POWER</v>
      </c>
      <c r="J52" s="112">
        <f>IF(LOWER(G52)="dnf",1,IF(G52&lt;ScoringTable!B$3,ScoringTable!I$2,VLOOKUP((1000-G52),ScoringTable!G$2:I$95,3)))</f>
        <v>53</v>
      </c>
      <c r="K52" s="112" t="str">
        <f>IF(OR(E52="",G52=""),"",IF(RIGHT(E52,1)="G",_xlfn.XLOOKUP(G52,Data!$D$10:$L$10,Data!$D$9:$L$9,"",1,1),_xlfn.XLOOKUP(G52,Data!$D$3:$L$3,Data!$D$2:$L$2,"",1,1)))</f>
        <v>PB9</v>
      </c>
      <c r="L52" s="160" t="str" cm="1">
        <f t="array" ref="L52">IFERROR(_xlfn.IFNA(
                      _xlfn.IFS(
                      G52="", "",
                      AND(E52="U12B",G52&lt;=Data!$M$3), "U12 Boys record",
                      AND(E52="U12G",G52&lt;=Data!$M$10), "U12 Girls record"
                       ),""), "")</f>
        <v/>
      </c>
      <c r="M52" s="18" cm="1">
        <f t="array" ref="M52">_xlfn.IFS($G52="",0, AND(NOT(ISNUMBER($G52)),LOWER($G52)&lt;&gt;"dnf"),"Not a valid time",OR(LOWER($G52)="dnf",$G52&gt;ScoringTable!$M$161),1,RIGHT($E52,1)="B",_xlfn.XLOOKUP($G52,ScoringTable!$M$2:$M$161,ScoringTable!$L$2:$L$161,,1),TRUE,_xlfn.XLOOKUP($G52,ScoringTable!$S$2:$S$161,ScoringTable!$R$2:$R$161,,1))</f>
        <v>100</v>
      </c>
    </row>
    <row r="53" spans="1:13" s="7" customFormat="1" ht="16.05" customHeight="1">
      <c r="A53" s="243" t="s">
        <v>85</v>
      </c>
      <c r="B53" s="114" t="str">
        <f>IF(ISNA(VLOOKUP($F53,Declarations!B$6:C$185,2,FALSE)),"",IF(VLOOKUP($F53,Declarations!B$6:C$185,2,FALSE)="","NOT DECLARED",IF(ISNA(_xlfn.TEXTBEFORE(VLOOKUP($F53,Declarations!B$6:C$185,2,FALSE)," ")),VLOOKUP($F53,Declarations!B$6:C$185,2,FALSE),_xlfn.TEXTBEFORE(VLOOKUP($F53,Declarations!B$6:C$185,2,FALSE)," "))))</f>
        <v>FREYA</v>
      </c>
      <c r="C53" s="114" t="str">
        <f>IF(ISNA(VLOOKUP($F53,Declarations!B$6:C$185,2,FALSE)),"",IF(VLOOKUP($F53,Declarations!B$6:C$185,2,FALSE)="","NOT DECLARED",IF(ISNA(_xlfn.TEXTAFTER(VLOOKUP($F53,Declarations!B$6:C$185,2,FALSE)," ")),VLOOKUP($F53,Declarations!B$6:C$185,2,FALSE),_xlfn.TEXTAFTER(VLOOKUP($F53,Declarations!B$6:C$185,2,FALSE)," "))))</f>
        <v>BURGE</v>
      </c>
      <c r="D53" s="114" t="str">
        <f>IF(ISNA(VLOOKUP($F53,Declarations!$B$6:$F$185,5,FALSE)),"",IF(VLOOKUP($F53,Declarations!$B$6:$F$185,5,FALSE)="","NOT DECLARED",VLOOKUP($F53,Declarations!$B$6:$F$185,5,FALSE)))</f>
        <v>Waverley Athletics Club</v>
      </c>
      <c r="E53" s="112" t="str">
        <f>IF(ISNA(VLOOKUP($F53,Declarations!$B$6:$D$185,3,FALSE)),"",IF(VLOOKUP($F53,Declarations!$B$6:$D$185,3,FALSE)="","NOT DECLARED",VLOOKUP($F53,Declarations!$B$6:$D$185,3,FALSE)&amp;LEFT(VLOOKUP($F53,Declarations!$B$6:$E$185,4,FALSE))))</f>
        <v>U12G</v>
      </c>
      <c r="F53" s="58">
        <v>81</v>
      </c>
      <c r="G53" s="122">
        <v>11.8</v>
      </c>
      <c r="H53" s="122"/>
      <c r="I53" s="114" t="str">
        <f>IF(ISNA(VLOOKUP(F53,Declarations!B$6:C$185,2,FALSE)),"",IF(VLOOKUP(F53,Declarations!B$6:C$185,2,FALSE)="","NOT DECLARED",VLOOKUP(F53,Declarations!B$6:C$185,2,FALSE)))</f>
        <v>FREYA BURGE</v>
      </c>
      <c r="J53" s="112">
        <f>IF(LOWER(G53)="dnf",1,IF(G53&lt;ScoringTable!B$3,ScoringTable!I$2,VLOOKUP((1000-G53),ScoringTable!G$2:I$95,3)))</f>
        <v>52</v>
      </c>
      <c r="K53" s="112" t="str">
        <f>IF(OR(E53="",G53=""),"",IF(RIGHT(E53,1)="G",_xlfn.XLOOKUP(G53,Data!$D$10:$L$10,Data!$D$9:$L$9,"",1,1),_xlfn.XLOOKUP(G53,Data!$D$3:$L$3,Data!$D$2:$L$2,"",1,1)))</f>
        <v>PB8</v>
      </c>
      <c r="L53" s="160" t="str" cm="1">
        <f t="array" ref="L53">IFERROR(_xlfn.IFNA(
                      _xlfn.IFS(
                      G53="", "",
                      AND(E53="U12B",G53&lt;=Data!$M$3), "U12 Boys record",
                      AND(E53="U12G",G53&lt;=Data!$M$10), "U12 Girls record"
                       ),""), "")</f>
        <v/>
      </c>
      <c r="M53" s="18" cm="1">
        <f t="array" ref="M53">_xlfn.IFS($G53="",0, AND(NOT(ISNUMBER($G53)),LOWER($G53)&lt;&gt;"dnf"),"Not a valid time",OR(LOWER($G53)="dnf",$G53&gt;ScoringTable!$M$161),1,RIGHT($E53,1)="B",_xlfn.XLOOKUP($G53,ScoringTable!$M$2:$M$161,ScoringTable!$L$2:$L$161,,1),TRUE,_xlfn.XLOOKUP($G53,ScoringTable!$S$2:$S$161,ScoringTable!$R$2:$R$161,,1))</f>
        <v>97</v>
      </c>
    </row>
    <row r="54" spans="1:13" s="7" customFormat="1" ht="16.05" customHeight="1">
      <c r="A54" s="243" t="s">
        <v>85</v>
      </c>
      <c r="B54" s="114" t="str">
        <f>IF(ISNA(VLOOKUP($F54,Declarations!B$6:C$185,2,FALSE)),"",IF(VLOOKUP($F54,Declarations!B$6:C$185,2,FALSE)="","NOT DECLARED",IF(ISNA(_xlfn.TEXTBEFORE(VLOOKUP($F54,Declarations!B$6:C$185,2,FALSE)," ")),VLOOKUP($F54,Declarations!B$6:C$185,2,FALSE),_xlfn.TEXTBEFORE(VLOOKUP($F54,Declarations!B$6:C$185,2,FALSE)," "))))</f>
        <v>DORA</v>
      </c>
      <c r="C54" s="114" t="str">
        <f>IF(ISNA(VLOOKUP($F54,Declarations!B$6:C$185,2,FALSE)),"",IF(VLOOKUP($F54,Declarations!B$6:C$185,2,FALSE)="","NOT DECLARED",IF(ISNA(_xlfn.TEXTAFTER(VLOOKUP($F54,Declarations!B$6:C$185,2,FALSE)," ")),VLOOKUP($F54,Declarations!B$6:C$185,2,FALSE),_xlfn.TEXTAFTER(VLOOKUP($F54,Declarations!B$6:C$185,2,FALSE)," "))))</f>
        <v>DOMA</v>
      </c>
      <c r="D54" s="114" t="str">
        <f>IF(ISNA(VLOOKUP($F54,Declarations!$B$6:$F$185,5,FALSE)),"",IF(VLOOKUP($F54,Declarations!$B$6:$F$185,5,FALSE)="","NOT DECLARED",VLOOKUP($F54,Declarations!$B$6:$F$185,5,FALSE)))</f>
        <v>Poole Runners</v>
      </c>
      <c r="E54" s="112" t="str">
        <f>IF(ISNA(VLOOKUP($F54,Declarations!$B$6:$D$185,3,FALSE)),"",IF(VLOOKUP($F54,Declarations!$B$6:$D$185,3,FALSE)="","NOT DECLARED",VLOOKUP($F54,Declarations!$B$6:$D$185,3,FALSE)&amp;LEFT(VLOOKUP($F54,Declarations!$B$6:$E$185,4,FALSE))))</f>
        <v>U12G</v>
      </c>
      <c r="F54" s="58">
        <v>43</v>
      </c>
      <c r="G54" s="122">
        <v>12.2</v>
      </c>
      <c r="H54" s="122"/>
      <c r="I54" s="114" t="str">
        <f>IF(ISNA(VLOOKUP(F54,Declarations!B$6:C$185,2,FALSE)),"",IF(VLOOKUP(F54,Declarations!B$6:C$185,2,FALSE)="","NOT DECLARED",VLOOKUP(F54,Declarations!B$6:C$185,2,FALSE)))</f>
        <v>DORA DOMA</v>
      </c>
      <c r="J54" s="112">
        <f>IF(LOWER(G54)="dnf",1,IF(G54&lt;ScoringTable!B$3,ScoringTable!I$2,VLOOKUP((1000-G54),ScoringTable!G$2:I$95,3)))</f>
        <v>48</v>
      </c>
      <c r="K54" s="112" t="str">
        <f>IF(OR(E54="",G54=""),"",IF(RIGHT(E54,1)="G",_xlfn.XLOOKUP(G54,Data!$D$10:$L$10,Data!$D$9:$L$9,"",1,1),_xlfn.XLOOKUP(G54,Data!$D$3:$L$3,Data!$D$2:$L$2,"",1,1)))</f>
        <v>PB7</v>
      </c>
      <c r="L54" s="160" t="str" cm="1">
        <f t="array" ref="L54">IFERROR(_xlfn.IFNA(
                      _xlfn.IFS(
                      G54="", "",
                      AND(E54="U12B",G54&lt;=Data!$M$3), "U12 Boys record",
                      AND(E54="U12G",G54&lt;=Data!$M$10), "U12 Girls record"
                       ),""), "")</f>
        <v/>
      </c>
      <c r="M54" s="18" cm="1">
        <f t="array" ref="M54">_xlfn.IFS($G54="",0, AND(NOT(ISNUMBER($G54)),LOWER($G54)&lt;&gt;"dnf"),"Not a valid time",OR(LOWER($G54)="dnf",$G54&gt;ScoringTable!$M$161),1,RIGHT($E54,1)="B",_xlfn.XLOOKUP($G54,ScoringTable!$M$2:$M$161,ScoringTable!$L$2:$L$161,,1),TRUE,_xlfn.XLOOKUP($G54,ScoringTable!$S$2:$S$161,ScoringTable!$R$2:$R$161,,1))</f>
        <v>87</v>
      </c>
    </row>
    <row r="55" spans="1:13" s="7" customFormat="1" ht="16.05" customHeight="1">
      <c r="A55" s="243" t="s">
        <v>85</v>
      </c>
      <c r="B55" s="114" t="str">
        <f>IF(ISNA(VLOOKUP($F55,Declarations!B$6:C$185,2,FALSE)),"",IF(VLOOKUP($F55,Declarations!B$6:C$185,2,FALSE)="","NOT DECLARED",IF(ISNA(_xlfn.TEXTBEFORE(VLOOKUP($F55,Declarations!B$6:C$185,2,FALSE)," ")),VLOOKUP($F55,Declarations!B$6:C$185,2,FALSE),_xlfn.TEXTBEFORE(VLOOKUP($F55,Declarations!B$6:C$185,2,FALSE)," "))))</f>
        <v>FRANKIE</v>
      </c>
      <c r="C55" s="114" t="str">
        <f>IF(ISNA(VLOOKUP($F55,Declarations!B$6:C$185,2,FALSE)),"",IF(VLOOKUP($F55,Declarations!B$6:C$185,2,FALSE)="","NOT DECLARED",IF(ISNA(_xlfn.TEXTAFTER(VLOOKUP($F55,Declarations!B$6:C$185,2,FALSE)," ")),VLOOKUP($F55,Declarations!B$6:C$185,2,FALSE),_xlfn.TEXTAFTER(VLOOKUP($F55,Declarations!B$6:C$185,2,FALSE)," "))))</f>
        <v>ICETON</v>
      </c>
      <c r="D55" s="114" t="str">
        <f>IF(ISNA(VLOOKUP($F55,Declarations!$B$6:$F$185,5,FALSE)),"",IF(VLOOKUP($F55,Declarations!$B$6:$F$185,5,FALSE)="","NOT DECLARED",VLOOKUP($F55,Declarations!$B$6:$F$185,5,FALSE)))</f>
        <v>Woking AC</v>
      </c>
      <c r="E55" s="112" t="str">
        <f>IF(ISNA(VLOOKUP($F55,Declarations!$B$6:$D$185,3,FALSE)),"",IF(VLOOKUP($F55,Declarations!$B$6:$D$185,3,FALSE)="","NOT DECLARED",VLOOKUP($F55,Declarations!$B$6:$D$185,3,FALSE)&amp;LEFT(VLOOKUP($F55,Declarations!$B$6:$E$185,4,FALSE))))</f>
        <v>U12G</v>
      </c>
      <c r="F55" s="58">
        <v>22</v>
      </c>
      <c r="G55" s="122">
        <v>12.6</v>
      </c>
      <c r="H55" s="122"/>
      <c r="I55" s="114" t="str">
        <f>IF(ISNA(VLOOKUP(F55,Declarations!B$6:C$185,2,FALSE)),"",IF(VLOOKUP(F55,Declarations!B$6:C$185,2,FALSE)="","NOT DECLARED",VLOOKUP(F55,Declarations!B$6:C$185,2,FALSE)))</f>
        <v>FRANKIE ICETON</v>
      </c>
      <c r="J55" s="112">
        <f>IF(LOWER(G55)="dnf",1,IF(G55&lt;ScoringTable!B$3,ScoringTable!I$2,VLOOKUP((1000-G55),ScoringTable!G$2:I$95,3)))</f>
        <v>44</v>
      </c>
      <c r="K55" s="112" t="str">
        <f>IF(OR(E55="",G55=""),"",IF(RIGHT(E55,1)="G",_xlfn.XLOOKUP(G55,Data!$D$10:$L$10,Data!$D$9:$L$9,"",1,1),_xlfn.XLOOKUP(G55,Data!$D$3:$L$3,Data!$D$2:$L$2,"",1,1)))</f>
        <v>PB6</v>
      </c>
      <c r="L55" s="160" t="str" cm="1">
        <f t="array" ref="L55">IFERROR(_xlfn.IFNA(
                      _xlfn.IFS(
                      G55="", "",
                      AND(E55="U12B",G55&lt;=Data!$M$3), "U12 Boys record",
                      AND(E55="U12G",G55&lt;=Data!$M$10), "U12 Girls record"
                       ),""), "")</f>
        <v/>
      </c>
      <c r="M55" s="18" cm="1">
        <f t="array" ref="M55">_xlfn.IFS($G55="",0, AND(NOT(ISNUMBER($G55)),LOWER($G55)&lt;&gt;"dnf"),"Not a valid time",OR(LOWER($G55)="dnf",$G55&gt;ScoringTable!$M$161),1,RIGHT($E55,1)="B",_xlfn.XLOOKUP($G55,ScoringTable!$M$2:$M$161,ScoringTable!$L$2:$L$161,,1),TRUE,_xlfn.XLOOKUP($G55,ScoringTable!$S$2:$S$161,ScoringTable!$R$2:$R$161,,1))</f>
        <v>78</v>
      </c>
    </row>
    <row r="56" spans="1:13" s="7" customFormat="1" ht="16.05" customHeight="1">
      <c r="A56" s="243" t="s">
        <v>85</v>
      </c>
      <c r="B56" s="114" t="str">
        <f>IF(ISNA(VLOOKUP($F56,Declarations!B$6:C$185,2,FALSE)),"",IF(VLOOKUP($F56,Declarations!B$6:C$185,2,FALSE)="","NOT DECLARED",IF(ISNA(_xlfn.TEXTBEFORE(VLOOKUP($F56,Declarations!B$6:C$185,2,FALSE)," ")),VLOOKUP($F56,Declarations!B$6:C$185,2,FALSE),_xlfn.TEXTBEFORE(VLOOKUP($F56,Declarations!B$6:C$185,2,FALSE)," "))))</f>
        <v>LYRA</v>
      </c>
      <c r="C56" s="114" t="str">
        <f>IF(ISNA(VLOOKUP($F56,Declarations!B$6:C$185,2,FALSE)),"",IF(VLOOKUP($F56,Declarations!B$6:C$185,2,FALSE)="","NOT DECLARED",IF(ISNA(_xlfn.TEXTAFTER(VLOOKUP($F56,Declarations!B$6:C$185,2,FALSE)," ")),VLOOKUP($F56,Declarations!B$6:C$185,2,FALSE),_xlfn.TEXTAFTER(VLOOKUP($F56,Declarations!B$6:C$185,2,FALSE)," "))))</f>
        <v>JINKS</v>
      </c>
      <c r="D56" s="114" t="str">
        <f>IF(ISNA(VLOOKUP($F56,Declarations!$B$6:$F$185,5,FALSE)),"",IF(VLOOKUP($F56,Declarations!$B$6:$F$185,5,FALSE)="","NOT DECLARED",VLOOKUP($F56,Declarations!$B$6:$F$185,5,FALSE)))</f>
        <v>Basingstoke &amp; Mid Hants AC</v>
      </c>
      <c r="E56" s="112" t="str">
        <f>IF(ISNA(VLOOKUP($F56,Declarations!$B$6:$D$185,3,FALSE)),"",IF(VLOOKUP($F56,Declarations!$B$6:$D$185,3,FALSE)="","NOT DECLARED",VLOOKUP($F56,Declarations!$B$6:$D$185,3,FALSE)&amp;LEFT(VLOOKUP($F56,Declarations!$B$6:$E$185,4,FALSE))))</f>
        <v>U12G</v>
      </c>
      <c r="F56" s="58">
        <v>101</v>
      </c>
      <c r="G56" s="122">
        <v>12.7</v>
      </c>
      <c r="H56" s="122"/>
      <c r="I56" s="114" t="str">
        <f>IF(ISNA(VLOOKUP(F56,Declarations!B$6:C$185,2,FALSE)),"",IF(VLOOKUP(F56,Declarations!B$6:C$185,2,FALSE)="","NOT DECLARED",VLOOKUP(F56,Declarations!B$6:C$185,2,FALSE)))</f>
        <v>LYRA JINKS</v>
      </c>
      <c r="J56" s="112">
        <f>IF(LOWER(G56)="dnf",1,IF(G56&lt;ScoringTable!B$3,ScoringTable!I$2,VLOOKUP((1000-G56),ScoringTable!G$2:I$95,3)))</f>
        <v>43</v>
      </c>
      <c r="K56" s="112" t="str">
        <f>IF(OR(E56="",G56=""),"",IF(RIGHT(E56,1)="G",_xlfn.XLOOKUP(G56,Data!$D$10:$L$10,Data!$D$9:$L$9,"",1,1),_xlfn.XLOOKUP(G56,Data!$D$3:$L$3,Data!$D$2:$L$2,"",1,1)))</f>
        <v>PB6</v>
      </c>
      <c r="L56" s="160" t="str" cm="1">
        <f t="array" ref="L56">IFERROR(_xlfn.IFNA(
                      _xlfn.IFS(
                      G56="", "",
                      AND(E56="U12B",G56&lt;=Data!$M$3), "U12 Boys record",
                      AND(E56="U12G",G56&lt;=Data!$M$10), "U12 Girls record"
                       ),""), "")</f>
        <v/>
      </c>
      <c r="M56" s="18" cm="1">
        <f t="array" ref="M56">_xlfn.IFS($G56="",0, AND(NOT(ISNUMBER($G56)),LOWER($G56)&lt;&gt;"dnf"),"Not a valid time",OR(LOWER($G56)="dnf",$G56&gt;ScoringTable!$M$161),1,RIGHT($E56,1)="B",_xlfn.XLOOKUP($G56,ScoringTable!$M$2:$M$161,ScoringTable!$L$2:$L$161,,1),TRUE,_xlfn.XLOOKUP($G56,ScoringTable!$S$2:$S$161,ScoringTable!$R$2:$R$161,,1))</f>
        <v>76</v>
      </c>
    </row>
    <row r="57" spans="1:13" s="7" customFormat="1" ht="16.05" customHeight="1">
      <c r="A57" s="243" t="s">
        <v>85</v>
      </c>
      <c r="B57" s="114" t="str">
        <f>IF(ISNA(VLOOKUP($F57,Declarations!B$6:C$185,2,FALSE)),"",IF(VLOOKUP($F57,Declarations!B$6:C$185,2,FALSE)="","NOT DECLARED",IF(ISNA(_xlfn.TEXTBEFORE(VLOOKUP($F57,Declarations!B$6:C$185,2,FALSE)," ")),VLOOKUP($F57,Declarations!B$6:C$185,2,FALSE),_xlfn.TEXTBEFORE(VLOOKUP($F57,Declarations!B$6:C$185,2,FALSE)," "))))</f>
        <v>MATILDA</v>
      </c>
      <c r="C57" s="114" t="str">
        <f>IF(ISNA(VLOOKUP($F57,Declarations!B$6:C$185,2,FALSE)),"",IF(VLOOKUP($F57,Declarations!B$6:C$185,2,FALSE)="","NOT DECLARED",IF(ISNA(_xlfn.TEXTAFTER(VLOOKUP($F57,Declarations!B$6:C$185,2,FALSE)," ")),VLOOKUP($F57,Declarations!B$6:C$185,2,FALSE),_xlfn.TEXTAFTER(VLOOKUP($F57,Declarations!B$6:C$185,2,FALSE)," "))))</f>
        <v>KEER</v>
      </c>
      <c r="D57" s="114" t="str">
        <f>IF(ISNA(VLOOKUP($F57,Declarations!$B$6:$F$185,5,FALSE)),"",IF(VLOOKUP($F57,Declarations!$B$6:$F$185,5,FALSE)="","NOT DECLARED",VLOOKUP($F57,Declarations!$B$6:$F$185,5,FALSE)))</f>
        <v>Waverley Athletics Club</v>
      </c>
      <c r="E57" s="112" t="str">
        <f>IF(ISNA(VLOOKUP($F57,Declarations!$B$6:$D$185,3,FALSE)),"",IF(VLOOKUP($F57,Declarations!$B$6:$D$185,3,FALSE)="","NOT DECLARED",VLOOKUP($F57,Declarations!$B$6:$D$185,3,FALSE)&amp;LEFT(VLOOKUP($F57,Declarations!$B$6:$E$185,4,FALSE))))</f>
        <v>U12G</v>
      </c>
      <c r="F57" s="58">
        <v>82</v>
      </c>
      <c r="G57" s="122">
        <v>11.8</v>
      </c>
      <c r="H57" s="122"/>
      <c r="I57" s="114" t="str">
        <f>IF(ISNA(VLOOKUP(F57,Declarations!B$6:C$185,2,FALSE)),"",IF(VLOOKUP(F57,Declarations!B$6:C$185,2,FALSE)="","NOT DECLARED",VLOOKUP(F57,Declarations!B$6:C$185,2,FALSE)))</f>
        <v>MATILDA KEER</v>
      </c>
      <c r="J57" s="112">
        <f>IF(LOWER(G57)="dnf",1,IF(G57&lt;ScoringTable!B$3,ScoringTable!I$2,VLOOKUP((1000-G57),ScoringTable!G$2:I$95,3)))</f>
        <v>52</v>
      </c>
      <c r="K57" s="112" t="str">
        <f>IF(OR(E57="",G57=""),"",IF(RIGHT(E57,1)="G",_xlfn.XLOOKUP(G57,Data!$D$10:$L$10,Data!$D$9:$L$9,"",1,1),_xlfn.XLOOKUP(G57,Data!$D$3:$L$3,Data!$D$2:$L$2,"",1,1)))</f>
        <v>PB8</v>
      </c>
      <c r="L57" s="160" t="str" cm="1">
        <f t="array" ref="L57">IFERROR(_xlfn.IFNA(
                      _xlfn.IFS(
                      G57="", "",
                      AND(E57="U12B",G57&lt;=Data!$M$3), "U12 Boys record",
                      AND(E57="U12G",G57&lt;=Data!$M$10), "U12 Girls record"
                       ),""), "")</f>
        <v/>
      </c>
      <c r="M57" s="18" cm="1">
        <f t="array" ref="M57">_xlfn.IFS($G57="",0, AND(NOT(ISNUMBER($G57)),LOWER($G57)&lt;&gt;"dnf"),"Not a valid time",OR(LOWER($G57)="dnf",$G57&gt;ScoringTable!$M$161),1,RIGHT($E57,1)="B",_xlfn.XLOOKUP($G57,ScoringTable!$M$2:$M$161,ScoringTable!$L$2:$L$161,,1),TRUE,_xlfn.XLOOKUP($G57,ScoringTable!$S$2:$S$161,ScoringTable!$R$2:$R$161,,1))</f>
        <v>97</v>
      </c>
    </row>
    <row r="58" spans="1:13" s="7" customFormat="1" ht="16.05" customHeight="1">
      <c r="A58" s="243" t="s">
        <v>85</v>
      </c>
      <c r="B58" s="114" t="str">
        <f>IF(ISNA(VLOOKUP($F58,Declarations!B$6:C$185,2,FALSE)),"",IF(VLOOKUP($F58,Declarations!B$6:C$185,2,FALSE)="","NOT DECLARED",IF(ISNA(_xlfn.TEXTBEFORE(VLOOKUP($F58,Declarations!B$6:C$185,2,FALSE)," ")),VLOOKUP($F58,Declarations!B$6:C$185,2,FALSE),_xlfn.TEXTBEFORE(VLOOKUP($F58,Declarations!B$6:C$185,2,FALSE)," "))))</f>
        <v>MATILDA</v>
      </c>
      <c r="C58" s="114" t="str">
        <f>IF(ISNA(VLOOKUP($F58,Declarations!B$6:C$185,2,FALSE)),"",IF(VLOOKUP($F58,Declarations!B$6:C$185,2,FALSE)="","NOT DECLARED",IF(ISNA(_xlfn.TEXTAFTER(VLOOKUP($F58,Declarations!B$6:C$185,2,FALSE)," ")),VLOOKUP($F58,Declarations!B$6:C$185,2,FALSE),_xlfn.TEXTAFTER(VLOOKUP($F58,Declarations!B$6:C$185,2,FALSE)," "))))</f>
        <v>COATESMITH</v>
      </c>
      <c r="D58" s="114" t="str">
        <f>IF(ISNA(VLOOKUP($F58,Declarations!$B$6:$F$185,5,FALSE)),"",IF(VLOOKUP($F58,Declarations!$B$6:$F$185,5,FALSE)="","NOT DECLARED",VLOOKUP($F58,Declarations!$B$6:$F$185,5,FALSE)))</f>
        <v>Poole Runners</v>
      </c>
      <c r="E58" s="112" t="str">
        <f>IF(ISNA(VLOOKUP($F58,Declarations!$B$6:$D$185,3,FALSE)),"",IF(VLOOKUP($F58,Declarations!$B$6:$D$185,3,FALSE)="","NOT DECLARED",VLOOKUP($F58,Declarations!$B$6:$D$185,3,FALSE)&amp;LEFT(VLOOKUP($F58,Declarations!$B$6:$E$185,4,FALSE))))</f>
        <v>U12G</v>
      </c>
      <c r="F58" s="58">
        <v>48</v>
      </c>
      <c r="G58" s="122">
        <v>11.9</v>
      </c>
      <c r="H58" s="122"/>
      <c r="I58" s="114" t="str">
        <f>IF(ISNA(VLOOKUP(F58,Declarations!B$6:C$185,2,FALSE)),"",IF(VLOOKUP(F58,Declarations!B$6:C$185,2,FALSE)="","NOT DECLARED",VLOOKUP(F58,Declarations!B$6:C$185,2,FALSE)))</f>
        <v>MATILDA COATESMITH</v>
      </c>
      <c r="J58" s="112">
        <f>IF(LOWER(G58)="dnf",1,IF(G58&lt;ScoringTable!B$3,ScoringTable!I$2,VLOOKUP((1000-G58),ScoringTable!G$2:I$95,3)))</f>
        <v>51</v>
      </c>
      <c r="K58" s="112" t="str">
        <f>IF(OR(E58="",G58=""),"",IF(RIGHT(E58,1)="G",_xlfn.XLOOKUP(G58,Data!$D$10:$L$10,Data!$D$9:$L$9,"",1,1),_xlfn.XLOOKUP(G58,Data!$D$3:$L$3,Data!$D$2:$L$2,"",1,1)))</f>
        <v>PB8</v>
      </c>
      <c r="L58" s="160" t="str" cm="1">
        <f t="array" ref="L58">IFERROR(_xlfn.IFNA(
                      _xlfn.IFS(
                      G58="", "",
                      AND(E58="U12B",G58&lt;=Data!$M$3), "U12 Boys record",
                      AND(E58="U12G",G58&lt;=Data!$M$10), "U12 Girls record"
                       ),""), "")</f>
        <v/>
      </c>
      <c r="M58" s="18" cm="1">
        <f t="array" ref="M58">_xlfn.IFS($G58="",0, AND(NOT(ISNUMBER($G58)),LOWER($G58)&lt;&gt;"dnf"),"Not a valid time",OR(LOWER($G58)="dnf",$G58&gt;ScoringTable!$M$161),1,RIGHT($E58,1)="B",_xlfn.XLOOKUP($G58,ScoringTable!$M$2:$M$161,ScoringTable!$L$2:$L$161,,1),TRUE,_xlfn.XLOOKUP($G58,ScoringTable!$S$2:$S$161,ScoringTable!$R$2:$R$161,,1))</f>
        <v>95</v>
      </c>
    </row>
    <row r="59" spans="1:13" s="7" customFormat="1" ht="16.05" customHeight="1">
      <c r="A59" s="243" t="s">
        <v>85</v>
      </c>
      <c r="B59" s="114" t="str">
        <f>IF(ISNA(VLOOKUP($F59,Declarations!B$6:C$185,2,FALSE)),"",IF(VLOOKUP($F59,Declarations!B$6:C$185,2,FALSE)="","NOT DECLARED",IF(ISNA(_xlfn.TEXTBEFORE(VLOOKUP($F59,Declarations!B$6:C$185,2,FALSE)," ")),VLOOKUP($F59,Declarations!B$6:C$185,2,FALSE),_xlfn.TEXTBEFORE(VLOOKUP($F59,Declarations!B$6:C$185,2,FALSE)," "))))</f>
        <v>OTTILE</v>
      </c>
      <c r="C59" s="114" t="str">
        <f>IF(ISNA(VLOOKUP($F59,Declarations!B$6:C$185,2,FALSE)),"",IF(VLOOKUP($F59,Declarations!B$6:C$185,2,FALSE)="","NOT DECLARED",IF(ISNA(_xlfn.TEXTAFTER(VLOOKUP($F59,Declarations!B$6:C$185,2,FALSE)," ")),VLOOKUP($F59,Declarations!B$6:C$185,2,FALSE),_xlfn.TEXTAFTER(VLOOKUP($F59,Declarations!B$6:C$185,2,FALSE)," "))))</f>
        <v>WHITE</v>
      </c>
      <c r="D59" s="114" t="str">
        <f>IF(ISNA(VLOOKUP($F59,Declarations!$B$6:$F$185,5,FALSE)),"",IF(VLOOKUP($F59,Declarations!$B$6:$F$185,5,FALSE)="","NOT DECLARED",VLOOKUP($F59,Declarations!$B$6:$F$185,5,FALSE)))</f>
        <v>Fleet &amp; Crookham AC</v>
      </c>
      <c r="E59" s="112" t="str">
        <f>IF(ISNA(VLOOKUP($F59,Declarations!$B$6:$D$185,3,FALSE)),"",IF(VLOOKUP($F59,Declarations!$B$6:$D$185,3,FALSE)="","NOT DECLARED",VLOOKUP($F59,Declarations!$B$6:$D$185,3,FALSE)&amp;LEFT(VLOOKUP($F59,Declarations!$B$6:$E$185,4,FALSE))))</f>
        <v>U12G</v>
      </c>
      <c r="F59" s="58">
        <v>62</v>
      </c>
      <c r="G59" s="122">
        <v>12.3</v>
      </c>
      <c r="H59" s="122"/>
      <c r="I59" s="114" t="str">
        <f>IF(ISNA(VLOOKUP(F59,Declarations!B$6:C$185,2,FALSE)),"",IF(VLOOKUP(F59,Declarations!B$6:C$185,2,FALSE)="","NOT DECLARED",VLOOKUP(F59,Declarations!B$6:C$185,2,FALSE)))</f>
        <v>OTTILE WHITE</v>
      </c>
      <c r="J59" s="112">
        <f>IF(LOWER(G59)="dnf",1,IF(G59&lt;ScoringTable!B$3,ScoringTable!I$2,VLOOKUP((1000-G59),ScoringTable!G$2:I$95,3)))</f>
        <v>47</v>
      </c>
      <c r="K59" s="112" t="str">
        <f>IF(OR(E59="",G59=""),"",IF(RIGHT(E59,1)="G",_xlfn.XLOOKUP(G59,Data!$D$10:$L$10,Data!$D$9:$L$9,"",1,1),_xlfn.XLOOKUP(G59,Data!$D$3:$L$3,Data!$D$2:$L$2,"",1,1)))</f>
        <v>PB7</v>
      </c>
      <c r="L59" s="160" t="str" cm="1">
        <f t="array" ref="L59">IFERROR(_xlfn.IFNA(
                      _xlfn.IFS(
                      G59="", "",
                      AND(E59="U12B",G59&lt;=Data!$M$3), "U12 Boys record",
                      AND(E59="U12G",G59&lt;=Data!$M$10), "U12 Girls record"
                       ),""), "")</f>
        <v/>
      </c>
      <c r="M59" s="18" cm="1">
        <f t="array" ref="M59">_xlfn.IFS($G59="",0, AND(NOT(ISNUMBER($G59)),LOWER($G59)&lt;&gt;"dnf"),"Not a valid time",OR(LOWER($G59)="dnf",$G59&gt;ScoringTable!$M$161),1,RIGHT($E59,1)="B",_xlfn.XLOOKUP($G59,ScoringTable!$M$2:$M$161,ScoringTable!$L$2:$L$161,,1),TRUE,_xlfn.XLOOKUP($G59,ScoringTable!$S$2:$S$161,ScoringTable!$R$2:$R$161,,1))</f>
        <v>85</v>
      </c>
    </row>
    <row r="60" spans="1:13" s="7" customFormat="1" ht="16.05" customHeight="1">
      <c r="A60" s="243" t="s">
        <v>85</v>
      </c>
      <c r="B60" s="114" t="str">
        <f>IF(ISNA(VLOOKUP($F60,Declarations!B$6:C$185,2,FALSE)),"",IF(VLOOKUP($F60,Declarations!B$6:C$185,2,FALSE)="","NOT DECLARED",IF(ISNA(_xlfn.TEXTBEFORE(VLOOKUP($F60,Declarations!B$6:C$185,2,FALSE)," ")),VLOOKUP($F60,Declarations!B$6:C$185,2,FALSE),_xlfn.TEXTBEFORE(VLOOKUP($F60,Declarations!B$6:C$185,2,FALSE)," "))))</f>
        <v>NORA</v>
      </c>
      <c r="C60" s="114" t="str">
        <f>IF(ISNA(VLOOKUP($F60,Declarations!B$6:C$185,2,FALSE)),"",IF(VLOOKUP($F60,Declarations!B$6:C$185,2,FALSE)="","NOT DECLARED",IF(ISNA(_xlfn.TEXTAFTER(VLOOKUP($F60,Declarations!B$6:C$185,2,FALSE)," ")),VLOOKUP($F60,Declarations!B$6:C$185,2,FALSE),_xlfn.TEXTAFTER(VLOOKUP($F60,Declarations!B$6:C$185,2,FALSE)," "))))</f>
        <v>POFF</v>
      </c>
      <c r="D60" s="114" t="str">
        <f>IF(ISNA(VLOOKUP($F60,Declarations!$B$6:$F$185,5,FALSE)),"",IF(VLOOKUP($F60,Declarations!$B$6:$F$185,5,FALSE)="","NOT DECLARED",VLOOKUP($F60,Declarations!$B$6:$F$185,5,FALSE)))</f>
        <v>Basingstoke &amp; Mid Hants AC</v>
      </c>
      <c r="E60" s="112" t="str">
        <f>IF(ISNA(VLOOKUP($F60,Declarations!$B$6:$D$185,3,FALSE)),"",IF(VLOOKUP($F60,Declarations!$B$6:$D$185,3,FALSE)="","NOT DECLARED",VLOOKUP($F60,Declarations!$B$6:$D$185,3,FALSE)&amp;LEFT(VLOOKUP($F60,Declarations!$B$6:$E$185,4,FALSE))))</f>
        <v>U12G</v>
      </c>
      <c r="F60" s="58">
        <v>102</v>
      </c>
      <c r="G60" s="122">
        <v>12.5</v>
      </c>
      <c r="H60" s="122"/>
      <c r="I60" s="114" t="str">
        <f>IF(ISNA(VLOOKUP(F60,Declarations!B$6:C$185,2,FALSE)),"",IF(VLOOKUP(F60,Declarations!B$6:C$185,2,FALSE)="","NOT DECLARED",VLOOKUP(F60,Declarations!B$6:C$185,2,FALSE)))</f>
        <v>NORA POFF</v>
      </c>
      <c r="J60" s="112">
        <f>IF(LOWER(G60)="dnf",1,IF(G60&lt;ScoringTable!B$3,ScoringTable!I$2,VLOOKUP((1000-G60),ScoringTable!G$2:I$95,3)))</f>
        <v>45</v>
      </c>
      <c r="K60" s="112" t="str">
        <f>IF(OR(E60="",G60=""),"",IF(RIGHT(E60,1)="G",_xlfn.XLOOKUP(G60,Data!$D$10:$L$10,Data!$D$9:$L$9,"",1,1),_xlfn.XLOOKUP(G60,Data!$D$3:$L$3,Data!$D$2:$L$2,"",1,1)))</f>
        <v>PB7</v>
      </c>
      <c r="L60" s="160" t="str" cm="1">
        <f t="array" ref="L60">IFERROR(_xlfn.IFNA(
                      _xlfn.IFS(
                      G60="", "",
                      AND(E60="U12B",G60&lt;=Data!$M$3), "U12 Boys record",
                      AND(E60="U12G",G60&lt;=Data!$M$10), "U12 Girls record"
                       ),""), "")</f>
        <v/>
      </c>
      <c r="M60" s="18" cm="1">
        <f t="array" ref="M60">_xlfn.IFS($G60="",0, AND(NOT(ISNUMBER($G60)),LOWER($G60)&lt;&gt;"dnf"),"Not a valid time",OR(LOWER($G60)="dnf",$G60&gt;ScoringTable!$M$161),1,RIGHT($E60,1)="B",_xlfn.XLOOKUP($G60,ScoringTable!$M$2:$M$161,ScoringTable!$L$2:$L$161,,1),TRUE,_xlfn.XLOOKUP($G60,ScoringTable!$S$2:$S$161,ScoringTable!$R$2:$R$161,,1))</f>
        <v>80</v>
      </c>
    </row>
    <row r="61" spans="1:13" s="7" customFormat="1" ht="16.05" customHeight="1">
      <c r="A61" s="243" t="s">
        <v>85</v>
      </c>
      <c r="B61" s="114" t="str">
        <f>IF(ISNA(VLOOKUP($F61,Declarations!B$6:C$185,2,FALSE)),"",IF(VLOOKUP($F61,Declarations!B$6:C$185,2,FALSE)="","NOT DECLARED",IF(ISNA(_xlfn.TEXTBEFORE(VLOOKUP($F61,Declarations!B$6:C$185,2,FALSE)," ")),VLOOKUP($F61,Declarations!B$6:C$185,2,FALSE),_xlfn.TEXTBEFORE(VLOOKUP($F61,Declarations!B$6:C$185,2,FALSE)," "))))</f>
        <v>RUBY</v>
      </c>
      <c r="C61" s="114" t="str">
        <f>IF(ISNA(VLOOKUP($F61,Declarations!B$6:C$185,2,FALSE)),"",IF(VLOOKUP($F61,Declarations!B$6:C$185,2,FALSE)="","NOT DECLARED",IF(ISNA(_xlfn.TEXTAFTER(VLOOKUP($F61,Declarations!B$6:C$185,2,FALSE)," ")),VLOOKUP($F61,Declarations!B$6:C$185,2,FALSE),_xlfn.TEXTAFTER(VLOOKUP($F61,Declarations!B$6:C$185,2,FALSE)," "))))</f>
        <v>WILLIAMS</v>
      </c>
      <c r="D61" s="114" t="str">
        <f>IF(ISNA(VLOOKUP($F61,Declarations!$B$6:$F$185,5,FALSE)),"",IF(VLOOKUP($F61,Declarations!$B$6:$F$185,5,FALSE)="","NOT DECLARED",VLOOKUP($F61,Declarations!$B$6:$F$185,5,FALSE)))</f>
        <v>Camberley &amp; District AC</v>
      </c>
      <c r="E61" s="112" t="str">
        <f>IF(ISNA(VLOOKUP($F61,Declarations!$B$6:$D$185,3,FALSE)),"",IF(VLOOKUP($F61,Declarations!$B$6:$D$185,3,FALSE)="","NOT DECLARED",VLOOKUP($F61,Declarations!$B$6:$D$185,3,FALSE)&amp;LEFT(VLOOKUP($F61,Declarations!$B$6:$E$185,4,FALSE))))</f>
        <v>U12G</v>
      </c>
      <c r="F61" s="58">
        <v>6</v>
      </c>
      <c r="G61" s="122">
        <v>12.6</v>
      </c>
      <c r="H61" s="122"/>
      <c r="I61" s="114" t="str">
        <f>IF(ISNA(VLOOKUP(F61,Declarations!B$6:C$185,2,FALSE)),"",IF(VLOOKUP(F61,Declarations!B$6:C$185,2,FALSE)="","NOT DECLARED",VLOOKUP(F61,Declarations!B$6:C$185,2,FALSE)))</f>
        <v>RUBY WILLIAMS</v>
      </c>
      <c r="J61" s="112">
        <f>IF(LOWER(G61)="dnf",1,IF(G61&lt;ScoringTable!B$3,ScoringTable!I$2,VLOOKUP((1000-G61),ScoringTable!G$2:I$95,3)))</f>
        <v>44</v>
      </c>
      <c r="K61" s="112" t="str">
        <f>IF(OR(E61="",G61=""),"",IF(RIGHT(E61,1)="G",_xlfn.XLOOKUP(G61,Data!$D$10:$L$10,Data!$D$9:$L$9,"",1,1),_xlfn.XLOOKUP(G61,Data!$D$3:$L$3,Data!$D$2:$L$2,"",1,1)))</f>
        <v>PB6</v>
      </c>
      <c r="L61" s="160" t="str" cm="1">
        <f t="array" ref="L61">IFERROR(_xlfn.IFNA(
                      _xlfn.IFS(
                      G61="", "",
                      AND(E61="U12B",G61&lt;=Data!$M$3), "U12 Boys record",
                      AND(E61="U12G",G61&lt;=Data!$M$10), "U12 Girls record"
                       ),""), "")</f>
        <v/>
      </c>
      <c r="M61" s="18" cm="1">
        <f t="array" ref="M61">_xlfn.IFS($G61="",0, AND(NOT(ISNUMBER($G61)),LOWER($G61)&lt;&gt;"dnf"),"Not a valid time",OR(LOWER($G61)="dnf",$G61&gt;ScoringTable!$M$161),1,RIGHT($E61,1)="B",_xlfn.XLOOKUP($G61,ScoringTable!$M$2:$M$161,ScoringTable!$L$2:$L$161,,1),TRUE,_xlfn.XLOOKUP($G61,ScoringTable!$S$2:$S$161,ScoringTable!$R$2:$R$161,,1))</f>
        <v>78</v>
      </c>
    </row>
    <row r="62" spans="1:13" s="7" customFormat="1" ht="16.05" customHeight="1">
      <c r="A62" s="243" t="s">
        <v>85</v>
      </c>
      <c r="B62" s="114" t="str">
        <f>IF(ISNA(VLOOKUP($F62,Declarations!B$6:C$185,2,FALSE)),"",IF(VLOOKUP($F62,Declarations!B$6:C$185,2,FALSE)="","NOT DECLARED",IF(ISNA(_xlfn.TEXTBEFORE(VLOOKUP($F62,Declarations!B$6:C$185,2,FALSE)," ")),VLOOKUP($F62,Declarations!B$6:C$185,2,FALSE),_xlfn.TEXTBEFORE(VLOOKUP($F62,Declarations!B$6:C$185,2,FALSE)," "))))</f>
        <v>LILY</v>
      </c>
      <c r="C62" s="114" t="str">
        <f>IF(ISNA(VLOOKUP($F62,Declarations!B$6:C$185,2,FALSE)),"",IF(VLOOKUP($F62,Declarations!B$6:C$185,2,FALSE)="","NOT DECLARED",IF(ISNA(_xlfn.TEXTAFTER(VLOOKUP($F62,Declarations!B$6:C$185,2,FALSE)," ")),VLOOKUP($F62,Declarations!B$6:C$185,2,FALSE),_xlfn.TEXTAFTER(VLOOKUP($F62,Declarations!B$6:C$185,2,FALSE)," "))))</f>
        <v>COPP</v>
      </c>
      <c r="D62" s="114" t="str">
        <f>IF(ISNA(VLOOKUP($F62,Declarations!$B$6:$F$185,5,FALSE)),"",IF(VLOOKUP($F62,Declarations!$B$6:$F$185,5,FALSE)="","NOT DECLARED",VLOOKUP($F62,Declarations!$B$6:$F$185,5,FALSE)))</f>
        <v>Woking AC</v>
      </c>
      <c r="E62" s="112" t="str">
        <f>IF(ISNA(VLOOKUP($F62,Declarations!$B$6:$D$185,3,FALSE)),"",IF(VLOOKUP($F62,Declarations!$B$6:$D$185,3,FALSE)="","NOT DECLARED",VLOOKUP($F62,Declarations!$B$6:$D$185,3,FALSE)&amp;LEFT(VLOOKUP($F62,Declarations!$B$6:$E$185,4,FALSE))))</f>
        <v>U12G</v>
      </c>
      <c r="F62" s="58">
        <v>25</v>
      </c>
      <c r="G62" s="122">
        <v>13.5</v>
      </c>
      <c r="H62" s="122"/>
      <c r="I62" s="114" t="str">
        <f>IF(ISNA(VLOOKUP(F62,Declarations!B$6:C$185,2,FALSE)),"",IF(VLOOKUP(F62,Declarations!B$6:C$185,2,FALSE)="","NOT DECLARED",VLOOKUP(F62,Declarations!B$6:C$185,2,FALSE)))</f>
        <v>LILY COPP</v>
      </c>
      <c r="J62" s="112">
        <f>IF(LOWER(G62)="dnf",1,IF(G62&lt;ScoringTable!B$3,ScoringTable!I$2,VLOOKUP((1000-G62),ScoringTable!G$2:I$95,3)))</f>
        <v>35</v>
      </c>
      <c r="K62" s="112" t="str">
        <f>IF(OR(E62="",G62=""),"",IF(RIGHT(E62,1)="G",_xlfn.XLOOKUP(G62,Data!$D$10:$L$10,Data!$D$9:$L$9,"",1,1),_xlfn.XLOOKUP(G62,Data!$D$3:$L$3,Data!$D$2:$L$2,"",1,1)))</f>
        <v>PB5</v>
      </c>
      <c r="L62" s="160" t="str" cm="1">
        <f t="array" ref="L62">IFERROR(_xlfn.IFNA(
                      _xlfn.IFS(
                      G62="", "",
                      AND(E62="U12B",G62&lt;=Data!$M$3), "U12 Boys record",
                      AND(E62="U12G",G62&lt;=Data!$M$10), "U12 Girls record"
                       ),""), "")</f>
        <v/>
      </c>
      <c r="M62" s="18" cm="1">
        <f t="array" ref="M62">_xlfn.IFS($G62="",0, AND(NOT(ISNUMBER($G62)),LOWER($G62)&lt;&gt;"dnf"),"Not a valid time",OR(LOWER($G62)="dnf",$G62&gt;ScoringTable!$M$161),1,RIGHT($E62,1)="B",_xlfn.XLOOKUP($G62,ScoringTable!$M$2:$M$161,ScoringTable!$L$2:$L$161,,1),TRUE,_xlfn.XLOOKUP($G62,ScoringTable!$S$2:$S$161,ScoringTable!$R$2:$R$161,,1))</f>
        <v>60</v>
      </c>
    </row>
    <row r="63" spans="1:13" s="7" customFormat="1" ht="16.05" customHeight="1">
      <c r="A63" s="243" t="s">
        <v>85</v>
      </c>
      <c r="B63" s="114" t="str">
        <f>IF(ISNA(VLOOKUP($F63,Declarations!B$6:C$185,2,FALSE)),"",IF(VLOOKUP($F63,Declarations!B$6:C$185,2,FALSE)="","NOT DECLARED",IF(ISNA(_xlfn.TEXTBEFORE(VLOOKUP($F63,Declarations!B$6:C$185,2,FALSE)," ")),VLOOKUP($F63,Declarations!B$6:C$185,2,FALSE),_xlfn.TEXTBEFORE(VLOOKUP($F63,Declarations!B$6:C$185,2,FALSE)," "))))</f>
        <v>SOPHIE</v>
      </c>
      <c r="C63" s="114" t="str">
        <f>IF(ISNA(VLOOKUP($F63,Declarations!B$6:C$185,2,FALSE)),"",IF(VLOOKUP($F63,Declarations!B$6:C$185,2,FALSE)="","NOT DECLARED",IF(ISNA(_xlfn.TEXTAFTER(VLOOKUP($F63,Declarations!B$6:C$185,2,FALSE)," ")),VLOOKUP($F63,Declarations!B$6:C$185,2,FALSE),_xlfn.TEXTAFTER(VLOOKUP($F63,Declarations!B$6:C$185,2,FALSE)," "))))</f>
        <v>GBAJOBI</v>
      </c>
      <c r="D63" s="114" t="str">
        <f>IF(ISNA(VLOOKUP($F63,Declarations!$B$6:$F$185,5,FALSE)),"",IF(VLOOKUP($F63,Declarations!$B$6:$F$185,5,FALSE)="","NOT DECLARED",VLOOKUP($F63,Declarations!$B$6:$F$185,5,FALSE)))</f>
        <v>Woking AC</v>
      </c>
      <c r="E63" s="112" t="str">
        <f>IF(ISNA(VLOOKUP($F63,Declarations!$B$6:$D$185,3,FALSE)),"",IF(VLOOKUP($F63,Declarations!$B$6:$D$185,3,FALSE)="","NOT DECLARED",VLOOKUP($F63,Declarations!$B$6:$D$185,3,FALSE)&amp;LEFT(VLOOKUP($F63,Declarations!$B$6:$E$185,4,FALSE))))</f>
        <v>U12G</v>
      </c>
      <c r="F63" s="58">
        <v>27</v>
      </c>
      <c r="G63" s="122">
        <v>10.7</v>
      </c>
      <c r="H63" s="122"/>
      <c r="I63" s="114" t="str">
        <f>IF(ISNA(VLOOKUP(F63,Declarations!B$6:C$185,2,FALSE)),"",IF(VLOOKUP(F63,Declarations!B$6:C$185,2,FALSE)="","NOT DECLARED",VLOOKUP(F63,Declarations!B$6:C$185,2,FALSE)))</f>
        <v>SOPHIE GBAJOBI</v>
      </c>
      <c r="J63" s="112">
        <f>IF(LOWER(G63)="dnf",1,IF(G63&lt;ScoringTable!B$3,ScoringTable!I$2,VLOOKUP((1000-G63),ScoringTable!G$2:I$95,3)))</f>
        <v>63</v>
      </c>
      <c r="K63" s="112" t="str">
        <f>IF(OR(E63="",G63=""),"",IF(RIGHT(E63,1)="G",_xlfn.XLOOKUP(G63,Data!$D$10:$L$10,Data!$D$9:$L$9,"",1,1),_xlfn.XLOOKUP(G63,Data!$D$3:$L$3,Data!$D$2:$L$2,"",1,1)))</f>
        <v>PB9</v>
      </c>
      <c r="L63" s="160" t="str" cm="1">
        <f t="array" ref="L63">IFERROR(_xlfn.IFNA(
                      _xlfn.IFS(
                      G63="", "",
                      AND(E63="U12B",G63&lt;=Data!$M$3), "U12 Boys record",
                      AND(E63="U12G",G63&lt;=Data!$M$10), "U12 Girls record"
                       ),""), "")</f>
        <v/>
      </c>
      <c r="M63" s="18" cm="1">
        <f t="array" ref="M63">_xlfn.IFS($G63="",0, AND(NOT(ISNUMBER($G63)),LOWER($G63)&lt;&gt;"dnf"),"Not a valid time",OR(LOWER($G63)="dnf",$G63&gt;ScoringTable!$M$161),1,RIGHT($E63,1)="B",_xlfn.XLOOKUP($G63,ScoringTable!$M$2:$M$161,ScoringTable!$L$2:$L$161,,1),TRUE,_xlfn.XLOOKUP($G63,ScoringTable!$S$2:$S$161,ScoringTable!$R$2:$R$161,,1))</f>
        <v>120</v>
      </c>
    </row>
    <row r="64" spans="1:13" s="7" customFormat="1" ht="16.05" customHeight="1">
      <c r="A64" s="243" t="s">
        <v>85</v>
      </c>
      <c r="B64" s="114" t="str">
        <f>IF(ISNA(VLOOKUP($F64,Declarations!B$6:C$185,2,FALSE)),"",IF(VLOOKUP($F64,Declarations!B$6:C$185,2,FALSE)="","NOT DECLARED",IF(ISNA(_xlfn.TEXTBEFORE(VLOOKUP($F64,Declarations!B$6:C$185,2,FALSE)," ")),VLOOKUP($F64,Declarations!B$6:C$185,2,FALSE),_xlfn.TEXTBEFORE(VLOOKUP($F64,Declarations!B$6:C$185,2,FALSE)," "))))</f>
        <v>LEA</v>
      </c>
      <c r="C64" s="114" t="str">
        <f>IF(ISNA(VLOOKUP($F64,Declarations!B$6:C$185,2,FALSE)),"",IF(VLOOKUP($F64,Declarations!B$6:C$185,2,FALSE)="","NOT DECLARED",IF(ISNA(_xlfn.TEXTAFTER(VLOOKUP($F64,Declarations!B$6:C$185,2,FALSE)," ")),VLOOKUP($F64,Declarations!B$6:C$185,2,FALSE),_xlfn.TEXTAFTER(VLOOKUP($F64,Declarations!B$6:C$185,2,FALSE)," "))))</f>
        <v>MIZEN</v>
      </c>
      <c r="D64" s="114" t="str">
        <f>IF(ISNA(VLOOKUP($F64,Declarations!$B$6:$F$185,5,FALSE)),"",IF(VLOOKUP($F64,Declarations!$B$6:$F$185,5,FALSE)="","NOT DECLARED",VLOOKUP($F64,Declarations!$B$6:$F$185,5,FALSE)))</f>
        <v>Camberley &amp; District AC</v>
      </c>
      <c r="E64" s="112" t="str">
        <f>IF(ISNA(VLOOKUP($F64,Declarations!$B$6:$D$185,3,FALSE)),"",IF(VLOOKUP($F64,Declarations!$B$6:$D$185,3,FALSE)="","NOT DECLARED",VLOOKUP($F64,Declarations!$B$6:$D$185,3,FALSE)&amp;LEFT(VLOOKUP($F64,Declarations!$B$6:$E$185,4,FALSE))))</f>
        <v>U12G</v>
      </c>
      <c r="F64" s="58">
        <v>7</v>
      </c>
      <c r="G64" s="122">
        <v>11.1</v>
      </c>
      <c r="H64" s="122"/>
      <c r="I64" s="114" t="str">
        <f>IF(ISNA(VLOOKUP(F64,Declarations!B$6:C$185,2,FALSE)),"",IF(VLOOKUP(F64,Declarations!B$6:C$185,2,FALSE)="","NOT DECLARED",VLOOKUP(F64,Declarations!B$6:C$185,2,FALSE)))</f>
        <v>LEA MIZEN</v>
      </c>
      <c r="J64" s="112">
        <f>IF(LOWER(G64)="dnf",1,IF(G64&lt;ScoringTable!B$3,ScoringTable!I$2,VLOOKUP((1000-G64),ScoringTable!G$2:I$95,3)))</f>
        <v>59</v>
      </c>
      <c r="K64" s="112" t="str">
        <f>IF(OR(E64="",G64=""),"",IF(RIGHT(E64,1)="G",_xlfn.XLOOKUP(G64,Data!$D$10:$L$10,Data!$D$9:$L$9,"",1,1),_xlfn.XLOOKUP(G64,Data!$D$3:$L$3,Data!$D$2:$L$2,"",1,1)))</f>
        <v>PB9</v>
      </c>
      <c r="L64" s="160" t="str" cm="1">
        <f t="array" ref="L64">IFERROR(_xlfn.IFNA(
                      _xlfn.IFS(
                      G64="", "",
                      AND(E64="U12B",G64&lt;=Data!$M$3), "U12 Boys record",
                      AND(E64="U12G",G64&lt;=Data!$M$10), "U12 Girls record"
                       ),""), "")</f>
        <v/>
      </c>
      <c r="M64" s="18" cm="1">
        <f t="array" ref="M64">_xlfn.IFS($G64="",0, AND(NOT(ISNUMBER($G64)),LOWER($G64)&lt;&gt;"dnf"),"Not a valid time",OR(LOWER($G64)="dnf",$G64&gt;ScoringTable!$M$161),1,RIGHT($E64,1)="B",_xlfn.XLOOKUP($G64,ScoringTable!$M$2:$M$161,ScoringTable!$L$2:$L$161,,1),TRUE,_xlfn.XLOOKUP($G64,ScoringTable!$S$2:$S$161,ScoringTable!$R$2:$R$161,,1))</f>
        <v>112</v>
      </c>
    </row>
    <row r="65" spans="1:13" s="7" customFormat="1" ht="16.05" customHeight="1">
      <c r="A65" s="243" t="s">
        <v>85</v>
      </c>
      <c r="B65" s="114" t="str">
        <f>IF(ISNA(VLOOKUP($F65,Declarations!B$6:C$185,2,FALSE)),"",IF(VLOOKUP($F65,Declarations!B$6:C$185,2,FALSE)="","NOT DECLARED",IF(ISNA(_xlfn.TEXTBEFORE(VLOOKUP($F65,Declarations!B$6:C$185,2,FALSE)," ")),VLOOKUP($F65,Declarations!B$6:C$185,2,FALSE),_xlfn.TEXTBEFORE(VLOOKUP($F65,Declarations!B$6:C$185,2,FALSE)," "))))</f>
        <v>JESSICA</v>
      </c>
      <c r="C65" s="114" t="str">
        <f>IF(ISNA(VLOOKUP($F65,Declarations!B$6:C$185,2,FALSE)),"",IF(VLOOKUP($F65,Declarations!B$6:C$185,2,FALSE)="","NOT DECLARED",IF(ISNA(_xlfn.TEXTAFTER(VLOOKUP($F65,Declarations!B$6:C$185,2,FALSE)," ")),VLOOKUP($F65,Declarations!B$6:C$185,2,FALSE),_xlfn.TEXTAFTER(VLOOKUP($F65,Declarations!B$6:C$185,2,FALSE)," "))))</f>
        <v>FRANK</v>
      </c>
      <c r="D65" s="114" t="str">
        <f>IF(ISNA(VLOOKUP($F65,Declarations!$B$6:$F$185,5,FALSE)),"",IF(VLOOKUP($F65,Declarations!$B$6:$F$185,5,FALSE)="","NOT DECLARED",VLOOKUP($F65,Declarations!$B$6:$F$185,5,FALSE)))</f>
        <v>Poole Runners</v>
      </c>
      <c r="E65" s="112" t="str">
        <f>IF(ISNA(VLOOKUP($F65,Declarations!$B$6:$D$185,3,FALSE)),"",IF(VLOOKUP($F65,Declarations!$B$6:$D$185,3,FALSE)="","NOT DECLARED",VLOOKUP($F65,Declarations!$B$6:$D$185,3,FALSE)&amp;LEFT(VLOOKUP($F65,Declarations!$B$6:$E$185,4,FALSE))))</f>
        <v>U12G</v>
      </c>
      <c r="F65" s="58">
        <v>47</v>
      </c>
      <c r="G65" s="122">
        <v>11.6</v>
      </c>
      <c r="H65" s="122"/>
      <c r="I65" s="114" t="str">
        <f>IF(ISNA(VLOOKUP(F65,Declarations!B$6:C$185,2,FALSE)),"",IF(VLOOKUP(F65,Declarations!B$6:C$185,2,FALSE)="","NOT DECLARED",VLOOKUP(F65,Declarations!B$6:C$185,2,FALSE)))</f>
        <v>JESSICA FRANK</v>
      </c>
      <c r="J65" s="112">
        <f>IF(LOWER(G65)="dnf",1,IF(G65&lt;ScoringTable!B$3,ScoringTable!I$2,VLOOKUP((1000-G65),ScoringTable!G$2:I$95,3)))</f>
        <v>54</v>
      </c>
      <c r="K65" s="112" t="str">
        <f>IF(OR(E65="",G65=""),"",IF(RIGHT(E65,1)="G",_xlfn.XLOOKUP(G65,Data!$D$10:$L$10,Data!$D$9:$L$9,"",1,1),_xlfn.XLOOKUP(G65,Data!$D$3:$L$3,Data!$D$2:$L$2,"",1,1)))</f>
        <v>PB9</v>
      </c>
      <c r="L65" s="160" t="str" cm="1">
        <f t="array" ref="L65">IFERROR(_xlfn.IFNA(
                      _xlfn.IFS(
                      G65="", "",
                      AND(E65="U12B",G65&lt;=Data!$M$3), "U12 Boys record",
                      AND(E65="U12G",G65&lt;=Data!$M$10), "U12 Girls record"
                       ),""), "")</f>
        <v/>
      </c>
      <c r="M65" s="18" cm="1">
        <f t="array" ref="M65">_xlfn.IFS($G65="",0, AND(NOT(ISNUMBER($G65)),LOWER($G65)&lt;&gt;"dnf"),"Not a valid time",OR(LOWER($G65)="dnf",$G65&gt;ScoringTable!$M$161),1,RIGHT($E65,1)="B",_xlfn.XLOOKUP($G65,ScoringTable!$M$2:$M$161,ScoringTable!$L$2:$L$161,,1),TRUE,_xlfn.XLOOKUP($G65,ScoringTable!$S$2:$S$161,ScoringTable!$R$2:$R$161,,1))</f>
        <v>102</v>
      </c>
    </row>
    <row r="66" spans="1:13" s="7" customFormat="1" ht="16.05" customHeight="1">
      <c r="A66" s="243" t="s">
        <v>85</v>
      </c>
      <c r="B66" s="114" t="str">
        <f>IF(ISNA(VLOOKUP($F66,Declarations!B$6:C$185,2,FALSE)),"",IF(VLOOKUP($F66,Declarations!B$6:C$185,2,FALSE)="","NOT DECLARED",IF(ISNA(_xlfn.TEXTBEFORE(VLOOKUP($F66,Declarations!B$6:C$185,2,FALSE)," ")),VLOOKUP($F66,Declarations!B$6:C$185,2,FALSE),_xlfn.TEXTBEFORE(VLOOKUP($F66,Declarations!B$6:C$185,2,FALSE)," "))))</f>
        <v>ISLA</v>
      </c>
      <c r="C66" s="114" t="str">
        <f>IF(ISNA(VLOOKUP($F66,Declarations!B$6:C$185,2,FALSE)),"",IF(VLOOKUP($F66,Declarations!B$6:C$185,2,FALSE)="","NOT DECLARED",IF(ISNA(_xlfn.TEXTAFTER(VLOOKUP($F66,Declarations!B$6:C$185,2,FALSE)," ")),VLOOKUP($F66,Declarations!B$6:C$185,2,FALSE),_xlfn.TEXTAFTER(VLOOKUP($F66,Declarations!B$6:C$185,2,FALSE)," "))))</f>
        <v>HOBBINS</v>
      </c>
      <c r="D66" s="114" t="str">
        <f>IF(ISNA(VLOOKUP($F66,Declarations!$B$6:$F$185,5,FALSE)),"",IF(VLOOKUP($F66,Declarations!$B$6:$F$185,5,FALSE)="","NOT DECLARED",VLOOKUP($F66,Declarations!$B$6:$F$185,5,FALSE)))</f>
        <v>Basingstoke &amp; Mid Hants AC</v>
      </c>
      <c r="E66" s="112" t="str">
        <f>IF(ISNA(VLOOKUP($F66,Declarations!$B$6:$D$185,3,FALSE)),"",IF(VLOOKUP($F66,Declarations!$B$6:$D$185,3,FALSE)="","NOT DECLARED",VLOOKUP($F66,Declarations!$B$6:$D$185,3,FALSE)&amp;LEFT(VLOOKUP($F66,Declarations!$B$6:$E$185,4,FALSE))))</f>
        <v>U12G</v>
      </c>
      <c r="F66" s="58">
        <v>103</v>
      </c>
      <c r="G66" s="122">
        <v>12.6</v>
      </c>
      <c r="H66" s="122"/>
      <c r="I66" s="114" t="str">
        <f>IF(ISNA(VLOOKUP(F66,Declarations!B$6:C$185,2,FALSE)),"",IF(VLOOKUP(F66,Declarations!B$6:C$185,2,FALSE)="","NOT DECLARED",VLOOKUP(F66,Declarations!B$6:C$185,2,FALSE)))</f>
        <v>ISLA HOBBINS</v>
      </c>
      <c r="J66" s="112">
        <f>IF(LOWER(G66)="dnf",1,IF(G66&lt;ScoringTable!B$3,ScoringTable!I$2,VLOOKUP((1000-G66),ScoringTable!G$2:I$95,3)))</f>
        <v>44</v>
      </c>
      <c r="K66" s="112" t="str">
        <f>IF(OR(E66="",G66=""),"",IF(RIGHT(E66,1)="G",_xlfn.XLOOKUP(G66,Data!$D$10:$L$10,Data!$D$9:$L$9,"",1,1),_xlfn.XLOOKUP(G66,Data!$D$3:$L$3,Data!$D$2:$L$2,"",1,1)))</f>
        <v>PB6</v>
      </c>
      <c r="L66" s="160" t="str" cm="1">
        <f t="array" ref="L66">IFERROR(_xlfn.IFNA(
                      _xlfn.IFS(
                      G66="", "",
                      AND(E66="U12B",G66&lt;=Data!$M$3), "U12 Boys record",
                      AND(E66="U12G",G66&lt;=Data!$M$10), "U12 Girls record"
                       ),""), "")</f>
        <v/>
      </c>
      <c r="M66" s="18" cm="1">
        <f t="array" ref="M66">_xlfn.IFS($G66="",0, AND(NOT(ISNUMBER($G66)),LOWER($G66)&lt;&gt;"dnf"),"Not a valid time",OR(LOWER($G66)="dnf",$G66&gt;ScoringTable!$M$161),1,RIGHT($E66,1)="B",_xlfn.XLOOKUP($G66,ScoringTable!$M$2:$M$161,ScoringTable!$L$2:$L$161,,1),TRUE,_xlfn.XLOOKUP($G66,ScoringTable!$S$2:$S$161,ScoringTable!$R$2:$R$161,,1))</f>
        <v>78</v>
      </c>
    </row>
    <row r="67" spans="1:13" s="7" customFormat="1" ht="16.05" customHeight="1">
      <c r="A67" s="243" t="s">
        <v>85</v>
      </c>
      <c r="B67" s="114" t="str">
        <f>IF(ISNA(VLOOKUP($F67,Declarations!B$6:C$185,2,FALSE)),"",IF(VLOOKUP($F67,Declarations!B$6:C$185,2,FALSE)="","NOT DECLARED",IF(ISNA(_xlfn.TEXTBEFORE(VLOOKUP($F67,Declarations!B$6:C$185,2,FALSE)," ")),VLOOKUP($F67,Declarations!B$6:C$185,2,FALSE),_xlfn.TEXTBEFORE(VLOOKUP($F67,Declarations!B$6:C$185,2,FALSE)," "))))</f>
        <v>BETH</v>
      </c>
      <c r="C67" s="114" t="str">
        <f>IF(ISNA(VLOOKUP($F67,Declarations!B$6:C$185,2,FALSE)),"",IF(VLOOKUP($F67,Declarations!B$6:C$185,2,FALSE)="","NOT DECLARED",IF(ISNA(_xlfn.TEXTAFTER(VLOOKUP($F67,Declarations!B$6:C$185,2,FALSE)," ")),VLOOKUP($F67,Declarations!B$6:C$185,2,FALSE),_xlfn.TEXTAFTER(VLOOKUP($F67,Declarations!B$6:C$185,2,FALSE)," "))))</f>
        <v>JOHNSTON</v>
      </c>
      <c r="D67" s="114" t="str">
        <f>IF(ISNA(VLOOKUP($F67,Declarations!$B$6:$F$185,5,FALSE)),"",IF(VLOOKUP($F67,Declarations!$B$6:$F$185,5,FALSE)="","NOT DECLARED",VLOOKUP($F67,Declarations!$B$6:$F$185,5,FALSE)))</f>
        <v>Fleet &amp; Crookham AC</v>
      </c>
      <c r="E67" s="112" t="str">
        <f>IF(ISNA(VLOOKUP($F67,Declarations!$B$6:$D$185,3,FALSE)),"",IF(VLOOKUP($F67,Declarations!$B$6:$D$185,3,FALSE)="","NOT DECLARED",VLOOKUP($F67,Declarations!$B$6:$D$185,3,FALSE)&amp;LEFT(VLOOKUP($F67,Declarations!$B$6:$E$185,4,FALSE))))</f>
        <v>U12G</v>
      </c>
      <c r="F67" s="58">
        <v>63</v>
      </c>
      <c r="G67" s="122">
        <v>12.6</v>
      </c>
      <c r="H67" s="122"/>
      <c r="I67" s="114" t="str">
        <f>IF(ISNA(VLOOKUP(F67,Declarations!B$6:C$185,2,FALSE)),"",IF(VLOOKUP(F67,Declarations!B$6:C$185,2,FALSE)="","NOT DECLARED",VLOOKUP(F67,Declarations!B$6:C$185,2,FALSE)))</f>
        <v>BETH JOHNSTON</v>
      </c>
      <c r="J67" s="112">
        <f>IF(LOWER(G67)="dnf",1,IF(G67&lt;ScoringTable!B$3,ScoringTable!I$2,VLOOKUP((1000-G67),ScoringTable!G$2:I$95,3)))</f>
        <v>44</v>
      </c>
      <c r="K67" s="112" t="str">
        <f>IF(OR(E67="",G67=""),"",IF(RIGHT(E67,1)="G",_xlfn.XLOOKUP(G67,Data!$D$10:$L$10,Data!$D$9:$L$9,"",1,1),_xlfn.XLOOKUP(G67,Data!$D$3:$L$3,Data!$D$2:$L$2,"",1,1)))</f>
        <v>PB6</v>
      </c>
      <c r="L67" s="160" t="str" cm="1">
        <f t="array" ref="L67">IFERROR(_xlfn.IFNA(
                      _xlfn.IFS(
                      G67="", "",
                      AND(E67="U12B",G67&lt;=Data!$M$3), "U12 Boys record",
                      AND(E67="U12G",G67&lt;=Data!$M$10), "U12 Girls record"
                       ),""), "")</f>
        <v/>
      </c>
      <c r="M67" s="18" cm="1">
        <f t="array" ref="M67">_xlfn.IFS($G67="",0, AND(NOT(ISNUMBER($G67)),LOWER($G67)&lt;&gt;"dnf"),"Not a valid time",OR(LOWER($G67)="dnf",$G67&gt;ScoringTable!$M$161),1,RIGHT($E67,1)="B",_xlfn.XLOOKUP($G67,ScoringTable!$M$2:$M$161,ScoringTable!$L$2:$L$161,,1),TRUE,_xlfn.XLOOKUP($G67,ScoringTable!$S$2:$S$161,ScoringTable!$R$2:$R$161,,1))</f>
        <v>78</v>
      </c>
    </row>
    <row r="68" spans="1:13" s="7" customFormat="1" ht="16.05" customHeight="1">
      <c r="A68" s="243" t="s">
        <v>85</v>
      </c>
      <c r="B68" s="114" t="str">
        <f>IF(ISNA(VLOOKUP($F68,Declarations!B$6:C$185,2,FALSE)),"",IF(VLOOKUP($F68,Declarations!B$6:C$185,2,FALSE)="","NOT DECLARED",IF(ISNA(_xlfn.TEXTBEFORE(VLOOKUP($F68,Declarations!B$6:C$185,2,FALSE)," ")),VLOOKUP($F68,Declarations!B$6:C$185,2,FALSE),_xlfn.TEXTBEFORE(VLOOKUP($F68,Declarations!B$6:C$185,2,FALSE)," "))))</f>
        <v>ELEANOR</v>
      </c>
      <c r="C68" s="114" t="str">
        <f>IF(ISNA(VLOOKUP($F68,Declarations!B$6:C$185,2,FALSE)),"",IF(VLOOKUP($F68,Declarations!B$6:C$185,2,FALSE)="","NOT DECLARED",IF(ISNA(_xlfn.TEXTAFTER(VLOOKUP($F68,Declarations!B$6:C$185,2,FALSE)," ")),VLOOKUP($F68,Declarations!B$6:C$185,2,FALSE),_xlfn.TEXTAFTER(VLOOKUP($F68,Declarations!B$6:C$185,2,FALSE)," "))))</f>
        <v>OLALEMI</v>
      </c>
      <c r="D68" s="114" t="str">
        <f>IF(ISNA(VLOOKUP($F68,Declarations!$B$6:$F$185,5,FALSE)),"",IF(VLOOKUP($F68,Declarations!$B$6:$F$185,5,FALSE)="","NOT DECLARED",VLOOKUP($F68,Declarations!$B$6:$F$185,5,FALSE)))</f>
        <v>Waverley Athletics Club</v>
      </c>
      <c r="E68" s="112" t="str">
        <f>IF(ISNA(VLOOKUP($F68,Declarations!$B$6:$D$185,3,FALSE)),"",IF(VLOOKUP($F68,Declarations!$B$6:$D$185,3,FALSE)="","NOT DECLARED",VLOOKUP($F68,Declarations!$B$6:$D$185,3,FALSE)&amp;LEFT(VLOOKUP($F68,Declarations!$B$6:$E$185,4,FALSE))))</f>
        <v>U12G</v>
      </c>
      <c r="F68" s="58">
        <v>83</v>
      </c>
      <c r="G68" s="122">
        <v>15.2</v>
      </c>
      <c r="H68" s="122"/>
      <c r="I68" s="114" t="str">
        <f>IF(ISNA(VLOOKUP(F68,Declarations!B$6:C$185,2,FALSE)),"",IF(VLOOKUP(F68,Declarations!B$6:C$185,2,FALSE)="","NOT DECLARED",VLOOKUP(F68,Declarations!B$6:C$185,2,FALSE)))</f>
        <v>ELEANOR OLALEMI</v>
      </c>
      <c r="J68" s="112">
        <f>IF(LOWER(G68)="dnf",1,IF(G68&lt;ScoringTable!B$3,ScoringTable!I$2,VLOOKUP((1000-G68),ScoringTable!G$2:I$95,3)))</f>
        <v>18</v>
      </c>
      <c r="K68" s="112" t="str">
        <f>IF(OR(E68="",G68=""),"",IF(RIGHT(E68,1)="G",_xlfn.XLOOKUP(G68,Data!$D$10:$L$10,Data!$D$9:$L$9,"",1,1),_xlfn.XLOOKUP(G68,Data!$D$3:$L$3,Data!$D$2:$L$2,"",1,1)))</f>
        <v>PB1</v>
      </c>
      <c r="L68" s="160" t="str" cm="1">
        <f t="array" ref="L68">IFERROR(_xlfn.IFNA(
                      _xlfn.IFS(
                      G68="", "",
                      AND(E68="U12B",G68&lt;=Data!$M$3), "U12 Boys record",
                      AND(E68="U12G",G68&lt;=Data!$M$10), "U12 Girls record"
                       ),""), "")</f>
        <v/>
      </c>
      <c r="M68" s="18" cm="1">
        <f t="array" ref="M68">_xlfn.IFS($G68="",0, AND(NOT(ISNUMBER($G68)),LOWER($G68)&lt;&gt;"dnf"),"Not a valid time",OR(LOWER($G68)="dnf",$G68&gt;ScoringTable!$M$161),1,RIGHT($E68,1)="B",_xlfn.XLOOKUP($G68,ScoringTable!$M$2:$M$161,ScoringTable!$L$2:$L$161,,1),TRUE,_xlfn.XLOOKUP($G68,ScoringTable!$S$2:$S$161,ScoringTable!$R$2:$R$161,,1))</f>
        <v>28</v>
      </c>
    </row>
    <row r="69" spans="1:13" s="7" customFormat="1" ht="16.05" customHeight="1">
      <c r="A69" s="243" t="s">
        <v>85</v>
      </c>
      <c r="B69" s="114" t="str">
        <f>IF(ISNA(VLOOKUP($F69,Declarations!B$6:C$185,2,FALSE)),"",IF(VLOOKUP($F69,Declarations!B$6:C$185,2,FALSE)="","NOT DECLARED",IF(ISNA(_xlfn.TEXTBEFORE(VLOOKUP($F69,Declarations!B$6:C$185,2,FALSE)," ")),VLOOKUP($F69,Declarations!B$6:C$185,2,FALSE),_xlfn.TEXTBEFORE(VLOOKUP($F69,Declarations!B$6:C$185,2,FALSE)," "))))</f>
        <v>FREYA</v>
      </c>
      <c r="C69" s="114" t="str">
        <f>IF(ISNA(VLOOKUP($F69,Declarations!B$6:C$185,2,FALSE)),"",IF(VLOOKUP($F69,Declarations!B$6:C$185,2,FALSE)="","NOT DECLARED",IF(ISNA(_xlfn.TEXTAFTER(VLOOKUP($F69,Declarations!B$6:C$185,2,FALSE)," ")),VLOOKUP($F69,Declarations!B$6:C$185,2,FALSE),_xlfn.TEXTAFTER(VLOOKUP($F69,Declarations!B$6:C$185,2,FALSE)," "))))</f>
        <v>MCKENZIE</v>
      </c>
      <c r="D69" s="114" t="str">
        <f>IF(ISNA(VLOOKUP($F69,Declarations!$B$6:$F$185,5,FALSE)),"",IF(VLOOKUP($F69,Declarations!$B$6:$F$185,5,FALSE)="","NOT DECLARED",VLOOKUP($F69,Declarations!$B$6:$F$185,5,FALSE)))</f>
        <v>Waverley Athletics Club</v>
      </c>
      <c r="E69" s="112" t="str">
        <f>IF(ISNA(VLOOKUP($F69,Declarations!$B$6:$D$185,3,FALSE)),"",IF(VLOOKUP($F69,Declarations!$B$6:$D$185,3,FALSE)="","NOT DECLARED",VLOOKUP($F69,Declarations!$B$6:$D$185,3,FALSE)&amp;LEFT(VLOOKUP($F69,Declarations!$B$6:$E$185,4,FALSE))))</f>
        <v>U12G</v>
      </c>
      <c r="F69" s="58">
        <v>84</v>
      </c>
      <c r="G69" s="122">
        <v>11.3</v>
      </c>
      <c r="H69" s="122"/>
      <c r="I69" s="114" t="str">
        <f>IF(ISNA(VLOOKUP(F69,Declarations!B$6:C$185,2,FALSE)),"",IF(VLOOKUP(F69,Declarations!B$6:C$185,2,FALSE)="","NOT DECLARED",VLOOKUP(F69,Declarations!B$6:C$185,2,FALSE)))</f>
        <v>FREYA MCKENZIE</v>
      </c>
      <c r="J69" s="112">
        <f>IF(LOWER(G69)="dnf",1,IF(G69&lt;ScoringTable!B$3,ScoringTable!I$2,VLOOKUP((1000-G69),ScoringTable!G$2:I$95,3)))</f>
        <v>57</v>
      </c>
      <c r="K69" s="112" t="str">
        <f>IF(OR(E69="",G69=""),"",IF(RIGHT(E69,1)="G",_xlfn.XLOOKUP(G69,Data!$D$10:$L$10,Data!$D$9:$L$9,"",1,1),_xlfn.XLOOKUP(G69,Data!$D$3:$L$3,Data!$D$2:$L$2,"",1,1)))</f>
        <v>PB9</v>
      </c>
      <c r="L69" s="160" t="str" cm="1">
        <f t="array" ref="L69">IFERROR(_xlfn.IFNA(
                      _xlfn.IFS(
                      G69="", "",
                      AND(E69="U12B",G69&lt;=Data!$M$3), "U12 Boys record",
                      AND(E69="U12G",G69&lt;=Data!$M$10), "U12 Girls record"
                       ),""), "")</f>
        <v/>
      </c>
      <c r="M69" s="18" cm="1">
        <f t="array" ref="M69">_xlfn.IFS($G69="",0, AND(NOT(ISNUMBER($G69)),LOWER($G69)&lt;&gt;"dnf"),"Not a valid time",OR(LOWER($G69)="dnf",$G69&gt;ScoringTable!$M$161),1,RIGHT($E69,1)="B",_xlfn.XLOOKUP($G69,ScoringTable!$M$2:$M$161,ScoringTable!$L$2:$L$161,,1),TRUE,_xlfn.XLOOKUP($G69,ScoringTable!$S$2:$S$161,ScoringTable!$R$2:$R$161,,1))</f>
        <v>108</v>
      </c>
    </row>
    <row r="70" spans="1:13" s="7" customFormat="1" ht="16.05" customHeight="1">
      <c r="A70" s="243" t="s">
        <v>85</v>
      </c>
      <c r="B70" s="114" t="str">
        <f>IF(ISNA(VLOOKUP($F70,Declarations!B$6:C$185,2,FALSE)),"",IF(VLOOKUP($F70,Declarations!B$6:C$185,2,FALSE)="","NOT DECLARED",IF(ISNA(_xlfn.TEXTBEFORE(VLOOKUP($F70,Declarations!B$6:C$185,2,FALSE)," ")),VLOOKUP($F70,Declarations!B$6:C$185,2,FALSE),_xlfn.TEXTBEFORE(VLOOKUP($F70,Declarations!B$6:C$185,2,FALSE)," "))))</f>
        <v>MATILDA</v>
      </c>
      <c r="C70" s="114" t="str">
        <f>IF(ISNA(VLOOKUP($F70,Declarations!B$6:C$185,2,FALSE)),"",IF(VLOOKUP($F70,Declarations!B$6:C$185,2,FALSE)="","NOT DECLARED",IF(ISNA(_xlfn.TEXTAFTER(VLOOKUP($F70,Declarations!B$6:C$185,2,FALSE)," ")),VLOOKUP($F70,Declarations!B$6:C$185,2,FALSE),_xlfn.TEXTAFTER(VLOOKUP($F70,Declarations!B$6:C$185,2,FALSE)," "))))</f>
        <v>FLINT</v>
      </c>
      <c r="D70" s="114" t="str">
        <f>IF(ISNA(VLOOKUP($F70,Declarations!$B$6:$F$185,5,FALSE)),"",IF(VLOOKUP($F70,Declarations!$B$6:$F$185,5,FALSE)="","NOT DECLARED",VLOOKUP($F70,Declarations!$B$6:$F$185,5,FALSE)))</f>
        <v>Fleet &amp; Crookham AC</v>
      </c>
      <c r="E70" s="112" t="str">
        <f>IF(ISNA(VLOOKUP($F70,Declarations!$B$6:$D$185,3,FALSE)),"",IF(VLOOKUP($F70,Declarations!$B$6:$D$185,3,FALSE)="","NOT DECLARED",VLOOKUP($F70,Declarations!$B$6:$D$185,3,FALSE)&amp;LEFT(VLOOKUP($F70,Declarations!$B$6:$E$185,4,FALSE))))</f>
        <v>U12G</v>
      </c>
      <c r="F70" s="58">
        <v>64</v>
      </c>
      <c r="G70" s="122">
        <v>11.3</v>
      </c>
      <c r="H70" s="122"/>
      <c r="I70" s="114" t="str">
        <f>IF(ISNA(VLOOKUP(F70,Declarations!B$6:C$185,2,FALSE)),"",IF(VLOOKUP(F70,Declarations!B$6:C$185,2,FALSE)="","NOT DECLARED",VLOOKUP(F70,Declarations!B$6:C$185,2,FALSE)))</f>
        <v>MATILDA FLINT</v>
      </c>
      <c r="J70" s="112">
        <f>IF(LOWER(G70)="dnf",1,IF(G70&lt;ScoringTable!B$3,ScoringTable!I$2,VLOOKUP((1000-G70),ScoringTable!G$2:I$95,3)))</f>
        <v>57</v>
      </c>
      <c r="K70" s="112" t="str">
        <f>IF(OR(E70="",G70=""),"",IF(RIGHT(E70,1)="G",_xlfn.XLOOKUP(G70,Data!$D$10:$L$10,Data!$D$9:$L$9,"",1,1),_xlfn.XLOOKUP(G70,Data!$D$3:$L$3,Data!$D$2:$L$2,"",1,1)))</f>
        <v>PB9</v>
      </c>
      <c r="L70" s="160" t="str" cm="1">
        <f t="array" ref="L70">IFERROR(_xlfn.IFNA(
                      _xlfn.IFS(
                      G70="", "",
                      AND(E70="U12B",G70&lt;=Data!$M$3), "U12 Boys record",
                      AND(E70="U12G",G70&lt;=Data!$M$10), "U12 Girls record"
                       ),""), "")</f>
        <v/>
      </c>
      <c r="M70" s="18" cm="1">
        <f t="array" ref="M70">_xlfn.IFS($G70="",0, AND(NOT(ISNUMBER($G70)),LOWER($G70)&lt;&gt;"dnf"),"Not a valid time",OR(LOWER($G70)="dnf",$G70&gt;ScoringTable!$M$161),1,RIGHT($E70,1)="B",_xlfn.XLOOKUP($G70,ScoringTable!$M$2:$M$161,ScoringTable!$L$2:$L$161,,1),TRUE,_xlfn.XLOOKUP($G70,ScoringTable!$S$2:$S$161,ScoringTable!$R$2:$R$161,,1))</f>
        <v>108</v>
      </c>
    </row>
    <row r="71" spans="1:13" s="7" customFormat="1" ht="16.05" customHeight="1">
      <c r="A71" s="243" t="s">
        <v>85</v>
      </c>
      <c r="B71" s="114" t="str">
        <f>IF(ISNA(VLOOKUP($F71,Declarations!B$6:C$185,2,FALSE)),"",IF(VLOOKUP($F71,Declarations!B$6:C$185,2,FALSE)="","NOT DECLARED",IF(ISNA(_xlfn.TEXTBEFORE(VLOOKUP($F71,Declarations!B$6:C$185,2,FALSE)," ")),VLOOKUP($F71,Declarations!B$6:C$185,2,FALSE),_xlfn.TEXTBEFORE(VLOOKUP($F71,Declarations!B$6:C$185,2,FALSE)," "))))</f>
        <v>ROSE</v>
      </c>
      <c r="C71" s="114" t="str">
        <f>IF(ISNA(VLOOKUP($F71,Declarations!B$6:C$185,2,FALSE)),"",IF(VLOOKUP($F71,Declarations!B$6:C$185,2,FALSE)="","NOT DECLARED",IF(ISNA(_xlfn.TEXTAFTER(VLOOKUP($F71,Declarations!B$6:C$185,2,FALSE)," ")),VLOOKUP($F71,Declarations!B$6:C$185,2,FALSE),_xlfn.TEXTAFTER(VLOOKUP($F71,Declarations!B$6:C$185,2,FALSE)," "))))</f>
        <v>NEIL</v>
      </c>
      <c r="D71" s="114" t="str">
        <f>IF(ISNA(VLOOKUP($F71,Declarations!$B$6:$F$185,5,FALSE)),"",IF(VLOOKUP($F71,Declarations!$B$6:$F$185,5,FALSE)="","NOT DECLARED",VLOOKUP($F71,Declarations!$B$6:$F$185,5,FALSE)))</f>
        <v>Poole Runners</v>
      </c>
      <c r="E71" s="112" t="str">
        <f>IF(ISNA(VLOOKUP($F71,Declarations!$B$6:$D$185,3,FALSE)),"",IF(VLOOKUP($F71,Declarations!$B$6:$D$185,3,FALSE)="","NOT DECLARED",VLOOKUP($F71,Declarations!$B$6:$D$185,3,FALSE)&amp;LEFT(VLOOKUP($F71,Declarations!$B$6:$E$185,4,FALSE))))</f>
        <v>U12G</v>
      </c>
      <c r="F71" s="58">
        <v>42</v>
      </c>
      <c r="G71" s="122">
        <v>11.9</v>
      </c>
      <c r="H71" s="122"/>
      <c r="I71" s="114" t="str">
        <f>IF(ISNA(VLOOKUP(F71,Declarations!B$6:C$185,2,FALSE)),"",IF(VLOOKUP(F71,Declarations!B$6:C$185,2,FALSE)="","NOT DECLARED",VLOOKUP(F71,Declarations!B$6:C$185,2,FALSE)))</f>
        <v>ROSE NEIL</v>
      </c>
      <c r="J71" s="112">
        <f>IF(LOWER(G71)="dnf",1,IF(G71&lt;ScoringTable!B$3,ScoringTable!I$2,VLOOKUP((1000-G71),ScoringTable!G$2:I$95,3)))</f>
        <v>51</v>
      </c>
      <c r="K71" s="112" t="str">
        <f>IF(OR(E71="",G71=""),"",IF(RIGHT(E71,1)="G",_xlfn.XLOOKUP(G71,Data!$D$10:$L$10,Data!$D$9:$L$9,"",1,1),_xlfn.XLOOKUP(G71,Data!$D$3:$L$3,Data!$D$2:$L$2,"",1,1)))</f>
        <v>PB8</v>
      </c>
      <c r="L71" s="160" t="str" cm="1">
        <f t="array" ref="L71">IFERROR(_xlfn.IFNA(
                      _xlfn.IFS(
                      G71="", "",
                      AND(E71="U12B",G71&lt;=Data!$M$3), "U12 Boys record",
                      AND(E71="U12G",G71&lt;=Data!$M$10), "U12 Girls record"
                       ),""), "")</f>
        <v/>
      </c>
      <c r="M71" s="18" cm="1">
        <f t="array" ref="M71">_xlfn.IFS($G71="",0, AND(NOT(ISNUMBER($G71)),LOWER($G71)&lt;&gt;"dnf"),"Not a valid time",OR(LOWER($G71)="dnf",$G71&gt;ScoringTable!$M$161),1,RIGHT($E71,1)="B",_xlfn.XLOOKUP($G71,ScoringTable!$M$2:$M$161,ScoringTable!$L$2:$L$161,,1),TRUE,_xlfn.XLOOKUP($G71,ScoringTable!$S$2:$S$161,ScoringTable!$R$2:$R$161,,1))</f>
        <v>95</v>
      </c>
    </row>
    <row r="72" spans="1:13" s="7" customFormat="1" ht="16.05" customHeight="1">
      <c r="A72" s="243" t="s">
        <v>85</v>
      </c>
      <c r="B72" s="114" t="str">
        <f>IF(ISNA(VLOOKUP($F72,Declarations!B$6:C$185,2,FALSE)),"",IF(VLOOKUP($F72,Declarations!B$6:C$185,2,FALSE)="","NOT DECLARED",IF(ISNA(_xlfn.TEXTBEFORE(VLOOKUP($F72,Declarations!B$6:C$185,2,FALSE)," ")),VLOOKUP($F72,Declarations!B$6:C$185,2,FALSE),_xlfn.TEXTBEFORE(VLOOKUP($F72,Declarations!B$6:C$185,2,FALSE)," "))))</f>
        <v>ALIYAH</v>
      </c>
      <c r="C72" s="114" t="str">
        <f>IF(ISNA(VLOOKUP($F72,Declarations!B$6:C$185,2,FALSE)),"",IF(VLOOKUP($F72,Declarations!B$6:C$185,2,FALSE)="","NOT DECLARED",IF(ISNA(_xlfn.TEXTAFTER(VLOOKUP($F72,Declarations!B$6:C$185,2,FALSE)," ")),VLOOKUP($F72,Declarations!B$6:C$185,2,FALSE),_xlfn.TEXTAFTER(VLOOKUP($F72,Declarations!B$6:C$185,2,FALSE)," "))))</f>
        <v>KENNAUGH</v>
      </c>
      <c r="D72" s="114" t="str">
        <f>IF(ISNA(VLOOKUP($F72,Declarations!$B$6:$F$185,5,FALSE)),"",IF(VLOOKUP($F72,Declarations!$B$6:$F$185,5,FALSE)="","NOT DECLARED",VLOOKUP($F72,Declarations!$B$6:$F$185,5,FALSE)))</f>
        <v>Woking AC</v>
      </c>
      <c r="E72" s="112" t="str">
        <f>IF(ISNA(VLOOKUP($F72,Declarations!$B$6:$D$185,3,FALSE)),"",IF(VLOOKUP($F72,Declarations!$B$6:$D$185,3,FALSE)="","NOT DECLARED",VLOOKUP($F72,Declarations!$B$6:$D$185,3,FALSE)&amp;LEFT(VLOOKUP($F72,Declarations!$B$6:$E$185,4,FALSE))))</f>
        <v>U12G</v>
      </c>
      <c r="F72" s="58">
        <v>23</v>
      </c>
      <c r="G72" s="122">
        <v>12.2</v>
      </c>
      <c r="H72" s="122"/>
      <c r="I72" s="114" t="str">
        <f>IF(ISNA(VLOOKUP(F72,Declarations!B$6:C$185,2,FALSE)),"",IF(VLOOKUP(F72,Declarations!B$6:C$185,2,FALSE)="","NOT DECLARED",VLOOKUP(F72,Declarations!B$6:C$185,2,FALSE)))</f>
        <v>ALIYAH KENNAUGH</v>
      </c>
      <c r="J72" s="112">
        <f>IF(LOWER(G72)="dnf",1,IF(G72&lt;ScoringTable!B$3,ScoringTable!I$2,VLOOKUP((1000-G72),ScoringTable!G$2:I$95,3)))</f>
        <v>48</v>
      </c>
      <c r="K72" s="112" t="str">
        <f>IF(OR(E72="",G72=""),"",IF(RIGHT(E72,1)="G",_xlfn.XLOOKUP(G72,Data!$D$10:$L$10,Data!$D$9:$L$9,"",1,1),_xlfn.XLOOKUP(G72,Data!$D$3:$L$3,Data!$D$2:$L$2,"",1,1)))</f>
        <v>PB7</v>
      </c>
      <c r="L72" s="160" t="str" cm="1">
        <f t="array" ref="L72">IFERROR(_xlfn.IFNA(
                      _xlfn.IFS(
                      G72="", "",
                      AND(E72="U12B",G72&lt;=Data!$M$3), "U12 Boys record",
                      AND(E72="U12G",G72&lt;=Data!$M$10), "U12 Girls record"
                       ),""), "")</f>
        <v/>
      </c>
      <c r="M72" s="18" cm="1">
        <f t="array" ref="M72">_xlfn.IFS($G72="",0, AND(NOT(ISNUMBER($G72)),LOWER($G72)&lt;&gt;"dnf"),"Not a valid time",OR(LOWER($G72)="dnf",$G72&gt;ScoringTable!$M$161),1,RIGHT($E72,1)="B",_xlfn.XLOOKUP($G72,ScoringTable!$M$2:$M$161,ScoringTable!$L$2:$L$161,,1),TRUE,_xlfn.XLOOKUP($G72,ScoringTable!$S$2:$S$161,ScoringTable!$R$2:$R$161,,1))</f>
        <v>87</v>
      </c>
    </row>
    <row r="73" spans="1:13" s="7" customFormat="1" ht="16.05" customHeight="1">
      <c r="A73" s="243" t="s">
        <v>85</v>
      </c>
      <c r="B73" s="114" t="str">
        <f>IF(ISNA(VLOOKUP($F73,Declarations!B$6:C$185,2,FALSE)),"",IF(VLOOKUP($F73,Declarations!B$6:C$185,2,FALSE)="","NOT DECLARED",IF(ISNA(_xlfn.TEXTBEFORE(VLOOKUP($F73,Declarations!B$6:C$185,2,FALSE)," ")),VLOOKUP($F73,Declarations!B$6:C$185,2,FALSE),_xlfn.TEXTBEFORE(VLOOKUP($F73,Declarations!B$6:C$185,2,FALSE)," "))))</f>
        <v>AVA</v>
      </c>
      <c r="C73" s="114" t="str">
        <f>IF(ISNA(VLOOKUP($F73,Declarations!B$6:C$185,2,FALSE)),"",IF(VLOOKUP($F73,Declarations!B$6:C$185,2,FALSE)="","NOT DECLARED",IF(ISNA(_xlfn.TEXTAFTER(VLOOKUP($F73,Declarations!B$6:C$185,2,FALSE)," ")),VLOOKUP($F73,Declarations!B$6:C$185,2,FALSE),_xlfn.TEXTAFTER(VLOOKUP($F73,Declarations!B$6:C$185,2,FALSE)," "))))</f>
        <v>WANLESS</v>
      </c>
      <c r="D73" s="114" t="str">
        <f>IF(ISNA(VLOOKUP($F73,Declarations!$B$6:$F$185,5,FALSE)),"",IF(VLOOKUP($F73,Declarations!$B$6:$F$185,5,FALSE)="","NOT DECLARED",VLOOKUP($F73,Declarations!$B$6:$F$185,5,FALSE)))</f>
        <v>Camberley &amp; District AC</v>
      </c>
      <c r="E73" s="112" t="str">
        <f>IF(ISNA(VLOOKUP($F73,Declarations!$B$6:$D$185,3,FALSE)),"",IF(VLOOKUP($F73,Declarations!$B$6:$D$185,3,FALSE)="","NOT DECLARED",VLOOKUP($F73,Declarations!$B$6:$D$185,3,FALSE)&amp;LEFT(VLOOKUP($F73,Declarations!$B$6:$E$185,4,FALSE))))</f>
        <v>U12G</v>
      </c>
      <c r="F73" s="58">
        <v>4</v>
      </c>
      <c r="G73" s="122">
        <v>12.3</v>
      </c>
      <c r="H73" s="122"/>
      <c r="I73" s="114" t="str">
        <f>IF(ISNA(VLOOKUP(F73,Declarations!B$6:C$185,2,FALSE)),"",IF(VLOOKUP(F73,Declarations!B$6:C$185,2,FALSE)="","NOT DECLARED",VLOOKUP(F73,Declarations!B$6:C$185,2,FALSE)))</f>
        <v>AVA WANLESS</v>
      </c>
      <c r="J73" s="112">
        <f>IF(LOWER(G73)="dnf",1,IF(G73&lt;ScoringTable!B$3,ScoringTable!I$2,VLOOKUP((1000-G73),ScoringTable!G$2:I$95,3)))</f>
        <v>47</v>
      </c>
      <c r="K73" s="112" t="str">
        <f>IF(OR(E73="",G73=""),"",IF(RIGHT(E73,1)="G",_xlfn.XLOOKUP(G73,Data!$D$10:$L$10,Data!$D$9:$L$9,"",1,1),_xlfn.XLOOKUP(G73,Data!$D$3:$L$3,Data!$D$2:$L$2,"",1,1)))</f>
        <v>PB7</v>
      </c>
      <c r="L73" s="160" t="str" cm="1">
        <f t="array" ref="L73">IFERROR(_xlfn.IFNA(
                      _xlfn.IFS(
                      G73="", "",
                      AND(E73="U12B",G73&lt;=Data!$M$3), "U12 Boys record",
                      AND(E73="U12G",G73&lt;=Data!$M$10), "U12 Girls record"
                       ),""), "")</f>
        <v/>
      </c>
      <c r="M73" s="18" cm="1">
        <f t="array" ref="M73">_xlfn.IFS($G73="",0, AND(NOT(ISNUMBER($G73)),LOWER($G73)&lt;&gt;"dnf"),"Not a valid time",OR(LOWER($G73)="dnf",$G73&gt;ScoringTable!$M$161),1,RIGHT($E73,1)="B",_xlfn.XLOOKUP($G73,ScoringTable!$M$2:$M$161,ScoringTable!$L$2:$L$161,,1),TRUE,_xlfn.XLOOKUP($G73,ScoringTable!$S$2:$S$161,ScoringTable!$R$2:$R$161,,1))</f>
        <v>85</v>
      </c>
    </row>
    <row r="74" spans="1:13" s="7" customFormat="1" ht="16.05" customHeight="1">
      <c r="A74" s="243" t="s">
        <v>85</v>
      </c>
      <c r="B74" s="114" t="str">
        <f>IF(ISNA(VLOOKUP($F74,Declarations!B$6:C$185,2,FALSE)),"",IF(VLOOKUP($F74,Declarations!B$6:C$185,2,FALSE)="","NOT DECLARED",IF(ISNA(_xlfn.TEXTBEFORE(VLOOKUP($F74,Declarations!B$6:C$185,2,FALSE)," ")),VLOOKUP($F74,Declarations!B$6:C$185,2,FALSE),_xlfn.TEXTBEFORE(VLOOKUP($F74,Declarations!B$6:C$185,2,FALSE)," "))))</f>
        <v>BEATRICE</v>
      </c>
      <c r="C74" s="114" t="str">
        <f>IF(ISNA(VLOOKUP($F74,Declarations!B$6:C$185,2,FALSE)),"",IF(VLOOKUP($F74,Declarations!B$6:C$185,2,FALSE)="","NOT DECLARED",IF(ISNA(_xlfn.TEXTAFTER(VLOOKUP($F74,Declarations!B$6:C$185,2,FALSE)," ")),VLOOKUP($F74,Declarations!B$6:C$185,2,FALSE),_xlfn.TEXTAFTER(VLOOKUP($F74,Declarations!B$6:C$185,2,FALSE)," "))))</f>
        <v>MONCAD</v>
      </c>
      <c r="D74" s="114" t="str">
        <f>IF(ISNA(VLOOKUP($F74,Declarations!$B$6:$F$185,5,FALSE)),"",IF(VLOOKUP($F74,Declarations!$B$6:$F$185,5,FALSE)="","NOT DECLARED",VLOOKUP($F74,Declarations!$B$6:$F$185,5,FALSE)))</f>
        <v>Basingstoke &amp; Mid Hants AC</v>
      </c>
      <c r="E74" s="112" t="str">
        <f>IF(ISNA(VLOOKUP($F74,Declarations!$B$6:$D$185,3,FALSE)),"",IF(VLOOKUP($F74,Declarations!$B$6:$D$185,3,FALSE)="","NOT DECLARED",VLOOKUP($F74,Declarations!$B$6:$D$185,3,FALSE)&amp;LEFT(VLOOKUP($F74,Declarations!$B$6:$E$185,4,FALSE))))</f>
        <v>U12G</v>
      </c>
      <c r="F74" s="58">
        <v>104</v>
      </c>
      <c r="G74" s="122">
        <v>12.4</v>
      </c>
      <c r="H74" s="122"/>
      <c r="I74" s="114" t="str">
        <f>IF(ISNA(VLOOKUP(F74,Declarations!B$6:C$185,2,FALSE)),"",IF(VLOOKUP(F74,Declarations!B$6:C$185,2,FALSE)="","NOT DECLARED",VLOOKUP(F74,Declarations!B$6:C$185,2,FALSE)))</f>
        <v>BEATRICE MONCAD</v>
      </c>
      <c r="J74" s="112">
        <f>IF(LOWER(G74)="dnf",1,IF(G74&lt;ScoringTable!B$3,ScoringTable!I$2,VLOOKUP((1000-G74),ScoringTable!G$2:I$95,3)))</f>
        <v>46</v>
      </c>
      <c r="K74" s="112" t="str">
        <f>IF(OR(E74="",G74=""),"",IF(RIGHT(E74,1)="G",_xlfn.XLOOKUP(G74,Data!$D$10:$L$10,Data!$D$9:$L$9,"",1,1),_xlfn.XLOOKUP(G74,Data!$D$3:$L$3,Data!$D$2:$L$2,"",1,1)))</f>
        <v>PB7</v>
      </c>
      <c r="L74" s="160" t="str" cm="1">
        <f t="array" ref="L74">IFERROR(_xlfn.IFNA(
                      _xlfn.IFS(
                      G74="", "",
                      AND(E74="U12B",G74&lt;=Data!$M$3), "U12 Boys record",
                      AND(E74="U12G",G74&lt;=Data!$M$10), "U12 Girls record"
                       ),""), "")</f>
        <v/>
      </c>
      <c r="M74" s="18" cm="1">
        <f t="array" ref="M74">_xlfn.IFS($G74="",0, AND(NOT(ISNUMBER($G74)),LOWER($G74)&lt;&gt;"dnf"),"Not a valid time",OR(LOWER($G74)="dnf",$G74&gt;ScoringTable!$M$161),1,RIGHT($E74,1)="B",_xlfn.XLOOKUP($G74,ScoringTable!$M$2:$M$161,ScoringTable!$L$2:$L$161,,1),TRUE,_xlfn.XLOOKUP($G74,ScoringTable!$S$2:$S$161,ScoringTable!$R$2:$R$161,,1))</f>
        <v>82</v>
      </c>
    </row>
    <row r="75" spans="1:13" s="7" customFormat="1" ht="16.05" customHeight="1">
      <c r="A75" s="243" t="s">
        <v>85</v>
      </c>
      <c r="B75" s="114" t="str">
        <f>IF(ISNA(VLOOKUP($F75,Declarations!B$6:C$185,2,FALSE)),"",IF(VLOOKUP($F75,Declarations!B$6:C$185,2,FALSE)="","NOT DECLARED",IF(ISNA(_xlfn.TEXTBEFORE(VLOOKUP($F75,Declarations!B$6:C$185,2,FALSE)," ")),VLOOKUP($F75,Declarations!B$6:C$185,2,FALSE),_xlfn.TEXTBEFORE(VLOOKUP($F75,Declarations!B$6:C$185,2,FALSE)," "))))</f>
        <v>SOPHIE</v>
      </c>
      <c r="C75" s="114" t="str">
        <f>IF(ISNA(VLOOKUP($F75,Declarations!B$6:C$185,2,FALSE)),"",IF(VLOOKUP($F75,Declarations!B$6:C$185,2,FALSE)="","NOT DECLARED",IF(ISNA(_xlfn.TEXTAFTER(VLOOKUP($F75,Declarations!B$6:C$185,2,FALSE)," ")),VLOOKUP($F75,Declarations!B$6:C$185,2,FALSE),_xlfn.TEXTAFTER(VLOOKUP($F75,Declarations!B$6:C$185,2,FALSE)," "))))</f>
        <v>HALL</v>
      </c>
      <c r="D75" s="114" t="str">
        <f>IF(ISNA(VLOOKUP($F75,Declarations!$B$6:$F$185,5,FALSE)),"",IF(VLOOKUP($F75,Declarations!$B$6:$F$185,5,FALSE)="","NOT DECLARED",VLOOKUP($F75,Declarations!$B$6:$F$185,5,FALSE)))</f>
        <v>Waverley Athletics Club</v>
      </c>
      <c r="E75" s="112" t="str">
        <f>IF(ISNA(VLOOKUP($F75,Declarations!$B$6:$D$185,3,FALSE)),"",IF(VLOOKUP($F75,Declarations!$B$6:$D$185,3,FALSE)="","NOT DECLARED",VLOOKUP($F75,Declarations!$B$6:$D$185,3,FALSE)&amp;LEFT(VLOOKUP($F75,Declarations!$B$6:$E$185,4,FALSE))))</f>
        <v>U12G</v>
      </c>
      <c r="F75" s="58">
        <v>85</v>
      </c>
      <c r="G75" s="122">
        <v>11.1</v>
      </c>
      <c r="H75" s="122"/>
      <c r="I75" s="114" t="str">
        <f>IF(ISNA(VLOOKUP(F75,Declarations!B$6:C$185,2,FALSE)),"",IF(VLOOKUP(F75,Declarations!B$6:C$185,2,FALSE)="","NOT DECLARED",VLOOKUP(F75,Declarations!B$6:C$185,2,FALSE)))</f>
        <v>SOPHIE HALL</v>
      </c>
      <c r="J75" s="112">
        <f>IF(LOWER(G75)="dnf",1,IF(G75&lt;ScoringTable!B$3,ScoringTable!I$2,VLOOKUP((1000-G75),ScoringTable!G$2:I$95,3)))</f>
        <v>59</v>
      </c>
      <c r="K75" s="112" t="str">
        <f>IF(OR(E75="",G75=""),"",IF(RIGHT(E75,1)="G",_xlfn.XLOOKUP(G75,Data!$D$10:$L$10,Data!$D$9:$L$9,"",1,1),_xlfn.XLOOKUP(G75,Data!$D$3:$L$3,Data!$D$2:$L$2,"",1,1)))</f>
        <v>PB9</v>
      </c>
      <c r="L75" s="160" t="str" cm="1">
        <f t="array" ref="L75">IFERROR(_xlfn.IFNA(
                      _xlfn.IFS(
                      G75="", "",
                      AND(E75="U12B",G75&lt;=Data!$M$3), "U12 Boys record",
                      AND(E75="U12G",G75&lt;=Data!$M$10), "U12 Girls record"
                       ),""), "")</f>
        <v/>
      </c>
      <c r="M75" s="18" cm="1">
        <f t="array" ref="M75">_xlfn.IFS($G75="",0, AND(NOT(ISNUMBER($G75)),LOWER($G75)&lt;&gt;"dnf"),"Not a valid time",OR(LOWER($G75)="dnf",$G75&gt;ScoringTable!$M$161),1,RIGHT($E75,1)="B",_xlfn.XLOOKUP($G75,ScoringTable!$M$2:$M$161,ScoringTable!$L$2:$L$161,,1),TRUE,_xlfn.XLOOKUP($G75,ScoringTable!$S$2:$S$161,ScoringTable!$R$2:$R$161,,1))</f>
        <v>112</v>
      </c>
    </row>
    <row r="76" spans="1:13" s="7" customFormat="1" ht="16.05" customHeight="1">
      <c r="A76" s="243" t="s">
        <v>85</v>
      </c>
      <c r="B76" s="114" t="str">
        <f>IF(ISNA(VLOOKUP($F76,Declarations!B$6:C$185,2,FALSE)),"",IF(VLOOKUP($F76,Declarations!B$6:C$185,2,FALSE)="","NOT DECLARED",IF(ISNA(_xlfn.TEXTBEFORE(VLOOKUP($F76,Declarations!B$6:C$185,2,FALSE)," ")),VLOOKUP($F76,Declarations!B$6:C$185,2,FALSE),_xlfn.TEXTBEFORE(VLOOKUP($F76,Declarations!B$6:C$185,2,FALSE)," "))))</f>
        <v>KAMILA</v>
      </c>
      <c r="C76" s="114" t="str">
        <f>IF(ISNA(VLOOKUP($F76,Declarations!B$6:C$185,2,FALSE)),"",IF(VLOOKUP($F76,Declarations!B$6:C$185,2,FALSE)="","NOT DECLARED",IF(ISNA(_xlfn.TEXTAFTER(VLOOKUP($F76,Declarations!B$6:C$185,2,FALSE)," ")),VLOOKUP($F76,Declarations!B$6:C$185,2,FALSE),_xlfn.TEXTAFTER(VLOOKUP($F76,Declarations!B$6:C$185,2,FALSE)," "))))</f>
        <v>OLATEJU</v>
      </c>
      <c r="D76" s="114" t="str">
        <f>IF(ISNA(VLOOKUP($F76,Declarations!$B$6:$F$185,5,FALSE)),"",IF(VLOOKUP($F76,Declarations!$B$6:$F$185,5,FALSE)="","NOT DECLARED",VLOOKUP($F76,Declarations!$B$6:$F$185,5,FALSE)))</f>
        <v>Poole Runners</v>
      </c>
      <c r="E76" s="112" t="str">
        <f>IF(ISNA(VLOOKUP($F76,Declarations!$B$6:$D$185,3,FALSE)),"",IF(VLOOKUP($F76,Declarations!$B$6:$D$185,3,FALSE)="","NOT DECLARED",VLOOKUP($F76,Declarations!$B$6:$D$185,3,FALSE)&amp;LEFT(VLOOKUP($F76,Declarations!$B$6:$E$185,4,FALSE))))</f>
        <v>U12G</v>
      </c>
      <c r="F76" s="58">
        <v>41</v>
      </c>
      <c r="G76" s="122">
        <v>11.2</v>
      </c>
      <c r="H76" s="122"/>
      <c r="I76" s="114" t="str">
        <f>IF(ISNA(VLOOKUP(F76,Declarations!B$6:C$185,2,FALSE)),"",IF(VLOOKUP(F76,Declarations!B$6:C$185,2,FALSE)="","NOT DECLARED",VLOOKUP(F76,Declarations!B$6:C$185,2,FALSE)))</f>
        <v>KAMILA OLATEJU</v>
      </c>
      <c r="J76" s="112">
        <f>IF(LOWER(G76)="dnf",1,IF(G76&lt;ScoringTable!B$3,ScoringTable!I$2,VLOOKUP((1000-G76),ScoringTable!G$2:I$95,3)))</f>
        <v>58</v>
      </c>
      <c r="K76" s="112" t="str">
        <f>IF(OR(E76="",G76=""),"",IF(RIGHT(E76,1)="G",_xlfn.XLOOKUP(G76,Data!$D$10:$L$10,Data!$D$9:$L$9,"",1,1),_xlfn.XLOOKUP(G76,Data!$D$3:$L$3,Data!$D$2:$L$2,"",1,1)))</f>
        <v>PB9</v>
      </c>
      <c r="L76" s="160" t="str" cm="1">
        <f t="array" ref="L76">IFERROR(_xlfn.IFNA(
                      _xlfn.IFS(
                      G76="", "",
                      AND(E76="U12B",G76&lt;=Data!$M$3), "U12 Boys record",
                      AND(E76="U12G",G76&lt;=Data!$M$10), "U12 Girls record"
                       ),""), "")</f>
        <v/>
      </c>
      <c r="M76" s="18" cm="1">
        <f t="array" ref="M76">_xlfn.IFS($G76="",0, AND(NOT(ISNUMBER($G76)),LOWER($G76)&lt;&gt;"dnf"),"Not a valid time",OR(LOWER($G76)="dnf",$G76&gt;ScoringTable!$M$161),1,RIGHT($E76,1)="B",_xlfn.XLOOKUP($G76,ScoringTable!$M$2:$M$161,ScoringTable!$L$2:$L$161,,1),TRUE,_xlfn.XLOOKUP($G76,ScoringTable!$S$2:$S$161,ScoringTable!$R$2:$R$161,,1))</f>
        <v>110</v>
      </c>
    </row>
    <row r="77" spans="1:13" s="7" customFormat="1" ht="16.05" customHeight="1">
      <c r="A77" s="243" t="s">
        <v>85</v>
      </c>
      <c r="B77" s="114" t="str">
        <f>IF(ISNA(VLOOKUP($F77,Declarations!B$6:C$185,2,FALSE)),"",IF(VLOOKUP($F77,Declarations!B$6:C$185,2,FALSE)="","NOT DECLARED",IF(ISNA(_xlfn.TEXTBEFORE(VLOOKUP($F77,Declarations!B$6:C$185,2,FALSE)," ")),VLOOKUP($F77,Declarations!B$6:C$185,2,FALSE),_xlfn.TEXTBEFORE(VLOOKUP($F77,Declarations!B$6:C$185,2,FALSE)," "))))</f>
        <v>POPPY</v>
      </c>
      <c r="C77" s="114" t="str">
        <f>IF(ISNA(VLOOKUP($F77,Declarations!B$6:C$185,2,FALSE)),"",IF(VLOOKUP($F77,Declarations!B$6:C$185,2,FALSE)="","NOT DECLARED",IF(ISNA(_xlfn.TEXTAFTER(VLOOKUP($F77,Declarations!B$6:C$185,2,FALSE)," ")),VLOOKUP($F77,Declarations!B$6:C$185,2,FALSE),_xlfn.TEXTAFTER(VLOOKUP($F77,Declarations!B$6:C$185,2,FALSE)," "))))</f>
        <v>READ</v>
      </c>
      <c r="D77" s="114" t="str">
        <f>IF(ISNA(VLOOKUP($F77,Declarations!$B$6:$F$185,5,FALSE)),"",IF(VLOOKUP($F77,Declarations!$B$6:$F$185,5,FALSE)="","NOT DECLARED",VLOOKUP($F77,Declarations!$B$6:$F$185,5,FALSE)))</f>
        <v>Camberley &amp; District AC</v>
      </c>
      <c r="E77" s="112" t="str">
        <f>IF(ISNA(VLOOKUP($F77,Declarations!$B$6:$D$185,3,FALSE)),"",IF(VLOOKUP($F77,Declarations!$B$6:$D$185,3,FALSE)="","NOT DECLARED",VLOOKUP($F77,Declarations!$B$6:$D$185,3,FALSE)&amp;LEFT(VLOOKUP($F77,Declarations!$B$6:$E$185,4,FALSE))))</f>
        <v>U12G</v>
      </c>
      <c r="F77" s="58">
        <v>2</v>
      </c>
      <c r="G77" s="122">
        <v>11.8</v>
      </c>
      <c r="H77" s="122"/>
      <c r="I77" s="114" t="str">
        <f>IF(ISNA(VLOOKUP(F77,Declarations!B$6:C$185,2,FALSE)),"",IF(VLOOKUP(F77,Declarations!B$6:C$185,2,FALSE)="","NOT DECLARED",VLOOKUP(F77,Declarations!B$6:C$185,2,FALSE)))</f>
        <v>POPPY READ</v>
      </c>
      <c r="J77" s="112">
        <f>IF(LOWER(G77)="dnf",1,IF(G77&lt;ScoringTable!B$3,ScoringTable!I$2,VLOOKUP((1000-G77),ScoringTable!G$2:I$95,3)))</f>
        <v>52</v>
      </c>
      <c r="K77" s="112" t="str">
        <f>IF(OR(E77="",G77=""),"",IF(RIGHT(E77,1)="G",_xlfn.XLOOKUP(G77,Data!$D$10:$L$10,Data!$D$9:$L$9,"",1,1),_xlfn.XLOOKUP(G77,Data!$D$3:$L$3,Data!$D$2:$L$2,"",1,1)))</f>
        <v>PB8</v>
      </c>
      <c r="L77" s="160" t="str" cm="1">
        <f t="array" ref="L77">IFERROR(_xlfn.IFNA(
                      _xlfn.IFS(
                      G77="", "",
                      AND(E77="U12B",G77&lt;=Data!$M$3), "U12 Boys record",
                      AND(E77="U12G",G77&lt;=Data!$M$10), "U12 Girls record"
                       ),""), "")</f>
        <v/>
      </c>
      <c r="M77" s="18" cm="1">
        <f t="array" ref="M77">_xlfn.IFS($G77="",0, AND(NOT(ISNUMBER($G77)),LOWER($G77)&lt;&gt;"dnf"),"Not a valid time",OR(LOWER($G77)="dnf",$G77&gt;ScoringTable!$M$161),1,RIGHT($E77,1)="B",_xlfn.XLOOKUP($G77,ScoringTable!$M$2:$M$161,ScoringTable!$L$2:$L$161,,1),TRUE,_xlfn.XLOOKUP($G77,ScoringTable!$S$2:$S$161,ScoringTable!$R$2:$R$161,,1))</f>
        <v>97</v>
      </c>
    </row>
    <row r="78" spans="1:13" s="7" customFormat="1" ht="16.05" customHeight="1">
      <c r="A78" s="243" t="s">
        <v>85</v>
      </c>
      <c r="B78" s="114" t="str">
        <f>IF(ISNA(VLOOKUP($F78,Declarations!B$6:C$185,2,FALSE)),"",IF(VLOOKUP($F78,Declarations!B$6:C$185,2,FALSE)="","NOT DECLARED",IF(ISNA(_xlfn.TEXTBEFORE(VLOOKUP($F78,Declarations!B$6:C$185,2,FALSE)," ")),VLOOKUP($F78,Declarations!B$6:C$185,2,FALSE),_xlfn.TEXTBEFORE(VLOOKUP($F78,Declarations!B$6:C$185,2,FALSE)," "))))</f>
        <v>HONEY</v>
      </c>
      <c r="C78" s="114" t="str">
        <f>IF(ISNA(VLOOKUP($F78,Declarations!B$6:C$185,2,FALSE)),"",IF(VLOOKUP($F78,Declarations!B$6:C$185,2,FALSE)="","NOT DECLARED",IF(ISNA(_xlfn.TEXTAFTER(VLOOKUP($F78,Declarations!B$6:C$185,2,FALSE)," ")),VLOOKUP($F78,Declarations!B$6:C$185,2,FALSE),_xlfn.TEXTAFTER(VLOOKUP($F78,Declarations!B$6:C$185,2,FALSE)," "))))</f>
        <v>FLINT</v>
      </c>
      <c r="D78" s="114" t="str">
        <f>IF(ISNA(VLOOKUP($F78,Declarations!$B$6:$F$185,5,FALSE)),"",IF(VLOOKUP($F78,Declarations!$B$6:$F$185,5,FALSE)="","NOT DECLARED",VLOOKUP($F78,Declarations!$B$6:$F$185,5,FALSE)))</f>
        <v>Fleet &amp; Crookham AC</v>
      </c>
      <c r="E78" s="112" t="str">
        <f>IF(ISNA(VLOOKUP($F78,Declarations!$B$6:$D$185,3,FALSE)),"",IF(VLOOKUP($F78,Declarations!$B$6:$D$185,3,FALSE)="","NOT DECLARED",VLOOKUP($F78,Declarations!$B$6:$D$185,3,FALSE)&amp;LEFT(VLOOKUP($F78,Declarations!$B$6:$E$185,4,FALSE))))</f>
        <v>U12G</v>
      </c>
      <c r="F78" s="58">
        <v>65</v>
      </c>
      <c r="G78" s="122">
        <v>13.4</v>
      </c>
      <c r="H78" s="122"/>
      <c r="I78" s="114" t="str">
        <f>IF(ISNA(VLOOKUP(F78,Declarations!B$6:C$185,2,FALSE)),"",IF(VLOOKUP(F78,Declarations!B$6:C$185,2,FALSE)="","NOT DECLARED",VLOOKUP(F78,Declarations!B$6:C$185,2,FALSE)))</f>
        <v>HONEY FLINT</v>
      </c>
      <c r="J78" s="112">
        <f>IF(LOWER(G78)="dnf",1,IF(G78&lt;ScoringTable!B$3,ScoringTable!I$2,VLOOKUP((1000-G78),ScoringTable!G$2:I$95,3)))</f>
        <v>36</v>
      </c>
      <c r="K78" s="112" t="str">
        <f>IF(OR(E78="",G78=""),"",IF(RIGHT(E78,1)="G",_xlfn.XLOOKUP(G78,Data!$D$10:$L$10,Data!$D$9:$L$9,"",1,1),_xlfn.XLOOKUP(G78,Data!$D$3:$L$3,Data!$D$2:$L$2,"",1,1)))</f>
        <v>PB5</v>
      </c>
      <c r="L78" s="160" t="str" cm="1">
        <f t="array" ref="L78">IFERROR(_xlfn.IFNA(
                      _xlfn.IFS(
                      G78="", "",
                      AND(E78="U12B",G78&lt;=Data!$M$3), "U12 Boys record",
                      AND(E78="U12G",G78&lt;=Data!$M$10), "U12 Girls record"
                       ),""), "")</f>
        <v/>
      </c>
      <c r="M78" s="18" cm="1">
        <f t="array" ref="M78">_xlfn.IFS($G78="",0, AND(NOT(ISNUMBER($G78)),LOWER($G78)&lt;&gt;"dnf"),"Not a valid time",OR(LOWER($G78)="dnf",$G78&gt;ScoringTable!$M$161),1,RIGHT($E78,1)="B",_xlfn.XLOOKUP($G78,ScoringTable!$M$2:$M$161,ScoringTable!$L$2:$L$161,,1),TRUE,_xlfn.XLOOKUP($G78,ScoringTable!$S$2:$S$161,ScoringTable!$R$2:$R$161,,1))</f>
        <v>62</v>
      </c>
    </row>
    <row r="79" spans="1:13" s="7" customFormat="1" ht="16.05" customHeight="1">
      <c r="A79" s="243" t="s">
        <v>85</v>
      </c>
      <c r="B79" s="114" t="str">
        <f>IF(ISNA(VLOOKUP($F79,Declarations!B$6:C$185,2,FALSE)),"",IF(VLOOKUP($F79,Declarations!B$6:C$185,2,FALSE)="","NOT DECLARED",IF(ISNA(_xlfn.TEXTBEFORE(VLOOKUP($F79,Declarations!B$6:C$185,2,FALSE)," ")),VLOOKUP($F79,Declarations!B$6:C$185,2,FALSE),_xlfn.TEXTBEFORE(VLOOKUP($F79,Declarations!B$6:C$185,2,FALSE)," "))))</f>
        <v>BETH</v>
      </c>
      <c r="C79" s="114" t="str">
        <f>IF(ISNA(VLOOKUP($F79,Declarations!B$6:C$185,2,FALSE)),"",IF(VLOOKUP($F79,Declarations!B$6:C$185,2,FALSE)="","NOT DECLARED",IF(ISNA(_xlfn.TEXTAFTER(VLOOKUP($F79,Declarations!B$6:C$185,2,FALSE)," ")),VLOOKUP($F79,Declarations!B$6:C$185,2,FALSE),_xlfn.TEXTAFTER(VLOOKUP($F79,Declarations!B$6:C$185,2,FALSE)," "))))</f>
        <v>BOLE</v>
      </c>
      <c r="D79" s="114" t="str">
        <f>IF(ISNA(VLOOKUP($F79,Declarations!$B$6:$F$185,5,FALSE)),"",IF(VLOOKUP($F79,Declarations!$B$6:$F$185,5,FALSE)="","NOT DECLARED",VLOOKUP($F79,Declarations!$B$6:$F$185,5,FALSE)))</f>
        <v>Basingstoke &amp; Mid Hants AC</v>
      </c>
      <c r="E79" s="112" t="str">
        <f>IF(ISNA(VLOOKUP($F79,Declarations!$B$6:$D$185,3,FALSE)),"",IF(VLOOKUP($F79,Declarations!$B$6:$D$185,3,FALSE)="","NOT DECLARED",VLOOKUP($F79,Declarations!$B$6:$D$185,3,FALSE)&amp;LEFT(VLOOKUP($F79,Declarations!$B$6:$E$185,4,FALSE))))</f>
        <v>U12G</v>
      </c>
      <c r="F79" s="58">
        <v>105</v>
      </c>
      <c r="G79" s="122">
        <v>13.5</v>
      </c>
      <c r="H79" s="122"/>
      <c r="I79" s="114" t="str">
        <f>IF(ISNA(VLOOKUP(F79,Declarations!B$6:C$185,2,FALSE)),"",IF(VLOOKUP(F79,Declarations!B$6:C$185,2,FALSE)="","NOT DECLARED",VLOOKUP(F79,Declarations!B$6:C$185,2,FALSE)))</f>
        <v>BETH BOLE</v>
      </c>
      <c r="J79" s="112">
        <f>IF(LOWER(G79)="dnf",1,IF(G79&lt;ScoringTable!B$3,ScoringTable!I$2,VLOOKUP((1000-G79),ScoringTable!G$2:I$95,3)))</f>
        <v>35</v>
      </c>
      <c r="K79" s="112" t="str">
        <f>IF(OR(E79="",G79=""),"",IF(RIGHT(E79,1)="G",_xlfn.XLOOKUP(G79,Data!$D$10:$L$10,Data!$D$9:$L$9,"",1,1),_xlfn.XLOOKUP(G79,Data!$D$3:$L$3,Data!$D$2:$L$2,"",1,1)))</f>
        <v>PB5</v>
      </c>
      <c r="L79" s="160" t="str" cm="1">
        <f t="array" ref="L79">IFERROR(_xlfn.IFNA(
                      _xlfn.IFS(
                      G79="", "",
                      AND(E79="U12B",G79&lt;=Data!$M$3), "U12 Boys record",
                      AND(E79="U12G",G79&lt;=Data!$M$10), "U12 Girls record"
                       ),""), "")</f>
        <v/>
      </c>
      <c r="M79" s="18" cm="1">
        <f t="array" ref="M79">_xlfn.IFS($G79="",0, AND(NOT(ISNUMBER($G79)),LOWER($G79)&lt;&gt;"dnf"),"Not a valid time",OR(LOWER($G79)="dnf",$G79&gt;ScoringTable!$M$161),1,RIGHT($E79,1)="B",_xlfn.XLOOKUP($G79,ScoringTable!$M$2:$M$161,ScoringTable!$L$2:$L$161,,1),TRUE,_xlfn.XLOOKUP($G79,ScoringTable!$S$2:$S$161,ScoringTable!$R$2:$R$161,,1))</f>
        <v>60</v>
      </c>
    </row>
    <row r="80" spans="1:13" s="7" customFormat="1" ht="16.05" customHeight="1">
      <c r="A80" s="243" t="s">
        <v>85</v>
      </c>
      <c r="B80" s="114" t="str">
        <f>IF(ISNA(VLOOKUP($F80,Declarations!B$6:C$185,2,FALSE)),"",IF(VLOOKUP($F80,Declarations!B$6:C$185,2,FALSE)="","NOT DECLARED",IF(ISNA(_xlfn.TEXTBEFORE(VLOOKUP($F80,Declarations!B$6:C$185,2,FALSE)," ")),VLOOKUP($F80,Declarations!B$6:C$185,2,FALSE),_xlfn.TEXTBEFORE(VLOOKUP($F80,Declarations!B$6:C$185,2,FALSE)," "))))</f>
        <v>KATIE</v>
      </c>
      <c r="C80" s="114" t="str">
        <f>IF(ISNA(VLOOKUP($F80,Declarations!B$6:C$185,2,FALSE)),"",IF(VLOOKUP($F80,Declarations!B$6:C$185,2,FALSE)="","NOT DECLARED",IF(ISNA(_xlfn.TEXTAFTER(VLOOKUP($F80,Declarations!B$6:C$185,2,FALSE)," ")),VLOOKUP($F80,Declarations!B$6:C$185,2,FALSE),_xlfn.TEXTAFTER(VLOOKUP($F80,Declarations!B$6:C$185,2,FALSE)," "))))</f>
        <v>TAYLOR</v>
      </c>
      <c r="D80" s="114" t="str">
        <f>IF(ISNA(VLOOKUP($F80,Declarations!$B$6:$F$185,5,FALSE)),"",IF(VLOOKUP($F80,Declarations!$B$6:$F$185,5,FALSE)="","NOT DECLARED",VLOOKUP($F80,Declarations!$B$6:$F$185,5,FALSE)))</f>
        <v>Woking AC</v>
      </c>
      <c r="E80" s="112" t="str">
        <f>IF(ISNA(VLOOKUP($F80,Declarations!$B$6:$D$185,3,FALSE)),"",IF(VLOOKUP($F80,Declarations!$B$6:$D$185,3,FALSE)="","NOT DECLARED",VLOOKUP($F80,Declarations!$B$6:$D$185,3,FALSE)&amp;LEFT(VLOOKUP($F80,Declarations!$B$6:$E$185,4,FALSE))))</f>
        <v>U12G</v>
      </c>
      <c r="F80" s="58">
        <v>29</v>
      </c>
      <c r="G80" s="122">
        <v>14</v>
      </c>
      <c r="H80" s="122"/>
      <c r="I80" s="114" t="str">
        <f>IF(ISNA(VLOOKUP(F80,Declarations!B$6:C$185,2,FALSE)),"",IF(VLOOKUP(F80,Declarations!B$6:C$185,2,FALSE)="","NOT DECLARED",VLOOKUP(F80,Declarations!B$6:C$185,2,FALSE)))</f>
        <v>KATIE TAYLOR</v>
      </c>
      <c r="J80" s="112">
        <f>IF(LOWER(G80)="dnf",1,IF(G80&lt;ScoringTable!B$3,ScoringTable!I$2,VLOOKUP((1000-G80),ScoringTable!G$2:I$95,3)))</f>
        <v>30</v>
      </c>
      <c r="K80" s="112" t="str">
        <f>IF(OR(E80="",G80=""),"",IF(RIGHT(E80,1)="G",_xlfn.XLOOKUP(G80,Data!$D$10:$L$10,Data!$D$9:$L$9,"",1,1),_xlfn.XLOOKUP(G80,Data!$D$3:$L$3,Data!$D$2:$L$2,"",1,1)))</f>
        <v>PB4</v>
      </c>
      <c r="L80" s="160" t="str" cm="1">
        <f t="array" ref="L80">IFERROR(_xlfn.IFNA(
                      _xlfn.IFS(
                      G80="", "",
                      AND(E80="U12B",G80&lt;=Data!$M$3), "U12 Boys record",
                      AND(E80="U12G",G80&lt;=Data!$M$10), "U12 Girls record"
                       ),""), "")</f>
        <v/>
      </c>
      <c r="M80" s="18" cm="1">
        <f t="array" ref="M80">_xlfn.IFS($G80="",0, AND(NOT(ISNUMBER($G80)),LOWER($G80)&lt;&gt;"dnf"),"Not a valid time",OR(LOWER($G80)="dnf",$G80&gt;ScoringTable!$M$161),1,RIGHT($E80,1)="B",_xlfn.XLOOKUP($G80,ScoringTable!$M$2:$M$161,ScoringTable!$L$2:$L$161,,1),TRUE,_xlfn.XLOOKUP($G80,ScoringTable!$S$2:$S$161,ScoringTable!$R$2:$R$161,,1))</f>
        <v>50</v>
      </c>
    </row>
    <row r="81" spans="1:13" s="7" customFormat="1" ht="16.05" customHeight="1">
      <c r="A81" s="243" t="s">
        <v>85</v>
      </c>
      <c r="B81" s="114" t="str">
        <f>IF(ISNA(VLOOKUP($F81,Declarations!B$6:C$185,2,FALSE)),"",IF(VLOOKUP($F81,Declarations!B$6:C$185,2,FALSE)="","NOT DECLARED",IF(ISNA(_xlfn.TEXTBEFORE(VLOOKUP($F81,Declarations!B$6:C$185,2,FALSE)," ")),VLOOKUP($F81,Declarations!B$6:C$185,2,FALSE),_xlfn.TEXTBEFORE(VLOOKUP($F81,Declarations!B$6:C$185,2,FALSE)," "))))</f>
        <v>BONNIE</v>
      </c>
      <c r="C81" s="114" t="str">
        <f>IF(ISNA(VLOOKUP($F81,Declarations!B$6:C$185,2,FALSE)),"",IF(VLOOKUP($F81,Declarations!B$6:C$185,2,FALSE)="","NOT DECLARED",IF(ISNA(_xlfn.TEXTAFTER(VLOOKUP($F81,Declarations!B$6:C$185,2,FALSE)," ")),VLOOKUP($F81,Declarations!B$6:C$185,2,FALSE),_xlfn.TEXTAFTER(VLOOKUP($F81,Declarations!B$6:C$185,2,FALSE)," "))))</f>
        <v>MOORE</v>
      </c>
      <c r="D81" s="114" t="str">
        <f>IF(ISNA(VLOOKUP($F81,Declarations!$B$6:$F$185,5,FALSE)),"",IF(VLOOKUP($F81,Declarations!$B$6:$F$185,5,FALSE)="","NOT DECLARED",VLOOKUP($F81,Declarations!$B$6:$F$185,5,FALSE)))</f>
        <v>Fleet &amp; Crookham AC</v>
      </c>
      <c r="E81" s="112" t="str">
        <f>IF(ISNA(VLOOKUP($F81,Declarations!$B$6:$D$185,3,FALSE)),"",IF(VLOOKUP($F81,Declarations!$B$6:$D$185,3,FALSE)="","NOT DECLARED",VLOOKUP($F81,Declarations!$B$6:$D$185,3,FALSE)&amp;LEFT(VLOOKUP($F81,Declarations!$B$6:$E$185,4,FALSE))))</f>
        <v>U12G</v>
      </c>
      <c r="F81" s="58">
        <v>67</v>
      </c>
      <c r="G81" s="122">
        <v>11.7</v>
      </c>
      <c r="H81" s="122"/>
      <c r="I81" s="114" t="str">
        <f>IF(ISNA(VLOOKUP(F81,Declarations!B$6:C$185,2,FALSE)),"",IF(VLOOKUP(F81,Declarations!B$6:C$185,2,FALSE)="","NOT DECLARED",VLOOKUP(F81,Declarations!B$6:C$185,2,FALSE)))</f>
        <v>BONNIE MOORE</v>
      </c>
      <c r="J81" s="112">
        <f>IF(LOWER(G81)="dnf",1,IF(G81&lt;ScoringTable!B$3,ScoringTable!I$2,VLOOKUP((1000-G81),ScoringTable!G$2:I$95,3)))</f>
        <v>53</v>
      </c>
      <c r="K81" s="112" t="str">
        <f>IF(OR(E81="",G81=""),"",IF(RIGHT(E81,1)="G",_xlfn.XLOOKUP(G81,Data!$D$10:$L$10,Data!$D$9:$L$9,"",1,1),_xlfn.XLOOKUP(G81,Data!$D$3:$L$3,Data!$D$2:$L$2,"",1,1)))</f>
        <v>PB9</v>
      </c>
      <c r="L81" s="160" t="str" cm="1">
        <f t="array" ref="L81">IFERROR(_xlfn.IFNA(
                      _xlfn.IFS(
                      G81="", "",
                      AND(E81="U12B",G81&lt;=Data!$M$3), "U12 Boys record",
                      AND(E81="U12G",G81&lt;=Data!$M$10), "U12 Girls record"
                       ),""), "")</f>
        <v/>
      </c>
      <c r="M81" s="18" cm="1">
        <f t="array" ref="M81">_xlfn.IFS($G81="",0, AND(NOT(ISNUMBER($G81)),LOWER($G81)&lt;&gt;"dnf"),"Not a valid time",OR(LOWER($G81)="dnf",$G81&gt;ScoringTable!$M$161),1,RIGHT($E81,1)="B",_xlfn.XLOOKUP($G81,ScoringTable!$M$2:$M$161,ScoringTable!$L$2:$L$161,,1),TRUE,_xlfn.XLOOKUP($G81,ScoringTable!$S$2:$S$161,ScoringTable!$R$2:$R$161,,1))</f>
        <v>100</v>
      </c>
    </row>
    <row r="82" spans="1:13" s="7" customFormat="1" ht="16.05" customHeight="1">
      <c r="A82" s="243" t="s">
        <v>85</v>
      </c>
      <c r="B82" s="114" t="str">
        <f>IF(ISNA(VLOOKUP($F82,Declarations!B$6:C$185,2,FALSE)),"",IF(VLOOKUP($F82,Declarations!B$6:C$185,2,FALSE)="","NOT DECLARED",IF(ISNA(_xlfn.TEXTBEFORE(VLOOKUP($F82,Declarations!B$6:C$185,2,FALSE)," ")),VLOOKUP($F82,Declarations!B$6:C$185,2,FALSE),_xlfn.TEXTBEFORE(VLOOKUP($F82,Declarations!B$6:C$185,2,FALSE)," "))))</f>
        <v>EMILY</v>
      </c>
      <c r="C82" s="114" t="str">
        <f>IF(ISNA(VLOOKUP($F82,Declarations!B$6:C$185,2,FALSE)),"",IF(VLOOKUP($F82,Declarations!B$6:C$185,2,FALSE)="","NOT DECLARED",IF(ISNA(_xlfn.TEXTAFTER(VLOOKUP($F82,Declarations!B$6:C$185,2,FALSE)," ")),VLOOKUP($F82,Declarations!B$6:C$185,2,FALSE),_xlfn.TEXTAFTER(VLOOKUP($F82,Declarations!B$6:C$185,2,FALSE)," "))))</f>
        <v>HANAK</v>
      </c>
      <c r="D82" s="114" t="str">
        <f>IF(ISNA(VLOOKUP($F82,Declarations!$B$6:$F$185,5,FALSE)),"",IF(VLOOKUP($F82,Declarations!$B$6:$F$185,5,FALSE)="","NOT DECLARED",VLOOKUP($F82,Declarations!$B$6:$F$185,5,FALSE)))</f>
        <v>Waverley Athletics Club</v>
      </c>
      <c r="E82" s="112" t="str">
        <f>IF(ISNA(VLOOKUP($F82,Declarations!$B$6:$D$185,3,FALSE)),"",IF(VLOOKUP($F82,Declarations!$B$6:$D$185,3,FALSE)="","NOT DECLARED",VLOOKUP($F82,Declarations!$B$6:$D$185,3,FALSE)&amp;LEFT(VLOOKUP($F82,Declarations!$B$6:$E$185,4,FALSE))))</f>
        <v>U12G</v>
      </c>
      <c r="F82" s="58">
        <v>86</v>
      </c>
      <c r="G82" s="122">
        <v>11.8</v>
      </c>
      <c r="H82" s="122"/>
      <c r="I82" s="114" t="str">
        <f>IF(ISNA(VLOOKUP(F82,Declarations!B$6:C$185,2,FALSE)),"",IF(VLOOKUP(F82,Declarations!B$6:C$185,2,FALSE)="","NOT DECLARED",VLOOKUP(F82,Declarations!B$6:C$185,2,FALSE)))</f>
        <v>EMILY HANAK</v>
      </c>
      <c r="J82" s="112">
        <f>IF(LOWER(G82)="dnf",1,IF(G82&lt;ScoringTable!B$3,ScoringTable!I$2,VLOOKUP((1000-G82),ScoringTable!G$2:I$95,3)))</f>
        <v>52</v>
      </c>
      <c r="K82" s="112" t="str">
        <f>IF(OR(E82="",G82=""),"",IF(RIGHT(E82,1)="G",_xlfn.XLOOKUP(G82,Data!$D$10:$L$10,Data!$D$9:$L$9,"",1,1),_xlfn.XLOOKUP(G82,Data!$D$3:$L$3,Data!$D$2:$L$2,"",1,1)))</f>
        <v>PB8</v>
      </c>
      <c r="L82" s="160" t="str" cm="1">
        <f t="array" ref="L82">IFERROR(_xlfn.IFNA(
                      _xlfn.IFS(
                      G82="", "",
                      AND(E82="U12B",G82&lt;=Data!$M$3), "U12 Boys record",
                      AND(E82="U12G",G82&lt;=Data!$M$10), "U12 Girls record"
                       ),""), "")</f>
        <v/>
      </c>
      <c r="M82" s="18" cm="1">
        <f t="array" ref="M82">_xlfn.IFS($G82="",0, AND(NOT(ISNUMBER($G82)),LOWER($G82)&lt;&gt;"dnf"),"Not a valid time",OR(LOWER($G82)="dnf",$G82&gt;ScoringTable!$M$161),1,RIGHT($E82,1)="B",_xlfn.XLOOKUP($G82,ScoringTable!$M$2:$M$161,ScoringTable!$L$2:$L$161,,1),TRUE,_xlfn.XLOOKUP($G82,ScoringTable!$S$2:$S$161,ScoringTable!$R$2:$R$161,,1))</f>
        <v>97</v>
      </c>
    </row>
    <row r="83" spans="1:13" s="7" customFormat="1" ht="16.05" customHeight="1">
      <c r="A83" s="243" t="s">
        <v>85</v>
      </c>
      <c r="B83" s="114" t="str">
        <f>IF(ISNA(VLOOKUP($F83,Declarations!B$6:C$185,2,FALSE)),"",IF(VLOOKUP($F83,Declarations!B$6:C$185,2,FALSE)="","NOT DECLARED",IF(ISNA(_xlfn.TEXTBEFORE(VLOOKUP($F83,Declarations!B$6:C$185,2,FALSE)," ")),VLOOKUP($F83,Declarations!B$6:C$185,2,FALSE),_xlfn.TEXTBEFORE(VLOOKUP($F83,Declarations!B$6:C$185,2,FALSE)," "))))</f>
        <v>EMILIA-MAE</v>
      </c>
      <c r="C83" s="114" t="str">
        <f>IF(ISNA(VLOOKUP($F83,Declarations!B$6:C$185,2,FALSE)),"",IF(VLOOKUP($F83,Declarations!B$6:C$185,2,FALSE)="","NOT DECLARED",IF(ISNA(_xlfn.TEXTAFTER(VLOOKUP($F83,Declarations!B$6:C$185,2,FALSE)," ")),VLOOKUP($F83,Declarations!B$6:C$185,2,FALSE),_xlfn.TEXTAFTER(VLOOKUP($F83,Declarations!B$6:C$185,2,FALSE)," "))))</f>
        <v>O'DWYER</v>
      </c>
      <c r="D83" s="114" t="str">
        <f>IF(ISNA(VLOOKUP($F83,Declarations!$B$6:$F$185,5,FALSE)),"",IF(VLOOKUP($F83,Declarations!$B$6:$F$185,5,FALSE)="","NOT DECLARED",VLOOKUP($F83,Declarations!$B$6:$F$185,5,FALSE)))</f>
        <v>Camberley &amp; District AC</v>
      </c>
      <c r="E83" s="112" t="str">
        <f>IF(ISNA(VLOOKUP($F83,Declarations!$B$6:$D$185,3,FALSE)),"",IF(VLOOKUP($F83,Declarations!$B$6:$D$185,3,FALSE)="","NOT DECLARED",VLOOKUP($F83,Declarations!$B$6:$D$185,3,FALSE)&amp;LEFT(VLOOKUP($F83,Declarations!$B$6:$E$185,4,FALSE))))</f>
        <v>U12G</v>
      </c>
      <c r="F83" s="58">
        <v>5</v>
      </c>
      <c r="G83" s="122">
        <v>11.8</v>
      </c>
      <c r="H83" s="122"/>
      <c r="I83" s="114" t="str">
        <f>IF(ISNA(VLOOKUP(F83,Declarations!B$6:C$185,2,FALSE)),"",IF(VLOOKUP(F83,Declarations!B$6:C$185,2,FALSE)="","NOT DECLARED",VLOOKUP(F83,Declarations!B$6:C$185,2,FALSE)))</f>
        <v>EMILIA-MAE O'DWYER</v>
      </c>
      <c r="J83" s="112">
        <f>IF(LOWER(G83)="dnf",1,IF(G83&lt;ScoringTable!B$3,ScoringTable!I$2,VLOOKUP((1000-G83),ScoringTable!G$2:I$95,3)))</f>
        <v>52</v>
      </c>
      <c r="K83" s="112" t="str">
        <f>IF(OR(E83="",G83=""),"",IF(RIGHT(E83,1)="G",_xlfn.XLOOKUP(G83,Data!$D$10:$L$10,Data!$D$9:$L$9,"",1,1),_xlfn.XLOOKUP(G83,Data!$D$3:$L$3,Data!$D$2:$L$2,"",1,1)))</f>
        <v>PB8</v>
      </c>
      <c r="L83" s="160" t="str" cm="1">
        <f t="array" ref="L83">IFERROR(_xlfn.IFNA(
                      _xlfn.IFS(
                      G83="", "",
                      AND(E83="U12B",G83&lt;=Data!$M$3), "U12 Boys record",
                      AND(E83="U12G",G83&lt;=Data!$M$10), "U12 Girls record"
                       ),""), "")</f>
        <v/>
      </c>
      <c r="M83" s="18" cm="1">
        <f t="array" ref="M83">_xlfn.IFS($G83="",0, AND(NOT(ISNUMBER($G83)),LOWER($G83)&lt;&gt;"dnf"),"Not a valid time",OR(LOWER($G83)="dnf",$G83&gt;ScoringTable!$M$161),1,RIGHT($E83,1)="B",_xlfn.XLOOKUP($G83,ScoringTable!$M$2:$M$161,ScoringTable!$L$2:$L$161,,1),TRUE,_xlfn.XLOOKUP($G83,ScoringTable!$S$2:$S$161,ScoringTable!$R$2:$R$161,,1))</f>
        <v>97</v>
      </c>
    </row>
    <row r="84" spans="1:13" s="7" customFormat="1" ht="16.05" customHeight="1">
      <c r="A84" s="243" t="s">
        <v>85</v>
      </c>
      <c r="B84" s="114" t="str">
        <f>IF(ISNA(VLOOKUP($F84,Declarations!B$6:C$185,2,FALSE)),"",IF(VLOOKUP($F84,Declarations!B$6:C$185,2,FALSE)="","NOT DECLARED",IF(ISNA(_xlfn.TEXTBEFORE(VLOOKUP($F84,Declarations!B$6:C$185,2,FALSE)," ")),VLOOKUP($F84,Declarations!B$6:C$185,2,FALSE),_xlfn.TEXTBEFORE(VLOOKUP($F84,Declarations!B$6:C$185,2,FALSE)," "))))</f>
        <v>KLEMANTINE</v>
      </c>
      <c r="C84" s="114" t="str">
        <f>IF(ISNA(VLOOKUP($F84,Declarations!B$6:C$185,2,FALSE)),"",IF(VLOOKUP($F84,Declarations!B$6:C$185,2,FALSE)="","NOT DECLARED",IF(ISNA(_xlfn.TEXTAFTER(VLOOKUP($F84,Declarations!B$6:C$185,2,FALSE)," ")),VLOOKUP($F84,Declarations!B$6:C$185,2,FALSE),_xlfn.TEXTAFTER(VLOOKUP($F84,Declarations!B$6:C$185,2,FALSE)," "))))</f>
        <v>PATA</v>
      </c>
      <c r="D84" s="114" t="str">
        <f>IF(ISNA(VLOOKUP($F84,Declarations!$B$6:$F$185,5,FALSE)),"",IF(VLOOKUP($F84,Declarations!$B$6:$F$185,5,FALSE)="","NOT DECLARED",VLOOKUP($F84,Declarations!$B$6:$F$185,5,FALSE)))</f>
        <v>Basingstoke &amp; Mid Hants AC</v>
      </c>
      <c r="E84" s="112" t="str">
        <f>IF(ISNA(VLOOKUP($F84,Declarations!$B$6:$D$185,3,FALSE)),"",IF(VLOOKUP($F84,Declarations!$B$6:$D$185,3,FALSE)="","NOT DECLARED",VLOOKUP($F84,Declarations!$B$6:$D$185,3,FALSE)&amp;LEFT(VLOOKUP($F84,Declarations!$B$6:$E$185,4,FALSE))))</f>
        <v>U12G</v>
      </c>
      <c r="F84" s="58">
        <v>106</v>
      </c>
      <c r="G84" s="122">
        <v>12.3</v>
      </c>
      <c r="H84" s="122"/>
      <c r="I84" s="114" t="str">
        <f>IF(ISNA(VLOOKUP(F84,Declarations!B$6:C$185,2,FALSE)),"",IF(VLOOKUP(F84,Declarations!B$6:C$185,2,FALSE)="","NOT DECLARED",VLOOKUP(F84,Declarations!B$6:C$185,2,FALSE)))</f>
        <v>KLEMANTINE PATA</v>
      </c>
      <c r="J84" s="112">
        <f>IF(LOWER(G84)="dnf",1,IF(G84&lt;ScoringTable!B$3,ScoringTable!I$2,VLOOKUP((1000-G84),ScoringTable!G$2:I$95,3)))</f>
        <v>47</v>
      </c>
      <c r="K84" s="112" t="str">
        <f>IF(OR(E84="",G84=""),"",IF(RIGHT(E84,1)="G",_xlfn.XLOOKUP(G84,Data!$D$10:$L$10,Data!$D$9:$L$9,"",1,1),_xlfn.XLOOKUP(G84,Data!$D$3:$L$3,Data!$D$2:$L$2,"",1,1)))</f>
        <v>PB7</v>
      </c>
      <c r="L84" s="160" t="str" cm="1">
        <f t="array" ref="L84">IFERROR(_xlfn.IFNA(
                      _xlfn.IFS(
                      G84="", "",
                      AND(E84="U12B",G84&lt;=Data!$M$3), "U12 Boys record",
                      AND(E84="U12G",G84&lt;=Data!$M$10), "U12 Girls record"
                       ),""), "")</f>
        <v/>
      </c>
      <c r="M84" s="18" cm="1">
        <f t="array" ref="M84">_xlfn.IFS($G84="",0, AND(NOT(ISNUMBER($G84)),LOWER($G84)&lt;&gt;"dnf"),"Not a valid time",OR(LOWER($G84)="dnf",$G84&gt;ScoringTable!$M$161),1,RIGHT($E84,1)="B",_xlfn.XLOOKUP($G84,ScoringTable!$M$2:$M$161,ScoringTable!$L$2:$L$161,,1),TRUE,_xlfn.XLOOKUP($G84,ScoringTable!$S$2:$S$161,ScoringTable!$R$2:$R$161,,1))</f>
        <v>85</v>
      </c>
    </row>
    <row r="85" spans="1:13" s="7" customFormat="1" ht="16.05" customHeight="1">
      <c r="A85" s="243" t="s">
        <v>85</v>
      </c>
      <c r="B85" s="114" t="str">
        <f>IF(ISNA(VLOOKUP($F85,Declarations!B$6:C$185,2,FALSE)),"",IF(VLOOKUP($F85,Declarations!B$6:C$185,2,FALSE)="","NOT DECLARED",IF(ISNA(_xlfn.TEXTBEFORE(VLOOKUP($F85,Declarations!B$6:C$185,2,FALSE)," ")),VLOOKUP($F85,Declarations!B$6:C$185,2,FALSE),_xlfn.TEXTBEFORE(VLOOKUP($F85,Declarations!B$6:C$185,2,FALSE)," "))))</f>
        <v>POLLY</v>
      </c>
      <c r="C85" s="114" t="str">
        <f>IF(ISNA(VLOOKUP($F85,Declarations!B$6:C$185,2,FALSE)),"",IF(VLOOKUP($F85,Declarations!B$6:C$185,2,FALSE)="","NOT DECLARED",IF(ISNA(_xlfn.TEXTAFTER(VLOOKUP($F85,Declarations!B$6:C$185,2,FALSE)," ")),VLOOKUP($F85,Declarations!B$6:C$185,2,FALSE),_xlfn.TEXTAFTER(VLOOKUP($F85,Declarations!B$6:C$185,2,FALSE)," "))))</f>
        <v>WARBOYS</v>
      </c>
      <c r="D85" s="114" t="str">
        <f>IF(ISNA(VLOOKUP($F85,Declarations!$B$6:$F$185,5,FALSE)),"",IF(VLOOKUP($F85,Declarations!$B$6:$F$185,5,FALSE)="","NOT DECLARED",VLOOKUP($F85,Declarations!$B$6:$F$185,5,FALSE)))</f>
        <v>Poole Runners</v>
      </c>
      <c r="E85" s="112" t="str">
        <f>IF(ISNA(VLOOKUP($F85,Declarations!$B$6:$D$185,3,FALSE)),"",IF(VLOOKUP($F85,Declarations!$B$6:$D$185,3,FALSE)="","NOT DECLARED",VLOOKUP($F85,Declarations!$B$6:$D$185,3,FALSE)&amp;LEFT(VLOOKUP($F85,Declarations!$B$6:$E$185,4,FALSE))))</f>
        <v>U12G</v>
      </c>
      <c r="F85" s="58">
        <v>44</v>
      </c>
      <c r="G85" s="122">
        <v>13.1</v>
      </c>
      <c r="H85" s="122"/>
      <c r="I85" s="114" t="str">
        <f>IF(ISNA(VLOOKUP(F85,Declarations!B$6:C$185,2,FALSE)),"",IF(VLOOKUP(F85,Declarations!B$6:C$185,2,FALSE)="","NOT DECLARED",VLOOKUP(F85,Declarations!B$6:C$185,2,FALSE)))</f>
        <v>POLLY WARBOYS</v>
      </c>
      <c r="J85" s="112">
        <f>IF(LOWER(G85)="dnf",1,IF(G85&lt;ScoringTable!B$3,ScoringTable!I$2,VLOOKUP((1000-G85),ScoringTable!G$2:I$95,3)))</f>
        <v>39</v>
      </c>
      <c r="K85" s="112" t="str">
        <f>IF(OR(E85="",G85=""),"",IF(RIGHT(E85,1)="G",_xlfn.XLOOKUP(G85,Data!$D$10:$L$10,Data!$D$9:$L$9,"",1,1),_xlfn.XLOOKUP(G85,Data!$D$3:$L$3,Data!$D$2:$L$2,"",1,1)))</f>
        <v>PB5</v>
      </c>
      <c r="L85" s="160" t="str" cm="1">
        <f t="array" ref="L85">IFERROR(_xlfn.IFNA(
                      _xlfn.IFS(
                      G85="", "",
                      AND(E85="U12B",G85&lt;=Data!$M$3), "U12 Boys record",
                      AND(E85="U12G",G85&lt;=Data!$M$10), "U12 Girls record"
                       ),""), "")</f>
        <v/>
      </c>
      <c r="M85" s="18" cm="1">
        <f t="array" ref="M85">_xlfn.IFS($G85="",0, AND(NOT(ISNUMBER($G85)),LOWER($G85)&lt;&gt;"dnf"),"Not a valid time",OR(LOWER($G85)="dnf",$G85&gt;ScoringTable!$M$161),1,RIGHT($E85,1)="B",_xlfn.XLOOKUP($G85,ScoringTable!$M$2:$M$161,ScoringTable!$L$2:$L$161,,1),TRUE,_xlfn.XLOOKUP($G85,ScoringTable!$S$2:$S$161,ScoringTable!$R$2:$R$161,,1))</f>
        <v>68</v>
      </c>
    </row>
    <row r="86" spans="1:13" s="7" customFormat="1" ht="16.05" customHeight="1">
      <c r="A86" s="243" t="s">
        <v>85</v>
      </c>
      <c r="B86" s="114" t="str">
        <f>IF(ISNA(VLOOKUP($F86,Declarations!B$6:C$185,2,FALSE)),"",IF(VLOOKUP($F86,Declarations!B$6:C$185,2,FALSE)="","NOT DECLARED",IF(ISNA(_xlfn.TEXTBEFORE(VLOOKUP($F86,Declarations!B$6:C$185,2,FALSE)," ")),VLOOKUP($F86,Declarations!B$6:C$185,2,FALSE),_xlfn.TEXTBEFORE(VLOOKUP($F86,Declarations!B$6:C$185,2,FALSE)," "))))</f>
        <v>EDEN</v>
      </c>
      <c r="C86" s="114" t="str">
        <f>IF(ISNA(VLOOKUP($F86,Declarations!B$6:C$185,2,FALSE)),"",IF(VLOOKUP($F86,Declarations!B$6:C$185,2,FALSE)="","NOT DECLARED",IF(ISNA(_xlfn.TEXTAFTER(VLOOKUP($F86,Declarations!B$6:C$185,2,FALSE)," ")),VLOOKUP($F86,Declarations!B$6:C$185,2,FALSE),_xlfn.TEXTAFTER(VLOOKUP($F86,Declarations!B$6:C$185,2,FALSE)," "))))</f>
        <v>WECKI</v>
      </c>
      <c r="D86" s="114" t="str">
        <f>IF(ISNA(VLOOKUP($F86,Declarations!$B$6:$F$185,5,FALSE)),"",IF(VLOOKUP($F86,Declarations!$B$6:$F$185,5,FALSE)="","NOT DECLARED",VLOOKUP($F86,Declarations!$B$6:$F$185,5,FALSE)))</f>
        <v>Woking AC</v>
      </c>
      <c r="E86" s="112" t="str">
        <f>IF(ISNA(VLOOKUP($F86,Declarations!$B$6:$D$185,3,FALSE)),"",IF(VLOOKUP($F86,Declarations!$B$6:$D$185,3,FALSE)="","NOT DECLARED",VLOOKUP($F86,Declarations!$B$6:$D$185,3,FALSE)&amp;LEFT(VLOOKUP($F86,Declarations!$B$6:$E$185,4,FALSE))))</f>
        <v>U12G</v>
      </c>
      <c r="F86" s="58">
        <v>26</v>
      </c>
      <c r="G86" s="122">
        <v>13.3</v>
      </c>
      <c r="H86" s="122"/>
      <c r="I86" s="114" t="str">
        <f>IF(ISNA(VLOOKUP(F86,Declarations!B$6:C$185,2,FALSE)),"",IF(VLOOKUP(F86,Declarations!B$6:C$185,2,FALSE)="","NOT DECLARED",VLOOKUP(F86,Declarations!B$6:C$185,2,FALSE)))</f>
        <v>EDEN WECKI</v>
      </c>
      <c r="J86" s="112">
        <f>IF(LOWER(G86)="dnf",1,IF(G86&lt;ScoringTable!B$3,ScoringTable!I$2,VLOOKUP((1000-G86),ScoringTable!G$2:I$95,3)))</f>
        <v>37</v>
      </c>
      <c r="K86" s="112" t="str">
        <f>IF(OR(E86="",G86=""),"",IF(RIGHT(E86,1)="G",_xlfn.XLOOKUP(G86,Data!$D$10:$L$10,Data!$D$9:$L$9,"",1,1),_xlfn.XLOOKUP(G86,Data!$D$3:$L$3,Data!$D$2:$L$2,"",1,1)))</f>
        <v>PB5</v>
      </c>
      <c r="L86" s="160" t="str" cm="1">
        <f t="array" ref="L86">IFERROR(_xlfn.IFNA(
                      _xlfn.IFS(
                      G86="", "",
                      AND(E86="U12B",G86&lt;=Data!$M$3), "U12 Boys record",
                      AND(E86="U12G",G86&lt;=Data!$M$10), "U12 Girls record"
                       ),""), "")</f>
        <v/>
      </c>
      <c r="M86" s="18" cm="1">
        <f t="array" ref="M86">_xlfn.IFS($G86="",0, AND(NOT(ISNUMBER($G86)),LOWER($G86)&lt;&gt;"dnf"),"Not a valid time",OR(LOWER($G86)="dnf",$G86&gt;ScoringTable!$M$161),1,RIGHT($E86,1)="B",_xlfn.XLOOKUP($G86,ScoringTable!$M$2:$M$161,ScoringTable!$L$2:$L$161,,1),TRUE,_xlfn.XLOOKUP($G86,ScoringTable!$S$2:$S$161,ScoringTable!$R$2:$R$161,,1))</f>
        <v>64</v>
      </c>
    </row>
    <row r="87" spans="1:13" s="7" customFormat="1" ht="16.05" customHeight="1">
      <c r="A87" s="243" t="s">
        <v>85</v>
      </c>
      <c r="B87" s="114" t="str">
        <f>IF(ISNA(VLOOKUP($F87,Declarations!B$6:C$185,2,FALSE)),"",IF(VLOOKUP($F87,Declarations!B$6:C$185,2,FALSE)="","NOT DECLARED",IF(ISNA(_xlfn.TEXTBEFORE(VLOOKUP($F87,Declarations!B$6:C$185,2,FALSE)," ")),VLOOKUP($F87,Declarations!B$6:C$185,2,FALSE),_xlfn.TEXTBEFORE(VLOOKUP($F87,Declarations!B$6:C$185,2,FALSE)," "))))</f>
        <v>CHARLOTTE</v>
      </c>
      <c r="C87" s="114" t="str">
        <f>IF(ISNA(VLOOKUP($F87,Declarations!B$6:C$185,2,FALSE)),"",IF(VLOOKUP($F87,Declarations!B$6:C$185,2,FALSE)="","NOT DECLARED",IF(ISNA(_xlfn.TEXTAFTER(VLOOKUP($F87,Declarations!B$6:C$185,2,FALSE)," ")),VLOOKUP($F87,Declarations!B$6:C$185,2,FALSE),_xlfn.TEXTAFTER(VLOOKUP($F87,Declarations!B$6:C$185,2,FALSE)," "))))</f>
        <v>SHEPPARD</v>
      </c>
      <c r="D87" s="114" t="str">
        <f>IF(ISNA(VLOOKUP($F87,Declarations!$B$6:$F$185,5,FALSE)),"",IF(VLOOKUP($F87,Declarations!$B$6:$F$185,5,FALSE)="","NOT DECLARED",VLOOKUP($F87,Declarations!$B$6:$F$185,5,FALSE)))</f>
        <v>Camberley &amp; District AC</v>
      </c>
      <c r="E87" s="112" t="str">
        <f>IF(ISNA(VLOOKUP($F87,Declarations!$B$6:$D$185,3,FALSE)),"",IF(VLOOKUP($F87,Declarations!$B$6:$D$185,3,FALSE)="","NOT DECLARED",VLOOKUP($F87,Declarations!$B$6:$D$185,3,FALSE)&amp;LEFT(VLOOKUP($F87,Declarations!$B$6:$E$185,4,FALSE))))</f>
        <v>U12G</v>
      </c>
      <c r="F87" s="58">
        <v>3</v>
      </c>
      <c r="G87" s="122">
        <v>11</v>
      </c>
      <c r="H87" s="122"/>
      <c r="I87" s="114" t="str">
        <f>IF(ISNA(VLOOKUP(F87,Declarations!B$6:C$185,2,FALSE)),"",IF(VLOOKUP(F87,Declarations!B$6:C$185,2,FALSE)="","NOT DECLARED",VLOOKUP(F87,Declarations!B$6:C$185,2,FALSE)))</f>
        <v>CHARLOTTE SHEPPARD</v>
      </c>
      <c r="J87" s="112">
        <f>IF(LOWER(G87)="dnf",1,IF(G87&lt;ScoringTable!B$3,ScoringTable!I$2,VLOOKUP((1000-G87),ScoringTable!G$2:I$95,3)))</f>
        <v>60</v>
      </c>
      <c r="K87" s="112" t="str">
        <f>IF(OR(E87="",G87=""),"",IF(RIGHT(E87,1)="G",_xlfn.XLOOKUP(G87,Data!$D$10:$L$10,Data!$D$9:$L$9,"",1,1),_xlfn.XLOOKUP(G87,Data!$D$3:$L$3,Data!$D$2:$L$2,"",1,1)))</f>
        <v>PB9</v>
      </c>
      <c r="L87" s="160" t="str" cm="1">
        <f t="array" ref="L87">IFERROR(_xlfn.IFNA(
                      _xlfn.IFS(
                      G87="", "",
                      AND(E87="U12B",G87&lt;=Data!$M$3), "U12 Boys record",
                      AND(E87="U12G",G87&lt;=Data!$M$10), "U12 Girls record"
                       ),""), "")</f>
        <v/>
      </c>
      <c r="M87" s="18" cm="1">
        <f t="array" ref="M87">_xlfn.IFS($G87="",0, AND(NOT(ISNUMBER($G87)),LOWER($G87)&lt;&gt;"dnf"),"Not a valid time",OR(LOWER($G87)="dnf",$G87&gt;ScoringTable!$M$161),1,RIGHT($E87,1)="B",_xlfn.XLOOKUP($G87,ScoringTable!$M$2:$M$161,ScoringTable!$L$2:$L$161,,1),TRUE,_xlfn.XLOOKUP($G87,ScoringTable!$S$2:$S$161,ScoringTable!$R$2:$R$161,,1))</f>
        <v>114</v>
      </c>
    </row>
    <row r="88" spans="1:13" s="7" customFormat="1" ht="16.05" customHeight="1">
      <c r="A88" s="243" t="s">
        <v>85</v>
      </c>
      <c r="B88" s="114" t="str">
        <f>IF(ISNA(VLOOKUP($F88,Declarations!B$6:C$185,2,FALSE)),"",IF(VLOOKUP($F88,Declarations!B$6:C$185,2,FALSE)="","NOT DECLARED",IF(ISNA(_xlfn.TEXTBEFORE(VLOOKUP($F88,Declarations!B$6:C$185,2,FALSE)," ")),VLOOKUP($F88,Declarations!B$6:C$185,2,FALSE),_xlfn.TEXTBEFORE(VLOOKUP($F88,Declarations!B$6:C$185,2,FALSE)," "))))</f>
        <v>ELISE</v>
      </c>
      <c r="C88" s="114" t="str">
        <f>IF(ISNA(VLOOKUP($F88,Declarations!B$6:C$185,2,FALSE)),"",IF(VLOOKUP($F88,Declarations!B$6:C$185,2,FALSE)="","NOT DECLARED",IF(ISNA(_xlfn.TEXTAFTER(VLOOKUP($F88,Declarations!B$6:C$185,2,FALSE)," ")),VLOOKUP($F88,Declarations!B$6:C$185,2,FALSE),_xlfn.TEXTAFTER(VLOOKUP($F88,Declarations!B$6:C$185,2,FALSE)," "))))</f>
        <v>ABDELLI</v>
      </c>
      <c r="D88" s="114" t="str">
        <f>IF(ISNA(VLOOKUP($F88,Declarations!$B$6:$F$185,5,FALSE)),"",IF(VLOOKUP($F88,Declarations!$B$6:$F$185,5,FALSE)="","NOT DECLARED",VLOOKUP($F88,Declarations!$B$6:$F$185,5,FALSE)))</f>
        <v>Woking AC</v>
      </c>
      <c r="E88" s="112" t="str">
        <f>IF(ISNA(VLOOKUP($F88,Declarations!$B$6:$D$185,3,FALSE)),"",IF(VLOOKUP($F88,Declarations!$B$6:$D$185,3,FALSE)="","NOT DECLARED",VLOOKUP($F88,Declarations!$B$6:$D$185,3,FALSE)&amp;LEFT(VLOOKUP($F88,Declarations!$B$6:$E$185,4,FALSE))))</f>
        <v>U12G</v>
      </c>
      <c r="F88" s="58">
        <v>21</v>
      </c>
      <c r="G88" s="122">
        <v>11.8</v>
      </c>
      <c r="H88" s="122"/>
      <c r="I88" s="114" t="str">
        <f>IF(ISNA(VLOOKUP(F88,Declarations!B$6:C$185,2,FALSE)),"",IF(VLOOKUP(F88,Declarations!B$6:C$185,2,FALSE)="","NOT DECLARED",VLOOKUP(F88,Declarations!B$6:C$185,2,FALSE)))</f>
        <v>ELISE ABDELLI</v>
      </c>
      <c r="J88" s="112">
        <f>IF(LOWER(G88)="dnf",1,IF(G88&lt;ScoringTable!B$3,ScoringTable!I$2,VLOOKUP((1000-G88),ScoringTable!G$2:I$95,3)))</f>
        <v>52</v>
      </c>
      <c r="K88" s="112" t="str">
        <f>IF(OR(E88="",G88=""),"",IF(RIGHT(E88,1)="G",_xlfn.XLOOKUP(G88,Data!$D$10:$L$10,Data!$D$9:$L$9,"",1,1),_xlfn.XLOOKUP(G88,Data!$D$3:$L$3,Data!$D$2:$L$2,"",1,1)))</f>
        <v>PB8</v>
      </c>
      <c r="L88" s="160" t="str" cm="1">
        <f t="array" ref="L88">IFERROR(_xlfn.IFNA(
                      _xlfn.IFS(
                      G88="", "",
                      AND(E88="U12B",G88&lt;=Data!$M$3), "U12 Boys record",
                      AND(E88="U12G",G88&lt;=Data!$M$10), "U12 Girls record"
                       ),""), "")</f>
        <v/>
      </c>
      <c r="M88" s="18" cm="1">
        <f t="array" ref="M88">_xlfn.IFS($G88="",0, AND(NOT(ISNUMBER($G88)),LOWER($G88)&lt;&gt;"dnf"),"Not a valid time",OR(LOWER($G88)="dnf",$G88&gt;ScoringTable!$M$161),1,RIGHT($E88,1)="B",_xlfn.XLOOKUP($G88,ScoringTable!$M$2:$M$161,ScoringTable!$L$2:$L$161,,1),TRUE,_xlfn.XLOOKUP($G88,ScoringTable!$S$2:$S$161,ScoringTable!$R$2:$R$161,,1))</f>
        <v>97</v>
      </c>
    </row>
    <row r="89" spans="1:13" s="7" customFormat="1" ht="16.05" customHeight="1">
      <c r="A89" s="243" t="s">
        <v>85</v>
      </c>
      <c r="B89" s="114" t="str">
        <f>IF(ISNA(VLOOKUP($F89,Declarations!B$6:C$185,2,FALSE)),"",IF(VLOOKUP($F89,Declarations!B$6:C$185,2,FALSE)="","NOT DECLARED",IF(ISNA(_xlfn.TEXTBEFORE(VLOOKUP($F89,Declarations!B$6:C$185,2,FALSE)," ")),VLOOKUP($F89,Declarations!B$6:C$185,2,FALSE),_xlfn.TEXTBEFORE(VLOOKUP($F89,Declarations!B$6:C$185,2,FALSE)," "))))</f>
        <v>BROOKE</v>
      </c>
      <c r="C89" s="114" t="str">
        <f>IF(ISNA(VLOOKUP($F89,Declarations!B$6:C$185,2,FALSE)),"",IF(VLOOKUP($F89,Declarations!B$6:C$185,2,FALSE)="","NOT DECLARED",IF(ISNA(_xlfn.TEXTAFTER(VLOOKUP($F89,Declarations!B$6:C$185,2,FALSE)," ")),VLOOKUP($F89,Declarations!B$6:C$185,2,FALSE),_xlfn.TEXTAFTER(VLOOKUP($F89,Declarations!B$6:C$185,2,FALSE)," "))))</f>
        <v>PARRY-DAVIDSON</v>
      </c>
      <c r="D89" s="114" t="str">
        <f>IF(ISNA(VLOOKUP($F89,Declarations!$B$6:$F$185,5,FALSE)),"",IF(VLOOKUP($F89,Declarations!$B$6:$F$185,5,FALSE)="","NOT DECLARED",VLOOKUP($F89,Declarations!$B$6:$F$185,5,FALSE)))</f>
        <v>Poole Runners</v>
      </c>
      <c r="E89" s="112" t="str">
        <f>IF(ISNA(VLOOKUP($F89,Declarations!$B$6:$D$185,3,FALSE)),"",IF(VLOOKUP($F89,Declarations!$B$6:$D$185,3,FALSE)="","NOT DECLARED",VLOOKUP($F89,Declarations!$B$6:$D$185,3,FALSE)&amp;LEFT(VLOOKUP($F89,Declarations!$B$6:$E$185,4,FALSE))))</f>
        <v>U12G</v>
      </c>
      <c r="F89" s="58">
        <v>46</v>
      </c>
      <c r="G89" s="122">
        <v>12.3</v>
      </c>
      <c r="H89" s="122"/>
      <c r="I89" s="114" t="str">
        <f>IF(ISNA(VLOOKUP(F89,Declarations!B$6:C$185,2,FALSE)),"",IF(VLOOKUP(F89,Declarations!B$6:C$185,2,FALSE)="","NOT DECLARED",VLOOKUP(F89,Declarations!B$6:C$185,2,FALSE)))</f>
        <v>BROOKE PARRY-DAVIDSON</v>
      </c>
      <c r="J89" s="112">
        <f>IF(LOWER(G89)="dnf",1,IF(G89&lt;ScoringTable!B$3,ScoringTable!I$2,VLOOKUP((1000-G89),ScoringTable!G$2:I$95,3)))</f>
        <v>47</v>
      </c>
      <c r="K89" s="112" t="str">
        <f>IF(OR(E89="",G89=""),"",IF(RIGHT(E89,1)="G",_xlfn.XLOOKUP(G89,Data!$D$10:$L$10,Data!$D$9:$L$9,"",1,1),_xlfn.XLOOKUP(G89,Data!$D$3:$L$3,Data!$D$2:$L$2,"",1,1)))</f>
        <v>PB7</v>
      </c>
      <c r="L89" s="160" t="str" cm="1">
        <f t="array" ref="L89">IFERROR(_xlfn.IFNA(
                      _xlfn.IFS(
                      G89="", "",
                      AND(E89="U12B",G89&lt;=Data!$M$3), "U12 Boys record",
                      AND(E89="U12G",G89&lt;=Data!$M$10), "U12 Girls record"
                       ),""), "")</f>
        <v/>
      </c>
      <c r="M89" s="18" cm="1">
        <f t="array" ref="M89">_xlfn.IFS($G89="",0, AND(NOT(ISNUMBER($G89)),LOWER($G89)&lt;&gt;"dnf"),"Not a valid time",OR(LOWER($G89)="dnf",$G89&gt;ScoringTable!$M$161),1,RIGHT($E89,1)="B",_xlfn.XLOOKUP($G89,ScoringTable!$M$2:$M$161,ScoringTable!$L$2:$L$161,,1),TRUE,_xlfn.XLOOKUP($G89,ScoringTable!$S$2:$S$161,ScoringTable!$R$2:$R$161,,1))</f>
        <v>85</v>
      </c>
    </row>
    <row r="90" spans="1:13" s="7" customFormat="1" ht="16.05" customHeight="1">
      <c r="A90" s="243" t="s">
        <v>85</v>
      </c>
      <c r="B90" s="114" t="str">
        <f>IF(ISNA(VLOOKUP($F90,Declarations!B$6:C$185,2,FALSE)),"",IF(VLOOKUP($F90,Declarations!B$6:C$185,2,FALSE)="","NOT DECLARED",IF(ISNA(_xlfn.TEXTBEFORE(VLOOKUP($F90,Declarations!B$6:C$185,2,FALSE)," ")),VLOOKUP($F90,Declarations!B$6:C$185,2,FALSE),_xlfn.TEXTBEFORE(VLOOKUP($F90,Declarations!B$6:C$185,2,FALSE)," "))))</f>
        <v>VIOLET</v>
      </c>
      <c r="C90" s="114" t="str">
        <f>IF(ISNA(VLOOKUP($F90,Declarations!B$6:C$185,2,FALSE)),"",IF(VLOOKUP($F90,Declarations!B$6:C$185,2,FALSE)="","NOT DECLARED",IF(ISNA(_xlfn.TEXTAFTER(VLOOKUP($F90,Declarations!B$6:C$185,2,FALSE)," ")),VLOOKUP($F90,Declarations!B$6:C$185,2,FALSE),_xlfn.TEXTAFTER(VLOOKUP($F90,Declarations!B$6:C$185,2,FALSE)," "))))</f>
        <v>FULLING</v>
      </c>
      <c r="D90" s="114" t="str">
        <f>IF(ISNA(VLOOKUP($F90,Declarations!$B$6:$F$185,5,FALSE)),"",IF(VLOOKUP($F90,Declarations!$B$6:$F$185,5,FALSE)="","NOT DECLARED",VLOOKUP($F90,Declarations!$B$6:$F$185,5,FALSE)))</f>
        <v>Poole Runners</v>
      </c>
      <c r="E90" s="112" t="str">
        <f>IF(ISNA(VLOOKUP($F90,Declarations!$B$6:$D$185,3,FALSE)),"",IF(VLOOKUP($F90,Declarations!$B$6:$D$185,3,FALSE)="","NOT DECLARED",VLOOKUP($F90,Declarations!$B$6:$D$185,3,FALSE)&amp;LEFT(VLOOKUP($F90,Declarations!$B$6:$E$185,4,FALSE))))</f>
        <v>U12G</v>
      </c>
      <c r="F90" s="58">
        <v>45</v>
      </c>
      <c r="G90" s="122">
        <v>12.7</v>
      </c>
      <c r="H90" s="122"/>
      <c r="I90" s="114" t="str">
        <f>IF(ISNA(VLOOKUP(F90,Declarations!B$6:C$185,2,FALSE)),"",IF(VLOOKUP(F90,Declarations!B$6:C$185,2,FALSE)="","NOT DECLARED",VLOOKUP(F90,Declarations!B$6:C$185,2,FALSE)))</f>
        <v>VIOLET FULLING</v>
      </c>
      <c r="J90" s="112">
        <f>IF(LOWER(G90)="dnf",1,IF(G90&lt;ScoringTable!B$3,ScoringTable!I$2,VLOOKUP((1000-G90),ScoringTable!G$2:I$95,3)))</f>
        <v>43</v>
      </c>
      <c r="K90" s="112" t="str">
        <f>IF(OR(E90="",G90=""),"",IF(RIGHT(E90,1)="G",_xlfn.XLOOKUP(G90,Data!$D$10:$L$10,Data!$D$9:$L$9,"",1,1),_xlfn.XLOOKUP(G90,Data!$D$3:$L$3,Data!$D$2:$L$2,"",1,1)))</f>
        <v>PB6</v>
      </c>
      <c r="L90" s="160" t="str" cm="1">
        <f t="array" ref="L90">IFERROR(_xlfn.IFNA(
                      _xlfn.IFS(
                      G90="", "",
                      AND(E90="U12B",G90&lt;=Data!$M$3), "U12 Boys record",
                      AND(E90="U12G",G90&lt;=Data!$M$10), "U12 Girls record"
                       ),""), "")</f>
        <v/>
      </c>
      <c r="M90" s="18" cm="1">
        <f t="array" ref="M90">_xlfn.IFS($G90="",0, AND(NOT(ISNUMBER($G90)),LOWER($G90)&lt;&gt;"dnf"),"Not a valid time",OR(LOWER($G90)="dnf",$G90&gt;ScoringTable!$M$161),1,RIGHT($E90,1)="B",_xlfn.XLOOKUP($G90,ScoringTable!$M$2:$M$161,ScoringTable!$L$2:$L$161,,1),TRUE,_xlfn.XLOOKUP($G90,ScoringTable!$S$2:$S$161,ScoringTable!$R$2:$R$161,,1))</f>
        <v>76</v>
      </c>
    </row>
    <row r="91" spans="1:13" s="7" customFormat="1" ht="16.05" customHeight="1">
      <c r="A91" s="243" t="s">
        <v>85</v>
      </c>
      <c r="B91" s="114" t="str">
        <f>IF(ISNA(VLOOKUP($F91,Declarations!B$6:C$185,2,FALSE)),"",IF(VLOOKUP($F91,Declarations!B$6:C$185,2,FALSE)="","NOT DECLARED",IF(ISNA(_xlfn.TEXTBEFORE(VLOOKUP($F91,Declarations!B$6:C$185,2,FALSE)," ")),VLOOKUP($F91,Declarations!B$6:C$185,2,FALSE),_xlfn.TEXTBEFORE(VLOOKUP($F91,Declarations!B$6:C$185,2,FALSE)," "))))</f>
        <v>NORA</v>
      </c>
      <c r="C91" s="114" t="str">
        <f>IF(ISNA(VLOOKUP($F91,Declarations!B$6:C$185,2,FALSE)),"",IF(VLOOKUP($F91,Declarations!B$6:C$185,2,FALSE)="","NOT DECLARED",IF(ISNA(_xlfn.TEXTAFTER(VLOOKUP($F91,Declarations!B$6:C$185,2,FALSE)," ")),VLOOKUP($F91,Declarations!B$6:C$185,2,FALSE),_xlfn.TEXTAFTER(VLOOKUP($F91,Declarations!B$6:C$185,2,FALSE)," "))))</f>
        <v>BRADFORD</v>
      </c>
      <c r="D91" s="114" t="str">
        <f>IF(ISNA(VLOOKUP($F91,Declarations!$B$6:$F$185,5,FALSE)),"",IF(VLOOKUP($F91,Declarations!$B$6:$F$185,5,FALSE)="","NOT DECLARED",VLOOKUP($F91,Declarations!$B$6:$F$185,5,FALSE)))</f>
        <v>Fleet &amp; Crookham AC</v>
      </c>
      <c r="E91" s="112" t="str">
        <f>IF(ISNA(VLOOKUP($F91,Declarations!$B$6:$D$185,3,FALSE)),"",IF(VLOOKUP($F91,Declarations!$B$6:$D$185,3,FALSE)="","NOT DECLARED",VLOOKUP($F91,Declarations!$B$6:$D$185,3,FALSE)&amp;LEFT(VLOOKUP($F91,Declarations!$B$6:$E$185,4,FALSE))))</f>
        <v>U12G</v>
      </c>
      <c r="F91" s="58">
        <v>69</v>
      </c>
      <c r="G91" s="122">
        <v>13.6</v>
      </c>
      <c r="H91" s="122"/>
      <c r="I91" s="114" t="str">
        <f>IF(ISNA(VLOOKUP(F91,Declarations!B$6:C$185,2,FALSE)),"",IF(VLOOKUP(F91,Declarations!B$6:C$185,2,FALSE)="","NOT DECLARED",VLOOKUP(F91,Declarations!B$6:C$185,2,FALSE)))</f>
        <v>NORA BRADFORD</v>
      </c>
      <c r="J91" s="112">
        <f>IF(LOWER(G91)="dnf",1,IF(G91&lt;ScoringTable!B$3,ScoringTable!I$2,VLOOKUP((1000-G91),ScoringTable!G$2:I$95,3)))</f>
        <v>34</v>
      </c>
      <c r="K91" s="112" t="str">
        <f>IF(OR(E91="",G91=""),"",IF(RIGHT(E91,1)="G",_xlfn.XLOOKUP(G91,Data!$D$10:$L$10,Data!$D$9:$L$9,"",1,1),_xlfn.XLOOKUP(G91,Data!$D$3:$L$3,Data!$D$2:$L$2,"",1,1)))</f>
        <v>PB4</v>
      </c>
      <c r="L91" s="160" t="str" cm="1">
        <f t="array" ref="L91">IFERROR(_xlfn.IFNA(
                      _xlfn.IFS(
                      G91="", "",
                      AND(E91="U12B",G91&lt;=Data!$M$3), "U12 Boys record",
                      AND(E91="U12G",G91&lt;=Data!$M$10), "U12 Girls record"
                       ),""), "")</f>
        <v/>
      </c>
      <c r="M91" s="18" cm="1">
        <f t="array" ref="M91">_xlfn.IFS($G91="",0, AND(NOT(ISNUMBER($G91)),LOWER($G91)&lt;&gt;"dnf"),"Not a valid time",OR(LOWER($G91)="dnf",$G91&gt;ScoringTable!$M$161),1,RIGHT($E91,1)="B",_xlfn.XLOOKUP($G91,ScoringTable!$M$2:$M$161,ScoringTable!$L$2:$L$161,,1),TRUE,_xlfn.XLOOKUP($G91,ScoringTable!$S$2:$S$161,ScoringTable!$R$2:$R$161,,1))</f>
        <v>58</v>
      </c>
    </row>
    <row r="92" spans="1:13" s="7" customFormat="1" ht="16.05" customHeight="1">
      <c r="A92" s="243" t="s">
        <v>85</v>
      </c>
      <c r="B92" s="114" t="str">
        <f>IF(ISNA(VLOOKUP($F92,Declarations!B$6:C$185,2,FALSE)),"",IF(VLOOKUP($F92,Declarations!B$6:C$185,2,FALSE)="","NOT DECLARED",IF(ISNA(_xlfn.TEXTBEFORE(VLOOKUP($F92,Declarations!B$6:C$185,2,FALSE)," ")),VLOOKUP($F92,Declarations!B$6:C$185,2,FALSE),_xlfn.TEXTBEFORE(VLOOKUP($F92,Declarations!B$6:C$185,2,FALSE)," "))))</f>
        <v>WILLA</v>
      </c>
      <c r="C92" s="114" t="str">
        <f>IF(ISNA(VLOOKUP($F92,Declarations!B$6:C$185,2,FALSE)),"",IF(VLOOKUP($F92,Declarations!B$6:C$185,2,FALSE)="","NOT DECLARED",IF(ISNA(_xlfn.TEXTAFTER(VLOOKUP($F92,Declarations!B$6:C$185,2,FALSE)," ")),VLOOKUP($F92,Declarations!B$6:C$185,2,FALSE),_xlfn.TEXTAFTER(VLOOKUP($F92,Declarations!B$6:C$185,2,FALSE)," "))))</f>
        <v>GRAY</v>
      </c>
      <c r="D92" s="114" t="str">
        <f>IF(ISNA(VLOOKUP($F92,Declarations!$B$6:$F$185,5,FALSE)),"",IF(VLOOKUP($F92,Declarations!$B$6:$F$185,5,FALSE)="","NOT DECLARED",VLOOKUP($F92,Declarations!$B$6:$F$185,5,FALSE)))</f>
        <v>Poole Runners</v>
      </c>
      <c r="E92" s="112" t="str">
        <f>IF(ISNA(VLOOKUP($F92,Declarations!$B$6:$D$185,3,FALSE)),"",IF(VLOOKUP($F92,Declarations!$B$6:$D$185,3,FALSE)="","NOT DECLARED",VLOOKUP($F92,Declarations!$B$6:$D$185,3,FALSE)&amp;LEFT(VLOOKUP($F92,Declarations!$B$6:$E$185,4,FALSE))))</f>
        <v>U12G</v>
      </c>
      <c r="F92" s="58">
        <v>50</v>
      </c>
      <c r="G92" s="122">
        <v>11.8</v>
      </c>
      <c r="H92" s="122"/>
      <c r="I92" s="114" t="str">
        <f>IF(ISNA(VLOOKUP(F92,Declarations!B$6:C$185,2,FALSE)),"",IF(VLOOKUP(F92,Declarations!B$6:C$185,2,FALSE)="","NOT DECLARED",VLOOKUP(F92,Declarations!B$6:C$185,2,FALSE)))</f>
        <v>WILLA GRAY</v>
      </c>
      <c r="J92" s="112">
        <f>IF(LOWER(G92)="dnf",1,IF(G92&lt;ScoringTable!B$3,ScoringTable!I$2,VLOOKUP((1000-G92),ScoringTable!G$2:I$95,3)))</f>
        <v>52</v>
      </c>
      <c r="K92" s="112" t="str">
        <f>IF(OR(E92="",G92=""),"",IF(RIGHT(E92,1)="G",_xlfn.XLOOKUP(G92,Data!$D$10:$L$10,Data!$D$9:$L$9,"",1,1),_xlfn.XLOOKUP(G92,Data!$D$3:$L$3,Data!$D$2:$L$2,"",1,1)))</f>
        <v>PB8</v>
      </c>
      <c r="L92" s="160" t="str" cm="1">
        <f t="array" ref="L92">IFERROR(_xlfn.IFNA(
                      _xlfn.IFS(
                      G92="", "",
                      AND(E92="U12B",G92&lt;=Data!$M$3), "U12 Boys record",
                      AND(E92="U12G",G92&lt;=Data!$M$10), "U12 Girls record"
                       ),""), "")</f>
        <v/>
      </c>
      <c r="M92" s="18" cm="1">
        <f t="array" ref="M92">_xlfn.IFS($G92="",0, AND(NOT(ISNUMBER($G92)),LOWER($G92)&lt;&gt;"dnf"),"Not a valid time",OR(LOWER($G92)="dnf",$G92&gt;ScoringTable!$M$161),1,RIGHT($E92,1)="B",_xlfn.XLOOKUP($G92,ScoringTable!$M$2:$M$161,ScoringTable!$L$2:$L$161,,1),TRUE,_xlfn.XLOOKUP($G92,ScoringTable!$S$2:$S$161,ScoringTable!$R$2:$R$161,,1))</f>
        <v>97</v>
      </c>
    </row>
    <row r="93" spans="1:13" s="7" customFormat="1" ht="16.05" customHeight="1">
      <c r="A93" s="243" t="s">
        <v>85</v>
      </c>
      <c r="B93" s="114" t="str">
        <f>IF(ISNA(VLOOKUP($F93,Declarations!B$6:C$185,2,FALSE)),"",IF(VLOOKUP($F93,Declarations!B$6:C$185,2,FALSE)="","NOT DECLARED",IF(ISNA(_xlfn.TEXTBEFORE(VLOOKUP($F93,Declarations!B$6:C$185,2,FALSE)," ")),VLOOKUP($F93,Declarations!B$6:C$185,2,FALSE),_xlfn.TEXTBEFORE(VLOOKUP($F93,Declarations!B$6:C$185,2,FALSE)," "))))</f>
        <v>CHLOE</v>
      </c>
      <c r="C93" s="114" t="str">
        <f>IF(ISNA(VLOOKUP($F93,Declarations!B$6:C$185,2,FALSE)),"",IF(VLOOKUP($F93,Declarations!B$6:C$185,2,FALSE)="","NOT DECLARED",IF(ISNA(_xlfn.TEXTAFTER(VLOOKUP($F93,Declarations!B$6:C$185,2,FALSE)," ")),VLOOKUP($F93,Declarations!B$6:C$185,2,FALSE),_xlfn.TEXTAFTER(VLOOKUP($F93,Declarations!B$6:C$185,2,FALSE)," "))))</f>
        <v>HARRISON</v>
      </c>
      <c r="D93" s="114" t="str">
        <f>IF(ISNA(VLOOKUP($F93,Declarations!$B$6:$F$185,5,FALSE)),"",IF(VLOOKUP($F93,Declarations!$B$6:$F$185,5,FALSE)="","NOT DECLARED",VLOOKUP($F93,Declarations!$B$6:$F$185,5,FALSE)))</f>
        <v>Camberley &amp; District AC</v>
      </c>
      <c r="E93" s="112" t="str">
        <f>IF(ISNA(VLOOKUP($F93,Declarations!$B$6:$D$185,3,FALSE)),"",IF(VLOOKUP($F93,Declarations!$B$6:$D$185,3,FALSE)="","NOT DECLARED",VLOOKUP($F93,Declarations!$B$6:$D$185,3,FALSE)&amp;LEFT(VLOOKUP($F93,Declarations!$B$6:$E$185,4,FALSE))))</f>
        <v>U12G</v>
      </c>
      <c r="F93" s="58">
        <v>8</v>
      </c>
      <c r="G93" s="122">
        <v>12.1</v>
      </c>
      <c r="H93" s="122"/>
      <c r="I93" s="114" t="str">
        <f>IF(ISNA(VLOOKUP(F93,Declarations!B$6:C$185,2,FALSE)),"",IF(VLOOKUP(F93,Declarations!B$6:C$185,2,FALSE)="","NOT DECLARED",VLOOKUP(F93,Declarations!B$6:C$185,2,FALSE)))</f>
        <v>CHLOE HARRISON</v>
      </c>
      <c r="J93" s="112">
        <f>IF(LOWER(G93)="dnf",1,IF(G93&lt;ScoringTable!B$3,ScoringTable!I$2,VLOOKUP((1000-G93),ScoringTable!G$2:I$95,3)))</f>
        <v>49</v>
      </c>
      <c r="K93" s="112" t="str">
        <f>IF(OR(E93="",G93=""),"",IF(RIGHT(E93,1)="G",_xlfn.XLOOKUP(G93,Data!$D$10:$L$10,Data!$D$9:$L$9,"",1,1),_xlfn.XLOOKUP(G93,Data!$D$3:$L$3,Data!$D$2:$L$2,"",1,1)))</f>
        <v>PB8</v>
      </c>
      <c r="L93" s="160" t="str" cm="1">
        <f t="array" ref="L93">IFERROR(_xlfn.IFNA(
                      _xlfn.IFS(
                      G93="", "",
                      AND(E93="U12B",G93&lt;=Data!$M$3), "U12 Boys record",
                      AND(E93="U12G",G93&lt;=Data!$M$10), "U12 Girls record"
                       ),""), "")</f>
        <v/>
      </c>
      <c r="M93" s="18" cm="1">
        <f t="array" ref="M93">_xlfn.IFS($G93="",0, AND(NOT(ISNUMBER($G93)),LOWER($G93)&lt;&gt;"dnf"),"Not a valid time",OR(LOWER($G93)="dnf",$G93&gt;ScoringTable!$M$161),1,RIGHT($E93,1)="B",_xlfn.XLOOKUP($G93,ScoringTable!$M$2:$M$161,ScoringTable!$L$2:$L$161,,1),TRUE,_xlfn.XLOOKUP($G93,ScoringTable!$S$2:$S$161,ScoringTable!$R$2:$R$161,,1))</f>
        <v>90</v>
      </c>
    </row>
    <row r="94" spans="1:13" s="7" customFormat="1" ht="16.05" customHeight="1">
      <c r="A94" s="243" t="s">
        <v>85</v>
      </c>
      <c r="B94" s="114" t="str">
        <f>IF(ISNA(VLOOKUP($F94,Declarations!B$6:C$185,2,FALSE)),"",IF(VLOOKUP($F94,Declarations!B$6:C$185,2,FALSE)="","NOT DECLARED",IF(ISNA(_xlfn.TEXTBEFORE(VLOOKUP($F94,Declarations!B$6:C$185,2,FALSE)," ")),VLOOKUP($F94,Declarations!B$6:C$185,2,FALSE),_xlfn.TEXTBEFORE(VLOOKUP($F94,Declarations!B$6:C$185,2,FALSE)," "))))</f>
        <v>JOSEPHINE</v>
      </c>
      <c r="C94" s="114" t="str">
        <f>IF(ISNA(VLOOKUP($F94,Declarations!B$6:C$185,2,FALSE)),"",IF(VLOOKUP($F94,Declarations!B$6:C$185,2,FALSE)="","NOT DECLARED",IF(ISNA(_xlfn.TEXTAFTER(VLOOKUP($F94,Declarations!B$6:C$185,2,FALSE)," ")),VLOOKUP($F94,Declarations!B$6:C$185,2,FALSE),_xlfn.TEXTAFTER(VLOOKUP($F94,Declarations!B$6:C$185,2,FALSE)," "))))</f>
        <v>HARPER</v>
      </c>
      <c r="D94" s="114" t="str">
        <f>IF(ISNA(VLOOKUP($F94,Declarations!$B$6:$F$185,5,FALSE)),"",IF(VLOOKUP($F94,Declarations!$B$6:$F$185,5,FALSE)="","NOT DECLARED",VLOOKUP($F94,Declarations!$B$6:$F$185,5,FALSE)))</f>
        <v>Fleet &amp; Crookham AC</v>
      </c>
      <c r="E94" s="112" t="str">
        <f>IF(ISNA(VLOOKUP($F94,Declarations!$B$6:$D$185,3,FALSE)),"",IF(VLOOKUP($F94,Declarations!$B$6:$D$185,3,FALSE)="","NOT DECLARED",VLOOKUP($F94,Declarations!$B$6:$D$185,3,FALSE)&amp;LEFT(VLOOKUP($F94,Declarations!$B$6:$E$185,4,FALSE))))</f>
        <v>U12G</v>
      </c>
      <c r="F94" s="58">
        <v>70</v>
      </c>
      <c r="G94" s="122">
        <v>12.2</v>
      </c>
      <c r="H94" s="122"/>
      <c r="I94" s="114" t="str">
        <f>IF(ISNA(VLOOKUP(F94,Declarations!B$6:C$185,2,FALSE)),"",IF(VLOOKUP(F94,Declarations!B$6:C$185,2,FALSE)="","NOT DECLARED",VLOOKUP(F94,Declarations!B$6:C$185,2,FALSE)))</f>
        <v>JOSEPHINE HARPER</v>
      </c>
      <c r="J94" s="112">
        <f>IF(LOWER(G94)="dnf",1,IF(G94&lt;ScoringTable!B$3,ScoringTable!I$2,VLOOKUP((1000-G94),ScoringTable!G$2:I$95,3)))</f>
        <v>48</v>
      </c>
      <c r="K94" s="112" t="str">
        <f>IF(OR(E94="",G94=""),"",IF(RIGHT(E94,1)="G",_xlfn.XLOOKUP(G94,Data!$D$10:$L$10,Data!$D$9:$L$9,"",1,1),_xlfn.XLOOKUP(G94,Data!$D$3:$L$3,Data!$D$2:$L$2,"",1,1)))</f>
        <v>PB7</v>
      </c>
      <c r="L94" s="160" t="str" cm="1">
        <f t="array" ref="L94">IFERROR(_xlfn.IFNA(
                      _xlfn.IFS(
                      G94="", "",
                      AND(E94="U12B",G94&lt;=Data!$M$3), "U12 Boys record",
                      AND(E94="U12G",G94&lt;=Data!$M$10), "U12 Girls record"
                       ),""), "")</f>
        <v/>
      </c>
      <c r="M94" s="18" cm="1">
        <f t="array" ref="M94">_xlfn.IFS($G94="",0, AND(NOT(ISNUMBER($G94)),LOWER($G94)&lt;&gt;"dnf"),"Not a valid time",OR(LOWER($G94)="dnf",$G94&gt;ScoringTable!$M$161),1,RIGHT($E94,1)="B",_xlfn.XLOOKUP($G94,ScoringTable!$M$2:$M$161,ScoringTable!$L$2:$L$161,,1),TRUE,_xlfn.XLOOKUP($G94,ScoringTable!$S$2:$S$161,ScoringTable!$R$2:$R$161,,1))</f>
        <v>87</v>
      </c>
    </row>
    <row r="95" spans="1:13" s="7" customFormat="1" ht="16.05" customHeight="1">
      <c r="A95" s="243" t="s">
        <v>85</v>
      </c>
      <c r="B95" s="114" t="str">
        <f>IF(ISNA(VLOOKUP($F95,Declarations!B$6:C$185,2,FALSE)),"",IF(VLOOKUP($F95,Declarations!B$6:C$185,2,FALSE)="","NOT DECLARED",IF(ISNA(_xlfn.TEXTBEFORE(VLOOKUP($F95,Declarations!B$6:C$185,2,FALSE)," ")),VLOOKUP($F95,Declarations!B$6:C$185,2,FALSE),_xlfn.TEXTBEFORE(VLOOKUP($F95,Declarations!B$6:C$185,2,FALSE)," "))))</f>
        <v>ELIN</v>
      </c>
      <c r="C95" s="114" t="str">
        <f>IF(ISNA(VLOOKUP($F95,Declarations!B$6:C$185,2,FALSE)),"",IF(VLOOKUP($F95,Declarations!B$6:C$185,2,FALSE)="","NOT DECLARED",IF(ISNA(_xlfn.TEXTAFTER(VLOOKUP($F95,Declarations!B$6:C$185,2,FALSE)," ")),VLOOKUP($F95,Declarations!B$6:C$185,2,FALSE),_xlfn.TEXTAFTER(VLOOKUP($F95,Declarations!B$6:C$185,2,FALSE)," "))))</f>
        <v>PERERA</v>
      </c>
      <c r="D95" s="114" t="str">
        <f>IF(ISNA(VLOOKUP($F95,Declarations!$B$6:$F$185,5,FALSE)),"",IF(VLOOKUP($F95,Declarations!$B$6:$F$185,5,FALSE)="","NOT DECLARED",VLOOKUP($F95,Declarations!$B$6:$F$185,5,FALSE)))</f>
        <v>Woking AC</v>
      </c>
      <c r="E95" s="112" t="str">
        <f>IF(ISNA(VLOOKUP($F95,Declarations!$B$6:$D$185,3,FALSE)),"",IF(VLOOKUP($F95,Declarations!$B$6:$D$185,3,FALSE)="","NOT DECLARED",VLOOKUP($F95,Declarations!$B$6:$D$185,3,FALSE)&amp;LEFT(VLOOKUP($F95,Declarations!$B$6:$E$185,4,FALSE))))</f>
        <v>U12G</v>
      </c>
      <c r="F95" s="58">
        <v>24</v>
      </c>
      <c r="G95" s="122">
        <v>12.4</v>
      </c>
      <c r="H95" s="122"/>
      <c r="I95" s="114" t="str">
        <f>IF(ISNA(VLOOKUP(F95,Declarations!B$6:C$185,2,FALSE)),"",IF(VLOOKUP(F95,Declarations!B$6:C$185,2,FALSE)="","NOT DECLARED",VLOOKUP(F95,Declarations!B$6:C$185,2,FALSE)))</f>
        <v>ELIN PERERA</v>
      </c>
      <c r="J95" s="112">
        <f>IF(LOWER(G95)="dnf",1,IF(G95&lt;ScoringTable!B$3,ScoringTable!I$2,VLOOKUP((1000-G95),ScoringTable!G$2:I$95,3)))</f>
        <v>46</v>
      </c>
      <c r="K95" s="112" t="str">
        <f>IF(OR(E95="",G95=""),"",IF(RIGHT(E95,1)="G",_xlfn.XLOOKUP(G95,Data!$D$10:$L$10,Data!$D$9:$L$9,"",1,1),_xlfn.XLOOKUP(G95,Data!$D$3:$L$3,Data!$D$2:$L$2,"",1,1)))</f>
        <v>PB7</v>
      </c>
      <c r="L95" s="160" t="str" cm="1">
        <f t="array" ref="L95">IFERROR(_xlfn.IFNA(
                      _xlfn.IFS(
                      G95="", "",
                      AND(E95="U12B",G95&lt;=Data!$M$3), "U12 Boys record",
                      AND(E95="U12G",G95&lt;=Data!$M$10), "U12 Girls record"
                       ),""), "")</f>
        <v/>
      </c>
      <c r="M95" s="18" cm="1">
        <f t="array" ref="M95">_xlfn.IFS($G95="",0, AND(NOT(ISNUMBER($G95)),LOWER($G95)&lt;&gt;"dnf"),"Not a valid time",OR(LOWER($G95)="dnf",$G95&gt;ScoringTable!$M$161),1,RIGHT($E95,1)="B",_xlfn.XLOOKUP($G95,ScoringTable!$M$2:$M$161,ScoringTable!$L$2:$L$161,,1),TRUE,_xlfn.XLOOKUP($G95,ScoringTable!$S$2:$S$161,ScoringTable!$R$2:$R$161,,1))</f>
        <v>82</v>
      </c>
    </row>
    <row r="96" spans="1:13" s="7" customFormat="1" ht="16.05" customHeight="1">
      <c r="A96" s="243" t="s">
        <v>85</v>
      </c>
      <c r="B96" s="114" t="str">
        <f>IF(ISNA(VLOOKUP($F96,Declarations!B$6:C$185,2,FALSE)),"",IF(VLOOKUP($F96,Declarations!B$6:C$185,2,FALSE)="","NOT DECLARED",IF(ISNA(_xlfn.TEXTBEFORE(VLOOKUP($F96,Declarations!B$6:C$185,2,FALSE)," ")),VLOOKUP($F96,Declarations!B$6:C$185,2,FALSE),_xlfn.TEXTBEFORE(VLOOKUP($F96,Declarations!B$6:C$185,2,FALSE)," "))))</f>
        <v>IZZY</v>
      </c>
      <c r="C96" s="114" t="str">
        <f>IF(ISNA(VLOOKUP($F96,Declarations!B$6:C$185,2,FALSE)),"",IF(VLOOKUP($F96,Declarations!B$6:C$185,2,FALSE)="","NOT DECLARED",IF(ISNA(_xlfn.TEXTAFTER(VLOOKUP($F96,Declarations!B$6:C$185,2,FALSE)," ")),VLOOKUP($F96,Declarations!B$6:C$185,2,FALSE),_xlfn.TEXTAFTER(VLOOKUP($F96,Declarations!B$6:C$185,2,FALSE)," "))))</f>
        <v>YOUNG</v>
      </c>
      <c r="D96" s="114" t="str">
        <f>IF(ISNA(VLOOKUP($F96,Declarations!$B$6:$F$185,5,FALSE)),"",IF(VLOOKUP($F96,Declarations!$B$6:$F$185,5,FALSE)="","NOT DECLARED",VLOOKUP($F96,Declarations!$B$6:$F$185,5,FALSE)))</f>
        <v>Poole Runners</v>
      </c>
      <c r="E96" s="112" t="str">
        <f>IF(ISNA(VLOOKUP($F96,Declarations!$B$6:$D$185,3,FALSE)),"",IF(VLOOKUP($F96,Declarations!$B$6:$D$185,3,FALSE)="","NOT DECLARED",VLOOKUP($F96,Declarations!$B$6:$D$185,3,FALSE)&amp;LEFT(VLOOKUP($F96,Declarations!$B$6:$E$185,4,FALSE))))</f>
        <v>U12G</v>
      </c>
      <c r="F96" s="58">
        <v>49</v>
      </c>
      <c r="G96" s="122">
        <v>12.5</v>
      </c>
      <c r="H96" s="122"/>
      <c r="I96" s="114" t="str">
        <f>IF(ISNA(VLOOKUP(F96,Declarations!B$6:C$185,2,FALSE)),"",IF(VLOOKUP(F96,Declarations!B$6:C$185,2,FALSE)="","NOT DECLARED",VLOOKUP(F96,Declarations!B$6:C$185,2,FALSE)))</f>
        <v>IZZY YOUNG</v>
      </c>
      <c r="J96" s="112">
        <f>IF(LOWER(G96)="dnf",1,IF(G96&lt;ScoringTable!B$3,ScoringTable!I$2,VLOOKUP((1000-G96),ScoringTable!G$2:I$95,3)))</f>
        <v>45</v>
      </c>
      <c r="K96" s="112" t="str">
        <f>IF(OR(E96="",G96=""),"",IF(RIGHT(E96,1)="G",_xlfn.XLOOKUP(G96,Data!$D$10:$L$10,Data!$D$9:$L$9,"",1,1),_xlfn.XLOOKUP(G96,Data!$D$3:$L$3,Data!$D$2:$L$2,"",1,1)))</f>
        <v>PB7</v>
      </c>
      <c r="L96" s="160" t="str" cm="1">
        <f t="array" ref="L96">IFERROR(_xlfn.IFNA(
                      _xlfn.IFS(
                      G96="", "",
                      AND(E96="U12B",G96&lt;=Data!$M$3), "U12 Boys record",
                      AND(E96="U12G",G96&lt;=Data!$M$10), "U12 Girls record"
                       ),""), "")</f>
        <v/>
      </c>
      <c r="M96" s="18" cm="1">
        <f t="array" ref="M96">_xlfn.IFS($G96="",0, AND(NOT(ISNUMBER($G96)),LOWER($G96)&lt;&gt;"dnf"),"Not a valid time",OR(LOWER($G96)="dnf",$G96&gt;ScoringTable!$M$161),1,RIGHT($E96,1)="B",_xlfn.XLOOKUP($G96,ScoringTable!$M$2:$M$161,ScoringTable!$L$2:$L$161,,1),TRUE,_xlfn.XLOOKUP($G96,ScoringTable!$S$2:$S$161,ScoringTable!$R$2:$R$161,,1))</f>
        <v>80</v>
      </c>
    </row>
    <row r="97" spans="1:13" s="7" customFormat="1" ht="16.05" customHeight="1">
      <c r="A97" s="243" t="s">
        <v>85</v>
      </c>
      <c r="B97" s="114" t="str">
        <f>IF(ISNA(VLOOKUP($F97,Declarations!B$6:C$185,2,FALSE)),"",IF(VLOOKUP($F97,Declarations!B$6:C$185,2,FALSE)="","NOT DECLARED",IF(ISNA(_xlfn.TEXTBEFORE(VLOOKUP($F97,Declarations!B$6:C$185,2,FALSE)," ")),VLOOKUP($F97,Declarations!B$6:C$185,2,FALSE),_xlfn.TEXTBEFORE(VLOOKUP($F97,Declarations!B$6:C$185,2,FALSE)," "))))</f>
        <v/>
      </c>
      <c r="C97" s="114" t="str">
        <f>IF(ISNA(VLOOKUP($F97,Declarations!B$6:C$185,2,FALSE)),"",IF(VLOOKUP($F97,Declarations!B$6:C$185,2,FALSE)="","NOT DECLARED",IF(ISNA(_xlfn.TEXTAFTER(VLOOKUP($F97,Declarations!B$6:C$185,2,FALSE)," ")),VLOOKUP($F97,Declarations!B$6:C$185,2,FALSE),_xlfn.TEXTAFTER(VLOOKUP($F97,Declarations!B$6:C$185,2,FALSE)," "))))</f>
        <v/>
      </c>
      <c r="D97" s="114" t="str">
        <f>IF(ISNA(VLOOKUP($F97,Declarations!$B$6:$F$185,5,FALSE)),"",IF(VLOOKUP($F97,Declarations!$B$6:$F$185,5,FALSE)="","NOT DECLARED",VLOOKUP($F97,Declarations!$B$6:$F$185,5,FALSE)))</f>
        <v/>
      </c>
      <c r="E97" s="112" t="str">
        <f>IF(ISNA(VLOOKUP($F97,Declarations!$B$6:$D$185,3,FALSE)),"",IF(VLOOKUP($F97,Declarations!$B$6:$D$185,3,FALSE)="","NOT DECLARED",VLOOKUP($F97,Declarations!$B$6:$D$185,3,FALSE)&amp;LEFT(VLOOKUP($F97,Declarations!$B$6:$E$185,4,FALSE))))</f>
        <v/>
      </c>
      <c r="F97" s="58"/>
      <c r="G97" s="122"/>
      <c r="H97" s="122"/>
      <c r="I97" s="114" t="str">
        <f>IF(ISNA(VLOOKUP(F97,Declarations!B$6:C$185,2,FALSE)),"",IF(VLOOKUP(F97,Declarations!B$6:C$185,2,FALSE)="","NOT DECLARED",VLOOKUP(F97,Declarations!B$6:C$185,2,FALSE)))</f>
        <v/>
      </c>
      <c r="J97" s="112">
        <f>IF(LOWER(G97)="dnf",1,IF(G97&lt;ScoringTable!B$3,ScoringTable!I$2,VLOOKUP((1000-G97),ScoringTable!G$2:I$95,3)))</f>
        <v>0</v>
      </c>
      <c r="K97" s="112" t="str">
        <f>IF(OR(E97="",G97=""),"",IF(RIGHT(E97,1)="G",_xlfn.XLOOKUP(G97,Data!$D$10:$L$10,Data!$D$9:$L$9,"",1,1),_xlfn.XLOOKUP(G97,Data!$D$3:$L$3,Data!$D$2:$L$2,"",1,1)))</f>
        <v/>
      </c>
      <c r="L97" s="160" t="str" cm="1">
        <f t="array" ref="L97">IFERROR(_xlfn.IFNA(
                      _xlfn.IFS(
                      G97="", "",
                      AND(E97="U12B",G97&lt;=Data!$M$3), "U12 Boys record",
                      AND(E97="U12G",G97&lt;=Data!$M$10), "U12 Girls record"
                       ),""), "")</f>
        <v/>
      </c>
      <c r="M97" s="18" cm="1">
        <f t="array" ref="M97">_xlfn.IFS($G97="",0, AND(NOT(ISNUMBER($G97)),LOWER($G97)&lt;&gt;"dnf"),"Not a valid time",OR(LOWER($G97)="dnf",$G97&gt;ScoringTable!$M$161),1,RIGHT($E97,1)="B",_xlfn.XLOOKUP($G97,ScoringTable!$M$2:$M$161,ScoringTable!$L$2:$L$161,,1),TRUE,_xlfn.XLOOKUP($G97,ScoringTable!$S$2:$S$161,ScoringTable!$R$2:$R$161,,1))</f>
        <v>0</v>
      </c>
    </row>
    <row r="98" spans="1:13" s="7" customFormat="1" ht="16.05" customHeight="1">
      <c r="A98" s="243" t="s">
        <v>85</v>
      </c>
      <c r="B98" s="114" t="str">
        <f>IF(ISNA(VLOOKUP($F98,Declarations!B$6:C$185,2,FALSE)),"",IF(VLOOKUP($F98,Declarations!B$6:C$185,2,FALSE)="","NOT DECLARED",IF(ISNA(_xlfn.TEXTBEFORE(VLOOKUP($F98,Declarations!B$6:C$185,2,FALSE)," ")),VLOOKUP($F98,Declarations!B$6:C$185,2,FALSE),_xlfn.TEXTBEFORE(VLOOKUP($F98,Declarations!B$6:C$185,2,FALSE)," "))))</f>
        <v/>
      </c>
      <c r="C98" s="114" t="str">
        <f>IF(ISNA(VLOOKUP($F98,Declarations!B$6:C$185,2,FALSE)),"",IF(VLOOKUP($F98,Declarations!B$6:C$185,2,FALSE)="","NOT DECLARED",IF(ISNA(_xlfn.TEXTAFTER(VLOOKUP($F98,Declarations!B$6:C$185,2,FALSE)," ")),VLOOKUP($F98,Declarations!B$6:C$185,2,FALSE),_xlfn.TEXTAFTER(VLOOKUP($F98,Declarations!B$6:C$185,2,FALSE)," "))))</f>
        <v/>
      </c>
      <c r="D98" s="114" t="str">
        <f>IF(ISNA(VLOOKUP($F98,Declarations!$B$6:$F$185,5,FALSE)),"",IF(VLOOKUP($F98,Declarations!$B$6:$F$185,5,FALSE)="","NOT DECLARED",VLOOKUP($F98,Declarations!$B$6:$F$185,5,FALSE)))</f>
        <v/>
      </c>
      <c r="E98" s="112" t="str">
        <f>IF(ISNA(VLOOKUP($F98,Declarations!$B$6:$D$185,3,FALSE)),"",IF(VLOOKUP($F98,Declarations!$B$6:$D$185,3,FALSE)="","NOT DECLARED",VLOOKUP($F98,Declarations!$B$6:$D$185,3,FALSE)&amp;LEFT(VLOOKUP($F98,Declarations!$B$6:$E$185,4,FALSE))))</f>
        <v/>
      </c>
      <c r="F98" s="58"/>
      <c r="G98" s="122"/>
      <c r="H98" s="122"/>
      <c r="I98" s="114" t="str">
        <f>IF(ISNA(VLOOKUP(F98,Declarations!B$6:C$185,2,FALSE)),"",IF(VLOOKUP(F98,Declarations!B$6:C$185,2,FALSE)="","NOT DECLARED",VLOOKUP(F98,Declarations!B$6:C$185,2,FALSE)))</f>
        <v/>
      </c>
      <c r="J98" s="112">
        <f>IF(LOWER(G98)="dnf",1,IF(G98&lt;ScoringTable!B$3,ScoringTable!I$2,VLOOKUP((1000-G98),ScoringTable!G$2:I$95,3)))</f>
        <v>0</v>
      </c>
      <c r="K98" s="112" t="str">
        <f>IF(OR(E98="",G98=""),"",IF(RIGHT(E98,1)="G",_xlfn.XLOOKUP(G98,Data!$D$10:$L$10,Data!$D$9:$L$9,"",1,1),_xlfn.XLOOKUP(G98,Data!$D$3:$L$3,Data!$D$2:$L$2,"",1,1)))</f>
        <v/>
      </c>
      <c r="L98" s="160" t="str" cm="1">
        <f t="array" ref="L98">IFERROR(_xlfn.IFNA(
                      _xlfn.IFS(
                      G98="", "",
                      AND(E98="U12B",G98&lt;=Data!$M$3), "U12 Boys record",
                      AND(E98="U12G",G98&lt;=Data!$M$10), "U12 Girls record"
                       ),""), "")</f>
        <v/>
      </c>
      <c r="M98" s="18" cm="1">
        <f t="array" ref="M98">_xlfn.IFS($G98="",0, AND(NOT(ISNUMBER($G98)),LOWER($G98)&lt;&gt;"dnf"),"Not a valid time",OR(LOWER($G98)="dnf",$G98&gt;ScoringTable!$M$161),1,RIGHT($E98,1)="B",_xlfn.XLOOKUP($G98,ScoringTable!$M$2:$M$161,ScoringTable!$L$2:$L$161,,1),TRUE,_xlfn.XLOOKUP($G98,ScoringTable!$S$2:$S$161,ScoringTable!$R$2:$R$161,,1))</f>
        <v>0</v>
      </c>
    </row>
    <row r="99" spans="1:13" s="7" customFormat="1" ht="16.05" customHeight="1">
      <c r="A99" s="243" t="s">
        <v>85</v>
      </c>
      <c r="B99" s="114" t="str">
        <f>IF(ISNA(VLOOKUP($F99,Declarations!B$6:C$185,2,FALSE)),"",IF(VLOOKUP($F99,Declarations!B$6:C$185,2,FALSE)="","NOT DECLARED",IF(ISNA(_xlfn.TEXTBEFORE(VLOOKUP($F99,Declarations!B$6:C$185,2,FALSE)," ")),VLOOKUP($F99,Declarations!B$6:C$185,2,FALSE),_xlfn.TEXTBEFORE(VLOOKUP($F99,Declarations!B$6:C$185,2,FALSE)," "))))</f>
        <v/>
      </c>
      <c r="C99" s="114" t="str">
        <f>IF(ISNA(VLOOKUP($F99,Declarations!B$6:C$185,2,FALSE)),"",IF(VLOOKUP($F99,Declarations!B$6:C$185,2,FALSE)="","NOT DECLARED",IF(ISNA(_xlfn.TEXTAFTER(VLOOKUP($F99,Declarations!B$6:C$185,2,FALSE)," ")),VLOOKUP($F99,Declarations!B$6:C$185,2,FALSE),_xlfn.TEXTAFTER(VLOOKUP($F99,Declarations!B$6:C$185,2,FALSE)," "))))</f>
        <v/>
      </c>
      <c r="D99" s="114" t="str">
        <f>IF(ISNA(VLOOKUP($F99,Declarations!$B$6:$F$185,5,FALSE)),"",IF(VLOOKUP($F99,Declarations!$B$6:$F$185,5,FALSE)="","NOT DECLARED",VLOOKUP($F99,Declarations!$B$6:$F$185,5,FALSE)))</f>
        <v/>
      </c>
      <c r="E99" s="112" t="str">
        <f>IF(ISNA(VLOOKUP($F99,Declarations!$B$6:$D$185,3,FALSE)),"",IF(VLOOKUP($F99,Declarations!$B$6:$D$185,3,FALSE)="","NOT DECLARED",VLOOKUP($F99,Declarations!$B$6:$D$185,3,FALSE)&amp;LEFT(VLOOKUP($F99,Declarations!$B$6:$E$185,4,FALSE))))</f>
        <v/>
      </c>
      <c r="F99" s="58"/>
      <c r="G99" s="122"/>
      <c r="H99" s="122"/>
      <c r="I99" s="114" t="str">
        <f>IF(ISNA(VLOOKUP(F99,Declarations!B$6:C$185,2,FALSE)),"",IF(VLOOKUP(F99,Declarations!B$6:C$185,2,FALSE)="","NOT DECLARED",VLOOKUP(F99,Declarations!B$6:C$185,2,FALSE)))</f>
        <v/>
      </c>
      <c r="J99" s="112">
        <f>IF(LOWER(G99)="dnf",1,IF(G99&lt;ScoringTable!B$3,ScoringTable!I$2,VLOOKUP((1000-G99),ScoringTable!G$2:I$95,3)))</f>
        <v>0</v>
      </c>
      <c r="K99" s="112" t="str">
        <f>IF(OR(E99="",G99=""),"",IF(RIGHT(E99,1)="G",_xlfn.XLOOKUP(G99,Data!$D$10:$L$10,Data!$D$9:$L$9,"",1,1),_xlfn.XLOOKUP(G99,Data!$D$3:$L$3,Data!$D$2:$L$2,"",1,1)))</f>
        <v/>
      </c>
      <c r="L99" s="160" t="str" cm="1">
        <f t="array" ref="L99">IFERROR(_xlfn.IFNA(
                      _xlfn.IFS(
                      G99="", "",
                      AND(E99="U12B",G99&lt;=Data!$M$3), "U12 Boys record",
                      AND(E99="U12G",G99&lt;=Data!$M$10), "U12 Girls record"
                       ),""), "")</f>
        <v/>
      </c>
      <c r="M99" s="18" cm="1">
        <f t="array" ref="M99">_xlfn.IFS($G99="",0, AND(NOT(ISNUMBER($G99)),LOWER($G99)&lt;&gt;"dnf"),"Not a valid time",OR(LOWER($G99)="dnf",$G99&gt;ScoringTable!$M$161),1,RIGHT($E99,1)="B",_xlfn.XLOOKUP($G99,ScoringTable!$M$2:$M$161,ScoringTable!$L$2:$L$161,,1),TRUE,_xlfn.XLOOKUP($G99,ScoringTable!$S$2:$S$161,ScoringTable!$R$2:$R$161,,1))</f>
        <v>0</v>
      </c>
    </row>
    <row r="100" spans="1:13" s="7" customFormat="1" ht="16.05" customHeight="1">
      <c r="A100" s="243" t="s">
        <v>85</v>
      </c>
      <c r="B100" s="114" t="str">
        <f>IF(ISNA(VLOOKUP($F100,Declarations!B$6:C$185,2,FALSE)),"",IF(VLOOKUP($F100,Declarations!B$6:C$185,2,FALSE)="","NOT DECLARED",IF(ISNA(_xlfn.TEXTBEFORE(VLOOKUP($F100,Declarations!B$6:C$185,2,FALSE)," ")),VLOOKUP($F100,Declarations!B$6:C$185,2,FALSE),_xlfn.TEXTBEFORE(VLOOKUP($F100,Declarations!B$6:C$185,2,FALSE)," "))))</f>
        <v/>
      </c>
      <c r="C100" s="114" t="str">
        <f>IF(ISNA(VLOOKUP($F100,Declarations!B$6:C$185,2,FALSE)),"",IF(VLOOKUP($F100,Declarations!B$6:C$185,2,FALSE)="","NOT DECLARED",IF(ISNA(_xlfn.TEXTAFTER(VLOOKUP($F100,Declarations!B$6:C$185,2,FALSE)," ")),VLOOKUP($F100,Declarations!B$6:C$185,2,FALSE),_xlfn.TEXTAFTER(VLOOKUP($F100,Declarations!B$6:C$185,2,FALSE)," "))))</f>
        <v/>
      </c>
      <c r="D100" s="114" t="str">
        <f>IF(ISNA(VLOOKUP($F100,Declarations!$B$6:$F$185,5,FALSE)),"",IF(VLOOKUP($F100,Declarations!$B$6:$F$185,5,FALSE)="","NOT DECLARED",VLOOKUP($F100,Declarations!$B$6:$F$185,5,FALSE)))</f>
        <v/>
      </c>
      <c r="E100" s="112" t="str">
        <f>IF(ISNA(VLOOKUP($F100,Declarations!$B$6:$D$185,3,FALSE)),"",IF(VLOOKUP($F100,Declarations!$B$6:$D$185,3,FALSE)="","NOT DECLARED",VLOOKUP($F100,Declarations!$B$6:$D$185,3,FALSE)&amp;LEFT(VLOOKUP($F100,Declarations!$B$6:$E$185,4,FALSE))))</f>
        <v/>
      </c>
      <c r="F100" s="58"/>
      <c r="G100" s="122"/>
      <c r="H100" s="122"/>
      <c r="I100" s="114" t="str">
        <f>IF(ISNA(VLOOKUP(F100,Declarations!B$6:C$185,2,FALSE)),"",IF(VLOOKUP(F100,Declarations!B$6:C$185,2,FALSE)="","NOT DECLARED",VLOOKUP(F100,Declarations!B$6:C$185,2,FALSE)))</f>
        <v/>
      </c>
      <c r="J100" s="112">
        <f>IF(LOWER(G100)="dnf",1,IF(G100&lt;ScoringTable!B$3,ScoringTable!I$2,VLOOKUP((1000-G100),ScoringTable!G$2:I$95,3)))</f>
        <v>0</v>
      </c>
      <c r="K100" s="112" t="str">
        <f>IF(OR(E100="",G100=""),"",IF(RIGHT(E100,1)="G",_xlfn.XLOOKUP(G100,Data!$D$10:$L$10,Data!$D$9:$L$9,"",1,1),_xlfn.XLOOKUP(G100,Data!$D$3:$L$3,Data!$D$2:$L$2,"",1,1)))</f>
        <v/>
      </c>
      <c r="L100" s="160" t="str" cm="1">
        <f t="array" ref="L100">IFERROR(_xlfn.IFNA(
                      _xlfn.IFS(
                      G100="", "",
                      AND(E100="U12B",G100&lt;=Data!$M$3), "U12 Boys record",
                      AND(E100="U12G",G100&lt;=Data!$M$10), "U12 Girls record"
                       ),""), "")</f>
        <v/>
      </c>
      <c r="M100" s="18" cm="1">
        <f t="array" ref="M100">_xlfn.IFS($G100="",0, AND(NOT(ISNUMBER($G100)),LOWER($G100)&lt;&gt;"dnf"),"Not a valid time",OR(LOWER($G100)="dnf",$G100&gt;ScoringTable!$M$161),1,RIGHT($E100,1)="B",_xlfn.XLOOKUP($G100,ScoringTable!$M$2:$M$161,ScoringTable!$L$2:$L$161,,1),TRUE,_xlfn.XLOOKUP($G100,ScoringTable!$S$2:$S$161,ScoringTable!$R$2:$R$161,,1))</f>
        <v>0</v>
      </c>
    </row>
    <row r="101" spans="1:13" s="7" customFormat="1" ht="16.05" customHeight="1">
      <c r="A101" s="243" t="s">
        <v>85</v>
      </c>
      <c r="B101" s="114" t="str">
        <f>IF(ISNA(VLOOKUP($F101,Declarations!B$6:C$185,2,FALSE)),"",IF(VLOOKUP($F101,Declarations!B$6:C$185,2,FALSE)="","NOT DECLARED",IF(ISNA(_xlfn.TEXTBEFORE(VLOOKUP($F101,Declarations!B$6:C$185,2,FALSE)," ")),VLOOKUP($F101,Declarations!B$6:C$185,2,FALSE),_xlfn.TEXTBEFORE(VLOOKUP($F101,Declarations!B$6:C$185,2,FALSE)," "))))</f>
        <v/>
      </c>
      <c r="C101" s="114" t="str">
        <f>IF(ISNA(VLOOKUP($F101,Declarations!B$6:C$185,2,FALSE)),"",IF(VLOOKUP($F101,Declarations!B$6:C$185,2,FALSE)="","NOT DECLARED",IF(ISNA(_xlfn.TEXTAFTER(VLOOKUP($F101,Declarations!B$6:C$185,2,FALSE)," ")),VLOOKUP($F101,Declarations!B$6:C$185,2,FALSE),_xlfn.TEXTAFTER(VLOOKUP($F101,Declarations!B$6:C$185,2,FALSE)," "))))</f>
        <v/>
      </c>
      <c r="D101" s="114" t="str">
        <f>IF(ISNA(VLOOKUP($F101,Declarations!$B$6:$F$185,5,FALSE)),"",IF(VLOOKUP($F101,Declarations!$B$6:$F$185,5,FALSE)="","NOT DECLARED",VLOOKUP($F101,Declarations!$B$6:$F$185,5,FALSE)))</f>
        <v/>
      </c>
      <c r="E101" s="112" t="str">
        <f>IF(ISNA(VLOOKUP($F101,Declarations!$B$6:$D$185,3,FALSE)),"",IF(VLOOKUP($F101,Declarations!$B$6:$D$185,3,FALSE)="","NOT DECLARED",VLOOKUP($F101,Declarations!$B$6:$D$185,3,FALSE)&amp;LEFT(VLOOKUP($F101,Declarations!$B$6:$E$185,4,FALSE))))</f>
        <v/>
      </c>
      <c r="F101" s="58"/>
      <c r="G101" s="122"/>
      <c r="H101" s="122"/>
      <c r="I101" s="114" t="str">
        <f>IF(ISNA(VLOOKUP(F101,Declarations!B$6:C$185,2,FALSE)),"",IF(VLOOKUP(F101,Declarations!B$6:C$185,2,FALSE)="","NOT DECLARED",VLOOKUP(F101,Declarations!B$6:C$185,2,FALSE)))</f>
        <v/>
      </c>
      <c r="J101" s="112">
        <f>IF(LOWER(G101)="dnf",1,IF(G101&lt;ScoringTable!B$3,ScoringTable!I$2,VLOOKUP((1000-G101),ScoringTable!G$2:I$95,3)))</f>
        <v>0</v>
      </c>
      <c r="K101" s="112" t="str">
        <f>IF(OR(E101="",G101=""),"",IF(RIGHT(E101,1)="G",_xlfn.XLOOKUP(G101,Data!$D$10:$L$10,Data!$D$9:$L$9,"",1,1),_xlfn.XLOOKUP(G101,Data!$D$3:$L$3,Data!$D$2:$L$2,"",1,1)))</f>
        <v/>
      </c>
      <c r="L101" s="160" t="str" cm="1">
        <f t="array" ref="L101">IFERROR(_xlfn.IFNA(
                      _xlfn.IFS(
                      G101="", "",
                      AND(E101="U12B",G101&lt;=Data!$M$3), "U12 Boys record",
                      AND(E101="U12G",G101&lt;=Data!$M$10), "U12 Girls record"
                       ),""), "")</f>
        <v/>
      </c>
      <c r="M101" s="18" cm="1">
        <f t="array" ref="M101">_xlfn.IFS($G101="",0, AND(NOT(ISNUMBER($G101)),LOWER($G101)&lt;&gt;"dnf"),"Not a valid time",OR(LOWER($G101)="dnf",$G101&gt;ScoringTable!$M$161),1,RIGHT($E101,1)="B",_xlfn.XLOOKUP($G101,ScoringTable!$M$2:$M$161,ScoringTable!$L$2:$L$161,,1),TRUE,_xlfn.XLOOKUP($G101,ScoringTable!$S$2:$S$161,ScoringTable!$R$2:$R$161,,1))</f>
        <v>0</v>
      </c>
    </row>
    <row r="102" spans="1:13" s="7" customFormat="1" ht="16.05" customHeight="1">
      <c r="A102" s="243" t="s">
        <v>85</v>
      </c>
      <c r="B102" s="114" t="str">
        <f>IF(ISNA(VLOOKUP($F102,Declarations!B$6:C$185,2,FALSE)),"",IF(VLOOKUP($F102,Declarations!B$6:C$185,2,FALSE)="","NOT DECLARED",IF(ISNA(_xlfn.TEXTBEFORE(VLOOKUP($F102,Declarations!B$6:C$185,2,FALSE)," ")),VLOOKUP($F102,Declarations!B$6:C$185,2,FALSE),_xlfn.TEXTBEFORE(VLOOKUP($F102,Declarations!B$6:C$185,2,FALSE)," "))))</f>
        <v/>
      </c>
      <c r="C102" s="114" t="str">
        <f>IF(ISNA(VLOOKUP($F102,Declarations!B$6:C$185,2,FALSE)),"",IF(VLOOKUP($F102,Declarations!B$6:C$185,2,FALSE)="","NOT DECLARED",IF(ISNA(_xlfn.TEXTAFTER(VLOOKUP($F102,Declarations!B$6:C$185,2,FALSE)," ")),VLOOKUP($F102,Declarations!B$6:C$185,2,FALSE),_xlfn.TEXTAFTER(VLOOKUP($F102,Declarations!B$6:C$185,2,FALSE)," "))))</f>
        <v/>
      </c>
      <c r="D102" s="114" t="str">
        <f>IF(ISNA(VLOOKUP($F102,Declarations!$B$6:$F$185,5,FALSE)),"",IF(VLOOKUP($F102,Declarations!$B$6:$F$185,5,FALSE)="","NOT DECLARED",VLOOKUP($F102,Declarations!$B$6:$F$185,5,FALSE)))</f>
        <v/>
      </c>
      <c r="E102" s="112" t="str">
        <f>IF(ISNA(VLOOKUP($F102,Declarations!$B$6:$D$185,3,FALSE)),"",IF(VLOOKUP($F102,Declarations!$B$6:$D$185,3,FALSE)="","NOT DECLARED",VLOOKUP($F102,Declarations!$B$6:$D$185,3,FALSE)&amp;LEFT(VLOOKUP($F102,Declarations!$B$6:$E$185,4,FALSE))))</f>
        <v/>
      </c>
      <c r="F102" s="58"/>
      <c r="G102" s="122"/>
      <c r="H102" s="122"/>
      <c r="I102" s="114" t="str">
        <f>IF(ISNA(VLOOKUP(F102,Declarations!B$6:C$185,2,FALSE)),"",IF(VLOOKUP(F102,Declarations!B$6:C$185,2,FALSE)="","NOT DECLARED",VLOOKUP(F102,Declarations!B$6:C$185,2,FALSE)))</f>
        <v/>
      </c>
      <c r="J102" s="112">
        <f>IF(LOWER(G102)="dnf",1,IF(G102&lt;ScoringTable!B$3,ScoringTable!I$2,VLOOKUP((1000-G102),ScoringTable!G$2:I$95,3)))</f>
        <v>0</v>
      </c>
      <c r="K102" s="112" t="str">
        <f>IF(OR(E102="",G102=""),"",IF(RIGHT(E102,1)="G",_xlfn.XLOOKUP(G102,Data!$D$10:$L$10,Data!$D$9:$L$9,"",1,1),_xlfn.XLOOKUP(G102,Data!$D$3:$L$3,Data!$D$2:$L$2,"",1,1)))</f>
        <v/>
      </c>
      <c r="L102" s="160" t="str" cm="1">
        <f t="array" ref="L102">IFERROR(_xlfn.IFNA(
                      _xlfn.IFS(
                      G102="", "",
                      AND(E102="U12B",G102&lt;=Data!$M$3), "U12 Boys record",
                      AND(E102="U12G",G102&lt;=Data!$M$10), "U12 Girls record"
                       ),""), "")</f>
        <v/>
      </c>
      <c r="M102" s="18" cm="1">
        <f t="array" ref="M102">_xlfn.IFS($G102="",0, AND(NOT(ISNUMBER($G102)),LOWER($G102)&lt;&gt;"dnf"),"Not a valid time",OR(LOWER($G102)="dnf",$G102&gt;ScoringTable!$M$161),1,RIGHT($E102,1)="B",_xlfn.XLOOKUP($G102,ScoringTable!$M$2:$M$161,ScoringTable!$L$2:$L$161,,1),TRUE,_xlfn.XLOOKUP($G102,ScoringTable!$S$2:$S$161,ScoringTable!$R$2:$R$161,,1))</f>
        <v>0</v>
      </c>
    </row>
    <row r="103" spans="1:13" s="7" customFormat="1" ht="16.05" customHeight="1">
      <c r="A103" s="243" t="s">
        <v>85</v>
      </c>
      <c r="B103" s="114" t="str">
        <f>IF(ISNA(VLOOKUP($F103,Declarations!B$6:C$185,2,FALSE)),"",IF(VLOOKUP($F103,Declarations!B$6:C$185,2,FALSE)="","NOT DECLARED",IF(ISNA(_xlfn.TEXTBEFORE(VLOOKUP($F103,Declarations!B$6:C$185,2,FALSE)," ")),VLOOKUP($F103,Declarations!B$6:C$185,2,FALSE),_xlfn.TEXTBEFORE(VLOOKUP($F103,Declarations!B$6:C$185,2,FALSE)," "))))</f>
        <v/>
      </c>
      <c r="C103" s="114" t="str">
        <f>IF(ISNA(VLOOKUP($F103,Declarations!B$6:C$185,2,FALSE)),"",IF(VLOOKUP($F103,Declarations!B$6:C$185,2,FALSE)="","NOT DECLARED",IF(ISNA(_xlfn.TEXTAFTER(VLOOKUP($F103,Declarations!B$6:C$185,2,FALSE)," ")),VLOOKUP($F103,Declarations!B$6:C$185,2,FALSE),_xlfn.TEXTAFTER(VLOOKUP($F103,Declarations!B$6:C$185,2,FALSE)," "))))</f>
        <v/>
      </c>
      <c r="D103" s="114" t="str">
        <f>IF(ISNA(VLOOKUP($F103,Declarations!$B$6:$F$185,5,FALSE)),"",IF(VLOOKUP($F103,Declarations!$B$6:$F$185,5,FALSE)="","NOT DECLARED",VLOOKUP($F103,Declarations!$B$6:$F$185,5,FALSE)))</f>
        <v/>
      </c>
      <c r="E103" s="112" t="str">
        <f>IF(ISNA(VLOOKUP($F103,Declarations!$B$6:$D$185,3,FALSE)),"",IF(VLOOKUP($F103,Declarations!$B$6:$D$185,3,FALSE)="","NOT DECLARED",VLOOKUP($F103,Declarations!$B$6:$D$185,3,FALSE)&amp;LEFT(VLOOKUP($F103,Declarations!$B$6:$E$185,4,FALSE))))</f>
        <v/>
      </c>
      <c r="F103" s="58"/>
      <c r="G103" s="122"/>
      <c r="H103" s="122"/>
      <c r="I103" s="114" t="str">
        <f>IF(ISNA(VLOOKUP(F103,Declarations!B$6:C$185,2,FALSE)),"",IF(VLOOKUP(F103,Declarations!B$6:C$185,2,FALSE)="","NOT DECLARED",VLOOKUP(F103,Declarations!B$6:C$185,2,FALSE)))</f>
        <v/>
      </c>
      <c r="J103" s="112">
        <f>IF(LOWER(G103)="dnf",1,IF(G103&lt;ScoringTable!B$3,ScoringTable!I$2,VLOOKUP((1000-G103),ScoringTable!G$2:I$95,3)))</f>
        <v>0</v>
      </c>
      <c r="K103" s="112" t="str">
        <f>IF(OR(E103="",G103=""),"",IF(RIGHT(E103,1)="G",_xlfn.XLOOKUP(G103,Data!$D$10:$L$10,Data!$D$9:$L$9,"",1,1),_xlfn.XLOOKUP(G103,Data!$D$3:$L$3,Data!$D$2:$L$2,"",1,1)))</f>
        <v/>
      </c>
      <c r="L103" s="160" t="str" cm="1">
        <f t="array" ref="L103">IFERROR(_xlfn.IFNA(
                      _xlfn.IFS(
                      G103="", "",
                      AND(E103="U12B",G103&lt;=Data!$M$3), "U12 Boys record",
                      AND(E103="U12G",G103&lt;=Data!$M$10), "U12 Girls record"
                       ),""), "")</f>
        <v/>
      </c>
      <c r="M103" s="18" cm="1">
        <f t="array" ref="M103">_xlfn.IFS($G103="",0, AND(NOT(ISNUMBER($G103)),LOWER($G103)&lt;&gt;"dnf"),"Not a valid time",OR(LOWER($G103)="dnf",$G103&gt;ScoringTable!$M$161),1,RIGHT($E103,1)="B",_xlfn.XLOOKUP($G103,ScoringTable!$M$2:$M$161,ScoringTable!$L$2:$L$161,,1),TRUE,_xlfn.XLOOKUP($G103,ScoringTable!$S$2:$S$161,ScoringTable!$R$2:$R$161,,1))</f>
        <v>0</v>
      </c>
    </row>
    <row r="104" spans="1:13" s="7" customFormat="1" ht="16.05" customHeight="1">
      <c r="A104" s="243" t="s">
        <v>85</v>
      </c>
      <c r="B104" s="114" t="str">
        <f>IF(ISNA(VLOOKUP($F104,Declarations!B$6:C$185,2,FALSE)),"",IF(VLOOKUP($F104,Declarations!B$6:C$185,2,FALSE)="","NOT DECLARED",IF(ISNA(_xlfn.TEXTBEFORE(VLOOKUP($F104,Declarations!B$6:C$185,2,FALSE)," ")),VLOOKUP($F104,Declarations!B$6:C$185,2,FALSE),_xlfn.TEXTBEFORE(VLOOKUP($F104,Declarations!B$6:C$185,2,FALSE)," "))))</f>
        <v/>
      </c>
      <c r="C104" s="114" t="str">
        <f>IF(ISNA(VLOOKUP($F104,Declarations!B$6:C$185,2,FALSE)),"",IF(VLOOKUP($F104,Declarations!B$6:C$185,2,FALSE)="","NOT DECLARED",IF(ISNA(_xlfn.TEXTAFTER(VLOOKUP($F104,Declarations!B$6:C$185,2,FALSE)," ")),VLOOKUP($F104,Declarations!B$6:C$185,2,FALSE),_xlfn.TEXTAFTER(VLOOKUP($F104,Declarations!B$6:C$185,2,FALSE)," "))))</f>
        <v/>
      </c>
      <c r="D104" s="114" t="str">
        <f>IF(ISNA(VLOOKUP($F104,Declarations!$B$6:$F$185,5,FALSE)),"",IF(VLOOKUP($F104,Declarations!$B$6:$F$185,5,FALSE)="","NOT DECLARED",VLOOKUP($F104,Declarations!$B$6:$F$185,5,FALSE)))</f>
        <v/>
      </c>
      <c r="E104" s="112" t="str">
        <f>IF(ISNA(VLOOKUP($F104,Declarations!$B$6:$D$185,3,FALSE)),"",IF(VLOOKUP($F104,Declarations!$B$6:$D$185,3,FALSE)="","NOT DECLARED",VLOOKUP($F104,Declarations!$B$6:$D$185,3,FALSE)&amp;LEFT(VLOOKUP($F104,Declarations!$B$6:$E$185,4,FALSE))))</f>
        <v/>
      </c>
      <c r="F104" s="58"/>
      <c r="G104" s="122"/>
      <c r="H104" s="122"/>
      <c r="I104" s="114" t="str">
        <f>IF(ISNA(VLOOKUP(F104,Declarations!B$6:C$185,2,FALSE)),"",IF(VLOOKUP(F104,Declarations!B$6:C$185,2,FALSE)="","NOT DECLARED",VLOOKUP(F104,Declarations!B$6:C$185,2,FALSE)))</f>
        <v/>
      </c>
      <c r="J104" s="112">
        <f>IF(LOWER(G104)="dnf",1,IF(G104&lt;ScoringTable!B$3,ScoringTable!I$2,VLOOKUP((1000-G104),ScoringTable!G$2:I$95,3)))</f>
        <v>0</v>
      </c>
      <c r="K104" s="112" t="str">
        <f>IF(OR(E104="",G104=""),"",IF(RIGHT(E104,1)="G",_xlfn.XLOOKUP(G104,Data!$D$10:$L$10,Data!$D$9:$L$9,"",1,1),_xlfn.XLOOKUP(G104,Data!$D$3:$L$3,Data!$D$2:$L$2,"",1,1)))</f>
        <v/>
      </c>
      <c r="L104" s="160" t="str" cm="1">
        <f t="array" ref="L104">IFERROR(_xlfn.IFNA(
                      _xlfn.IFS(
                      G104="", "",
                      AND(E104="U12B",G104&lt;=Data!$M$3), "U12 Boys record",
                      AND(E104="U12G",G104&lt;=Data!$M$10), "U12 Girls record"
                       ),""), "")</f>
        <v/>
      </c>
      <c r="M104" s="18" cm="1">
        <f t="array" ref="M104">_xlfn.IFS($G104="",0, AND(NOT(ISNUMBER($G104)),LOWER($G104)&lt;&gt;"dnf"),"Not a valid time",OR(LOWER($G104)="dnf",$G104&gt;ScoringTable!$M$161),1,RIGHT($E104,1)="B",_xlfn.XLOOKUP($G104,ScoringTable!$M$2:$M$161,ScoringTable!$L$2:$L$161,,1),TRUE,_xlfn.XLOOKUP($G104,ScoringTable!$S$2:$S$161,ScoringTable!$R$2:$R$161,,1))</f>
        <v>0</v>
      </c>
    </row>
    <row r="105" spans="1:13" s="7" customFormat="1" ht="16.05" customHeight="1">
      <c r="A105" s="243" t="s">
        <v>85</v>
      </c>
      <c r="B105" s="114" t="str">
        <f>IF(ISNA(VLOOKUP($F105,Declarations!B$6:C$185,2,FALSE)),"",IF(VLOOKUP($F105,Declarations!B$6:C$185,2,FALSE)="","NOT DECLARED",IF(ISNA(_xlfn.TEXTBEFORE(VLOOKUP($F105,Declarations!B$6:C$185,2,FALSE)," ")),VLOOKUP($F105,Declarations!B$6:C$185,2,FALSE),_xlfn.TEXTBEFORE(VLOOKUP($F105,Declarations!B$6:C$185,2,FALSE)," "))))</f>
        <v/>
      </c>
      <c r="C105" s="114" t="str">
        <f>IF(ISNA(VLOOKUP($F105,Declarations!B$6:C$185,2,FALSE)),"",IF(VLOOKUP($F105,Declarations!B$6:C$185,2,FALSE)="","NOT DECLARED",IF(ISNA(_xlfn.TEXTAFTER(VLOOKUP($F105,Declarations!B$6:C$185,2,FALSE)," ")),VLOOKUP($F105,Declarations!B$6:C$185,2,FALSE),_xlfn.TEXTAFTER(VLOOKUP($F105,Declarations!B$6:C$185,2,FALSE)," "))))</f>
        <v/>
      </c>
      <c r="D105" s="114" t="str">
        <f>IF(ISNA(VLOOKUP($F105,Declarations!$B$6:$F$185,5,FALSE)),"",IF(VLOOKUP($F105,Declarations!$B$6:$F$185,5,FALSE)="","NOT DECLARED",VLOOKUP($F105,Declarations!$B$6:$F$185,5,FALSE)))</f>
        <v/>
      </c>
      <c r="E105" s="112" t="str">
        <f>IF(ISNA(VLOOKUP($F105,Declarations!$B$6:$D$185,3,FALSE)),"",IF(VLOOKUP($F105,Declarations!$B$6:$D$185,3,FALSE)="","NOT DECLARED",VLOOKUP($F105,Declarations!$B$6:$D$185,3,FALSE)&amp;LEFT(VLOOKUP($F105,Declarations!$B$6:$E$185,4,FALSE))))</f>
        <v/>
      </c>
      <c r="F105" s="58"/>
      <c r="G105" s="122"/>
      <c r="H105" s="122"/>
      <c r="I105" s="114" t="str">
        <f>IF(ISNA(VLOOKUP(F105,Declarations!B$6:C$185,2,FALSE)),"",IF(VLOOKUP(F105,Declarations!B$6:C$185,2,FALSE)="","NOT DECLARED",VLOOKUP(F105,Declarations!B$6:C$185,2,FALSE)))</f>
        <v/>
      </c>
      <c r="J105" s="112">
        <f>IF(LOWER(G105)="dnf",1,IF(G105&lt;ScoringTable!B$3,ScoringTable!I$2,VLOOKUP((1000-G105),ScoringTable!G$2:I$95,3)))</f>
        <v>0</v>
      </c>
      <c r="K105" s="112" t="str">
        <f>IF(OR(E105="",G105=""),"",IF(RIGHT(E105,1)="G",_xlfn.XLOOKUP(G105,Data!$D$10:$L$10,Data!$D$9:$L$9,"",1,1),_xlfn.XLOOKUP(G105,Data!$D$3:$L$3,Data!$D$2:$L$2,"",1,1)))</f>
        <v/>
      </c>
      <c r="L105" s="160" t="str" cm="1">
        <f t="array" ref="L105">IFERROR(_xlfn.IFNA(
                      _xlfn.IFS(
                      G105="", "",
                      AND(E105="U12B",G105&lt;=Data!$M$3), "U12 Boys record",
                      AND(E105="U12G",G105&lt;=Data!$M$10), "U12 Girls record"
                       ),""), "")</f>
        <v/>
      </c>
      <c r="M105" s="18" cm="1">
        <f t="array" ref="M105">_xlfn.IFS($G105="",0, AND(NOT(ISNUMBER($G105)),LOWER($G105)&lt;&gt;"dnf"),"Not a valid time",OR(LOWER($G105)="dnf",$G105&gt;ScoringTable!$M$161),1,RIGHT($E105,1)="B",_xlfn.XLOOKUP($G105,ScoringTable!$M$2:$M$161,ScoringTable!$L$2:$L$161,,1),TRUE,_xlfn.XLOOKUP($G105,ScoringTable!$S$2:$S$161,ScoringTable!$R$2:$R$161,,1))</f>
        <v>0</v>
      </c>
    </row>
    <row r="106" spans="1:13" s="7" customFormat="1" ht="16.05" customHeight="1">
      <c r="A106" s="243" t="s">
        <v>85</v>
      </c>
      <c r="B106" s="114" t="str">
        <f>IF(ISNA(VLOOKUP($F106,Declarations!B$6:C$185,2,FALSE)),"",IF(VLOOKUP($F106,Declarations!B$6:C$185,2,FALSE)="","NOT DECLARED",IF(ISNA(_xlfn.TEXTBEFORE(VLOOKUP($F106,Declarations!B$6:C$185,2,FALSE)," ")),VLOOKUP($F106,Declarations!B$6:C$185,2,FALSE),_xlfn.TEXTBEFORE(VLOOKUP($F106,Declarations!B$6:C$185,2,FALSE)," "))))</f>
        <v/>
      </c>
      <c r="C106" s="114" t="str">
        <f>IF(ISNA(VLOOKUP($F106,Declarations!B$6:C$185,2,FALSE)),"",IF(VLOOKUP($F106,Declarations!B$6:C$185,2,FALSE)="","NOT DECLARED",IF(ISNA(_xlfn.TEXTAFTER(VLOOKUP($F106,Declarations!B$6:C$185,2,FALSE)," ")),VLOOKUP($F106,Declarations!B$6:C$185,2,FALSE),_xlfn.TEXTAFTER(VLOOKUP($F106,Declarations!B$6:C$185,2,FALSE)," "))))</f>
        <v/>
      </c>
      <c r="D106" s="114" t="str">
        <f>IF(ISNA(VLOOKUP($F106,Declarations!$B$6:$F$185,5,FALSE)),"",IF(VLOOKUP($F106,Declarations!$B$6:$F$185,5,FALSE)="","NOT DECLARED",VLOOKUP($F106,Declarations!$B$6:$F$185,5,FALSE)))</f>
        <v/>
      </c>
      <c r="E106" s="112" t="str">
        <f>IF(ISNA(VLOOKUP($F106,Declarations!$B$6:$D$185,3,FALSE)),"",IF(VLOOKUP($F106,Declarations!$B$6:$D$185,3,FALSE)="","NOT DECLARED",VLOOKUP($F106,Declarations!$B$6:$D$185,3,FALSE)&amp;LEFT(VLOOKUP($F106,Declarations!$B$6:$E$185,4,FALSE))))</f>
        <v/>
      </c>
      <c r="F106" s="58"/>
      <c r="G106" s="122"/>
      <c r="H106" s="122"/>
      <c r="I106" s="114" t="str">
        <f>IF(ISNA(VLOOKUP(F106,Declarations!B$6:C$185,2,FALSE)),"",IF(VLOOKUP(F106,Declarations!B$6:C$185,2,FALSE)="","NOT DECLARED",VLOOKUP(F106,Declarations!B$6:C$185,2,FALSE)))</f>
        <v/>
      </c>
      <c r="J106" s="112">
        <f>IF(LOWER(G106)="dnf",1,IF(G106&lt;ScoringTable!B$3,ScoringTable!I$2,VLOOKUP((1000-G106),ScoringTable!G$2:I$95,3)))</f>
        <v>0</v>
      </c>
      <c r="K106" s="112" t="str">
        <f>IF(OR(E106="",G106=""),"",IF(RIGHT(E106,1)="G",_xlfn.XLOOKUP(G106,Data!$D$10:$L$10,Data!$D$9:$L$9,"",1,1),_xlfn.XLOOKUP(G106,Data!$D$3:$L$3,Data!$D$2:$L$2,"",1,1)))</f>
        <v/>
      </c>
      <c r="L106" s="160" t="str" cm="1">
        <f t="array" ref="L106">IFERROR(_xlfn.IFNA(
                      _xlfn.IFS(
                      G106="", "",
                      AND(E106="U12B",G106&lt;=Data!$M$3), "U12 Boys record",
                      AND(E106="U12G",G106&lt;=Data!$M$10), "U12 Girls record"
                       ),""), "")</f>
        <v/>
      </c>
      <c r="M106" s="18" cm="1">
        <f t="array" ref="M106">_xlfn.IFS($G106="",0, AND(NOT(ISNUMBER($G106)),LOWER($G106)&lt;&gt;"dnf"),"Not a valid time",OR(LOWER($G106)="dnf",$G106&gt;ScoringTable!$M$161),1,RIGHT($E106,1)="B",_xlfn.XLOOKUP($G106,ScoringTable!$M$2:$M$161,ScoringTable!$L$2:$L$161,,1),TRUE,_xlfn.XLOOKUP($G106,ScoringTable!$S$2:$S$161,ScoringTable!$R$2:$R$161,,1))</f>
        <v>0</v>
      </c>
    </row>
    <row r="107" spans="1:13" s="7" customFormat="1" ht="16.05" customHeight="1">
      <c r="A107" s="243" t="s">
        <v>85</v>
      </c>
      <c r="B107" s="114" t="str">
        <f>IF(ISNA(VLOOKUP($F107,Declarations!B$6:C$185,2,FALSE)),"",IF(VLOOKUP($F107,Declarations!B$6:C$185,2,FALSE)="","NOT DECLARED",IF(ISNA(_xlfn.TEXTBEFORE(VLOOKUP($F107,Declarations!B$6:C$185,2,FALSE)," ")),VLOOKUP($F107,Declarations!B$6:C$185,2,FALSE),_xlfn.TEXTBEFORE(VLOOKUP($F107,Declarations!B$6:C$185,2,FALSE)," "))))</f>
        <v/>
      </c>
      <c r="C107" s="114" t="str">
        <f>IF(ISNA(VLOOKUP($F107,Declarations!B$6:C$185,2,FALSE)),"",IF(VLOOKUP($F107,Declarations!B$6:C$185,2,FALSE)="","NOT DECLARED",IF(ISNA(_xlfn.TEXTAFTER(VLOOKUP($F107,Declarations!B$6:C$185,2,FALSE)," ")),VLOOKUP($F107,Declarations!B$6:C$185,2,FALSE),_xlfn.TEXTAFTER(VLOOKUP($F107,Declarations!B$6:C$185,2,FALSE)," "))))</f>
        <v/>
      </c>
      <c r="D107" s="114" t="str">
        <f>IF(ISNA(VLOOKUP($F107,Declarations!$B$6:$F$185,5,FALSE)),"",IF(VLOOKUP($F107,Declarations!$B$6:$F$185,5,FALSE)="","NOT DECLARED",VLOOKUP($F107,Declarations!$B$6:$F$185,5,FALSE)))</f>
        <v/>
      </c>
      <c r="E107" s="112" t="str">
        <f>IF(ISNA(VLOOKUP($F107,Declarations!$B$6:$D$185,3,FALSE)),"",IF(VLOOKUP($F107,Declarations!$B$6:$D$185,3,FALSE)="","NOT DECLARED",VLOOKUP($F107,Declarations!$B$6:$D$185,3,FALSE)&amp;LEFT(VLOOKUP($F107,Declarations!$B$6:$E$185,4,FALSE))))</f>
        <v/>
      </c>
      <c r="F107" s="58"/>
      <c r="G107" s="122"/>
      <c r="H107" s="122"/>
      <c r="I107" s="114" t="str">
        <f>IF(ISNA(VLOOKUP(F107,Declarations!B$6:C$185,2,FALSE)),"",IF(VLOOKUP(F107,Declarations!B$6:C$185,2,FALSE)="","NOT DECLARED",VLOOKUP(F107,Declarations!B$6:C$185,2,FALSE)))</f>
        <v/>
      </c>
      <c r="J107" s="112">
        <f>IF(LOWER(G107)="dnf",1,IF(G107&lt;ScoringTable!B$3,ScoringTable!I$2,VLOOKUP((1000-G107),ScoringTable!G$2:I$95,3)))</f>
        <v>0</v>
      </c>
      <c r="K107" s="112" t="str">
        <f>IF(OR(E107="",G107=""),"",IF(RIGHT(E107,1)="G",_xlfn.XLOOKUP(G107,Data!$D$10:$L$10,Data!$D$9:$L$9,"",1,1),_xlfn.XLOOKUP(G107,Data!$D$3:$L$3,Data!$D$2:$L$2,"",1,1)))</f>
        <v/>
      </c>
      <c r="L107" s="160" t="str" cm="1">
        <f t="array" ref="L107">IFERROR(_xlfn.IFNA(
                      _xlfn.IFS(
                      G107="", "",
                      AND(E107="U12B",G107&lt;=Data!$M$3), "U12 Boys record",
                      AND(E107="U12G",G107&lt;=Data!$M$10), "U12 Girls record"
                       ),""), "")</f>
        <v/>
      </c>
      <c r="M107" s="18" cm="1">
        <f t="array" ref="M107">_xlfn.IFS($G107="",0, AND(NOT(ISNUMBER($G107)),LOWER($G107)&lt;&gt;"dnf"),"Not a valid time",OR(LOWER($G107)="dnf",$G107&gt;ScoringTable!$M$161),1,RIGHT($E107,1)="B",_xlfn.XLOOKUP($G107,ScoringTable!$M$2:$M$161,ScoringTable!$L$2:$L$161,,1),TRUE,_xlfn.XLOOKUP($G107,ScoringTable!$S$2:$S$161,ScoringTable!$R$2:$R$161,,1))</f>
        <v>0</v>
      </c>
    </row>
    <row r="108" spans="1:13" s="7" customFormat="1" ht="16.05" customHeight="1">
      <c r="A108" s="243" t="s">
        <v>85</v>
      </c>
      <c r="B108" s="114" t="str">
        <f>IF(ISNA(VLOOKUP($F108,Declarations!B$6:C$185,2,FALSE)),"",IF(VLOOKUP($F108,Declarations!B$6:C$185,2,FALSE)="","NOT DECLARED",IF(ISNA(_xlfn.TEXTBEFORE(VLOOKUP($F108,Declarations!B$6:C$185,2,FALSE)," ")),VLOOKUP($F108,Declarations!B$6:C$185,2,FALSE),_xlfn.TEXTBEFORE(VLOOKUP($F108,Declarations!B$6:C$185,2,FALSE)," "))))</f>
        <v/>
      </c>
      <c r="C108" s="114" t="str">
        <f>IF(ISNA(VLOOKUP($F108,Declarations!B$6:C$185,2,FALSE)),"",IF(VLOOKUP($F108,Declarations!B$6:C$185,2,FALSE)="","NOT DECLARED",IF(ISNA(_xlfn.TEXTAFTER(VLOOKUP($F108,Declarations!B$6:C$185,2,FALSE)," ")),VLOOKUP($F108,Declarations!B$6:C$185,2,FALSE),_xlfn.TEXTAFTER(VLOOKUP($F108,Declarations!B$6:C$185,2,FALSE)," "))))</f>
        <v/>
      </c>
      <c r="D108" s="114" t="str">
        <f>IF(ISNA(VLOOKUP($F108,Declarations!$B$6:$F$185,5,FALSE)),"",IF(VLOOKUP($F108,Declarations!$B$6:$F$185,5,FALSE)="","NOT DECLARED",VLOOKUP($F108,Declarations!$B$6:$F$185,5,FALSE)))</f>
        <v/>
      </c>
      <c r="E108" s="112" t="str">
        <f>IF(ISNA(VLOOKUP($F108,Declarations!$B$6:$D$185,3,FALSE)),"",IF(VLOOKUP($F108,Declarations!$B$6:$D$185,3,FALSE)="","NOT DECLARED",VLOOKUP($F108,Declarations!$B$6:$D$185,3,FALSE)&amp;LEFT(VLOOKUP($F108,Declarations!$B$6:$E$185,4,FALSE))))</f>
        <v/>
      </c>
      <c r="F108" s="58"/>
      <c r="G108" s="122"/>
      <c r="H108" s="122"/>
      <c r="I108" s="114" t="str">
        <f>IF(ISNA(VLOOKUP(F108,Declarations!B$6:C$185,2,FALSE)),"",IF(VLOOKUP(F108,Declarations!B$6:C$185,2,FALSE)="","NOT DECLARED",VLOOKUP(F108,Declarations!B$6:C$185,2,FALSE)))</f>
        <v/>
      </c>
      <c r="J108" s="112">
        <f>IF(LOWER(G108)="dnf",1,IF(G108&lt;ScoringTable!B$3,ScoringTable!I$2,VLOOKUP((1000-G108),ScoringTable!G$2:I$95,3)))</f>
        <v>0</v>
      </c>
      <c r="K108" s="112" t="str">
        <f>IF(OR(E108="",G108=""),"",IF(RIGHT(E108,1)="G",_xlfn.XLOOKUP(G108,Data!$D$10:$L$10,Data!$D$9:$L$9,"",1,1),_xlfn.XLOOKUP(G108,Data!$D$3:$L$3,Data!$D$2:$L$2,"",1,1)))</f>
        <v/>
      </c>
      <c r="L108" s="160" t="str" cm="1">
        <f t="array" ref="L108">IFERROR(_xlfn.IFNA(
                      _xlfn.IFS(
                      G108="", "",
                      AND(E108="U12B",G108&lt;=Data!$M$3), "U12 Boys record",
                      AND(E108="U12G",G108&lt;=Data!$M$10), "U12 Girls record"
                       ),""), "")</f>
        <v/>
      </c>
      <c r="M108" s="18" cm="1">
        <f t="array" ref="M108">_xlfn.IFS($G108="",0, AND(NOT(ISNUMBER($G108)),LOWER($G108)&lt;&gt;"dnf"),"Not a valid time",OR(LOWER($G108)="dnf",$G108&gt;ScoringTable!$M$161),1,RIGHT($E108,1)="B",_xlfn.XLOOKUP($G108,ScoringTable!$M$2:$M$161,ScoringTable!$L$2:$L$161,,1),TRUE,_xlfn.XLOOKUP($G108,ScoringTable!$S$2:$S$161,ScoringTable!$R$2:$R$161,,1))</f>
        <v>0</v>
      </c>
    </row>
    <row r="109" spans="1:13" s="7" customFormat="1" ht="16.05" customHeight="1">
      <c r="A109" s="243" t="s">
        <v>85</v>
      </c>
      <c r="B109" s="114" t="str">
        <f>IF(ISNA(VLOOKUP($F109,Declarations!B$6:C$185,2,FALSE)),"",IF(VLOOKUP($F109,Declarations!B$6:C$185,2,FALSE)="","NOT DECLARED",IF(ISNA(_xlfn.TEXTBEFORE(VLOOKUP($F109,Declarations!B$6:C$185,2,FALSE)," ")),VLOOKUP($F109,Declarations!B$6:C$185,2,FALSE),_xlfn.TEXTBEFORE(VLOOKUP($F109,Declarations!B$6:C$185,2,FALSE)," "))))</f>
        <v/>
      </c>
      <c r="C109" s="114" t="str">
        <f>IF(ISNA(VLOOKUP($F109,Declarations!B$6:C$185,2,FALSE)),"",IF(VLOOKUP($F109,Declarations!B$6:C$185,2,FALSE)="","NOT DECLARED",IF(ISNA(_xlfn.TEXTAFTER(VLOOKUP($F109,Declarations!B$6:C$185,2,FALSE)," ")),VLOOKUP($F109,Declarations!B$6:C$185,2,FALSE),_xlfn.TEXTAFTER(VLOOKUP($F109,Declarations!B$6:C$185,2,FALSE)," "))))</f>
        <v/>
      </c>
      <c r="D109" s="114" t="str">
        <f>IF(ISNA(VLOOKUP($F109,Declarations!$B$6:$F$185,5,FALSE)),"",IF(VLOOKUP($F109,Declarations!$B$6:$F$185,5,FALSE)="","NOT DECLARED",VLOOKUP($F109,Declarations!$B$6:$F$185,5,FALSE)))</f>
        <v/>
      </c>
      <c r="E109" s="112" t="str">
        <f>IF(ISNA(VLOOKUP($F109,Declarations!$B$6:$D$185,3,FALSE)),"",IF(VLOOKUP($F109,Declarations!$B$6:$D$185,3,FALSE)="","NOT DECLARED",VLOOKUP($F109,Declarations!$B$6:$D$185,3,FALSE)&amp;LEFT(VLOOKUP($F109,Declarations!$B$6:$E$185,4,FALSE))))</f>
        <v/>
      </c>
      <c r="F109" s="58"/>
      <c r="G109" s="122"/>
      <c r="H109" s="122"/>
      <c r="I109" s="114" t="str">
        <f>IF(ISNA(VLOOKUP(F109,Declarations!B$6:C$185,2,FALSE)),"",IF(VLOOKUP(F109,Declarations!B$6:C$185,2,FALSE)="","NOT DECLARED",VLOOKUP(F109,Declarations!B$6:C$185,2,FALSE)))</f>
        <v/>
      </c>
      <c r="J109" s="112">
        <f>IF(LOWER(G109)="dnf",1,IF(G109&lt;ScoringTable!B$3,ScoringTable!I$2,VLOOKUP((1000-G109),ScoringTable!G$2:I$95,3)))</f>
        <v>0</v>
      </c>
      <c r="K109" s="112" t="str">
        <f>IF(OR(E109="",G109=""),"",IF(RIGHT(E109,1)="G",_xlfn.XLOOKUP(G109,Data!$D$10:$L$10,Data!$D$9:$L$9,"",1,1),_xlfn.XLOOKUP(G109,Data!$D$3:$L$3,Data!$D$2:$L$2,"",1,1)))</f>
        <v/>
      </c>
      <c r="L109" s="160" t="str" cm="1">
        <f t="array" ref="L109">IFERROR(_xlfn.IFNA(
                      _xlfn.IFS(
                      G109="", "",
                      AND(E109="U12B",G109&lt;=Data!$M$3), "U12 Boys record",
                      AND(E109="U12G",G109&lt;=Data!$M$10), "U12 Girls record"
                       ),""), "")</f>
        <v/>
      </c>
      <c r="M109" s="18" cm="1">
        <f t="array" ref="M109">_xlfn.IFS($G109="",0, AND(NOT(ISNUMBER($G109)),LOWER($G109)&lt;&gt;"dnf"),"Not a valid time",OR(LOWER($G109)="dnf",$G109&gt;ScoringTable!$M$161),1,RIGHT($E109,1)="B",_xlfn.XLOOKUP($G109,ScoringTable!$M$2:$M$161,ScoringTable!$L$2:$L$161,,1),TRUE,_xlfn.XLOOKUP($G109,ScoringTable!$S$2:$S$161,ScoringTable!$R$2:$R$161,,1))</f>
        <v>0</v>
      </c>
    </row>
    <row r="110" spans="1:13" s="7" customFormat="1" ht="16.05" customHeight="1">
      <c r="A110" s="243" t="s">
        <v>85</v>
      </c>
      <c r="B110" s="114" t="str">
        <f>IF(ISNA(VLOOKUP($F110,Declarations!B$6:C$185,2,FALSE)),"",IF(VLOOKUP($F110,Declarations!B$6:C$185,2,FALSE)="","NOT DECLARED",IF(ISNA(_xlfn.TEXTBEFORE(VLOOKUP($F110,Declarations!B$6:C$185,2,FALSE)," ")),VLOOKUP($F110,Declarations!B$6:C$185,2,FALSE),_xlfn.TEXTBEFORE(VLOOKUP($F110,Declarations!B$6:C$185,2,FALSE)," "))))</f>
        <v/>
      </c>
      <c r="C110" s="114" t="str">
        <f>IF(ISNA(VLOOKUP($F110,Declarations!B$6:C$185,2,FALSE)),"",IF(VLOOKUP($F110,Declarations!B$6:C$185,2,FALSE)="","NOT DECLARED",IF(ISNA(_xlfn.TEXTAFTER(VLOOKUP($F110,Declarations!B$6:C$185,2,FALSE)," ")),VLOOKUP($F110,Declarations!B$6:C$185,2,FALSE),_xlfn.TEXTAFTER(VLOOKUP($F110,Declarations!B$6:C$185,2,FALSE)," "))))</f>
        <v/>
      </c>
      <c r="D110" s="114" t="str">
        <f>IF(ISNA(VLOOKUP($F110,Declarations!$B$6:$F$185,5,FALSE)),"",IF(VLOOKUP($F110,Declarations!$B$6:$F$185,5,FALSE)="","NOT DECLARED",VLOOKUP($F110,Declarations!$B$6:$F$185,5,FALSE)))</f>
        <v/>
      </c>
      <c r="E110" s="112" t="str">
        <f>IF(ISNA(VLOOKUP($F110,Declarations!$B$6:$D$185,3,FALSE)),"",IF(VLOOKUP($F110,Declarations!$B$6:$D$185,3,FALSE)="","NOT DECLARED",VLOOKUP($F110,Declarations!$B$6:$D$185,3,FALSE)&amp;LEFT(VLOOKUP($F110,Declarations!$B$6:$E$185,4,FALSE))))</f>
        <v/>
      </c>
      <c r="F110" s="58"/>
      <c r="G110" s="122"/>
      <c r="H110" s="122"/>
      <c r="I110" s="114" t="str">
        <f>IF(ISNA(VLOOKUP(F110,Declarations!B$6:C$185,2,FALSE)),"",IF(VLOOKUP(F110,Declarations!B$6:C$185,2,FALSE)="","NOT DECLARED",VLOOKUP(F110,Declarations!B$6:C$185,2,FALSE)))</f>
        <v/>
      </c>
      <c r="J110" s="112">
        <f>IF(LOWER(G110)="dnf",1,IF(G110&lt;ScoringTable!B$3,ScoringTable!I$2,VLOOKUP((1000-G110),ScoringTable!G$2:I$95,3)))</f>
        <v>0</v>
      </c>
      <c r="K110" s="112" t="str">
        <f>IF(OR(E110="",G110=""),"",IF(RIGHT(E110,1)="G",_xlfn.XLOOKUP(G110,Data!$D$10:$L$10,Data!$D$9:$L$9,"",1,1),_xlfn.XLOOKUP(G110,Data!$D$3:$L$3,Data!$D$2:$L$2,"",1,1)))</f>
        <v/>
      </c>
      <c r="L110" s="160" t="str" cm="1">
        <f t="array" ref="L110">IFERROR(_xlfn.IFNA(
                      _xlfn.IFS(
                      G110="", "",
                      AND(E110="U12B",G110&lt;=Data!$M$3), "U12 Boys record",
                      AND(E110="U12G",G110&lt;=Data!$M$10), "U12 Girls record"
                       ),""), "")</f>
        <v/>
      </c>
      <c r="M110" s="18" cm="1">
        <f t="array" ref="M110">_xlfn.IFS($G110="",0, AND(NOT(ISNUMBER($G110)),LOWER($G110)&lt;&gt;"dnf"),"Not a valid time",OR(LOWER($G110)="dnf",$G110&gt;ScoringTable!$M$161),1,RIGHT($E110,1)="B",_xlfn.XLOOKUP($G110,ScoringTable!$M$2:$M$161,ScoringTable!$L$2:$L$161,,1),TRUE,_xlfn.XLOOKUP($G110,ScoringTable!$S$2:$S$161,ScoringTable!$R$2:$R$161,,1))</f>
        <v>0</v>
      </c>
    </row>
    <row r="111" spans="1:13" s="7" customFormat="1" ht="16.05" customHeight="1">
      <c r="A111" s="243" t="s">
        <v>85</v>
      </c>
      <c r="B111" s="114" t="str">
        <f>IF(ISNA(VLOOKUP($F111,Declarations!B$6:C$185,2,FALSE)),"",IF(VLOOKUP($F111,Declarations!B$6:C$185,2,FALSE)="","NOT DECLARED",IF(ISNA(_xlfn.TEXTBEFORE(VLOOKUP($F111,Declarations!B$6:C$185,2,FALSE)," ")),VLOOKUP($F111,Declarations!B$6:C$185,2,FALSE),_xlfn.TEXTBEFORE(VLOOKUP($F111,Declarations!B$6:C$185,2,FALSE)," "))))</f>
        <v/>
      </c>
      <c r="C111" s="114" t="str">
        <f>IF(ISNA(VLOOKUP($F111,Declarations!B$6:C$185,2,FALSE)),"",IF(VLOOKUP($F111,Declarations!B$6:C$185,2,FALSE)="","NOT DECLARED",IF(ISNA(_xlfn.TEXTAFTER(VLOOKUP($F111,Declarations!B$6:C$185,2,FALSE)," ")),VLOOKUP($F111,Declarations!B$6:C$185,2,FALSE),_xlfn.TEXTAFTER(VLOOKUP($F111,Declarations!B$6:C$185,2,FALSE)," "))))</f>
        <v/>
      </c>
      <c r="D111" s="114" t="str">
        <f>IF(ISNA(VLOOKUP($F111,Declarations!$B$6:$F$185,5,FALSE)),"",IF(VLOOKUP($F111,Declarations!$B$6:$F$185,5,FALSE)="","NOT DECLARED",VLOOKUP($F111,Declarations!$B$6:$F$185,5,FALSE)))</f>
        <v/>
      </c>
      <c r="E111" s="112" t="str">
        <f>IF(ISNA(VLOOKUP($F111,Declarations!$B$6:$D$185,3,FALSE)),"",IF(VLOOKUP($F111,Declarations!$B$6:$D$185,3,FALSE)="","NOT DECLARED",VLOOKUP($F111,Declarations!$B$6:$D$185,3,FALSE)&amp;LEFT(VLOOKUP($F111,Declarations!$B$6:$E$185,4,FALSE))))</f>
        <v/>
      </c>
      <c r="F111" s="58"/>
      <c r="G111" s="122"/>
      <c r="H111" s="122"/>
      <c r="I111" s="114" t="str">
        <f>IF(ISNA(VLOOKUP(F111,Declarations!B$6:C$185,2,FALSE)),"",IF(VLOOKUP(F111,Declarations!B$6:C$185,2,FALSE)="","NOT DECLARED",VLOOKUP(F111,Declarations!B$6:C$185,2,FALSE)))</f>
        <v/>
      </c>
      <c r="J111" s="112">
        <f>IF(LOWER(G111)="dnf",1,IF(G111&lt;ScoringTable!B$3,ScoringTable!I$2,VLOOKUP((1000-G111),ScoringTable!G$2:I$95,3)))</f>
        <v>0</v>
      </c>
      <c r="K111" s="112" t="str">
        <f>IF(OR(E111="",G111=""),"",IF(RIGHT(E111,1)="G",_xlfn.XLOOKUP(G111,Data!$D$10:$L$10,Data!$D$9:$L$9,"",1,1),_xlfn.XLOOKUP(G111,Data!$D$3:$L$3,Data!$D$2:$L$2,"",1,1)))</f>
        <v/>
      </c>
      <c r="L111" s="160" t="str" cm="1">
        <f t="array" ref="L111">IFERROR(_xlfn.IFNA(
                      _xlfn.IFS(
                      G111="", "",
                      AND(E111="U12B",G111&lt;=Data!$M$3), "U12 Boys record",
                      AND(E111="U12G",G111&lt;=Data!$M$10), "U12 Girls record"
                       ),""), "")</f>
        <v/>
      </c>
      <c r="M111" s="18" cm="1">
        <f t="array" ref="M111">_xlfn.IFS($G111="",0, AND(NOT(ISNUMBER($G111)),LOWER($G111)&lt;&gt;"dnf"),"Not a valid time",OR(LOWER($G111)="dnf",$G111&gt;ScoringTable!$M$161),1,RIGHT($E111,1)="B",_xlfn.XLOOKUP($G111,ScoringTable!$M$2:$M$161,ScoringTable!$L$2:$L$161,,1),TRUE,_xlfn.XLOOKUP($G111,ScoringTable!$S$2:$S$161,ScoringTable!$R$2:$R$161,,1))</f>
        <v>0</v>
      </c>
    </row>
    <row r="112" spans="1:13" s="7" customFormat="1" ht="16.05" customHeight="1">
      <c r="A112" s="243" t="s">
        <v>85</v>
      </c>
      <c r="B112" s="114" t="str">
        <f>IF(ISNA(VLOOKUP($F112,Declarations!B$6:C$185,2,FALSE)),"",IF(VLOOKUP($F112,Declarations!B$6:C$185,2,FALSE)="","NOT DECLARED",IF(ISNA(_xlfn.TEXTBEFORE(VLOOKUP($F112,Declarations!B$6:C$185,2,FALSE)," ")),VLOOKUP($F112,Declarations!B$6:C$185,2,FALSE),_xlfn.TEXTBEFORE(VLOOKUP($F112,Declarations!B$6:C$185,2,FALSE)," "))))</f>
        <v/>
      </c>
      <c r="C112" s="114" t="str">
        <f>IF(ISNA(VLOOKUP($F112,Declarations!B$6:C$185,2,FALSE)),"",IF(VLOOKUP($F112,Declarations!B$6:C$185,2,FALSE)="","NOT DECLARED",IF(ISNA(_xlfn.TEXTAFTER(VLOOKUP($F112,Declarations!B$6:C$185,2,FALSE)," ")),VLOOKUP($F112,Declarations!B$6:C$185,2,FALSE),_xlfn.TEXTAFTER(VLOOKUP($F112,Declarations!B$6:C$185,2,FALSE)," "))))</f>
        <v/>
      </c>
      <c r="D112" s="114" t="str">
        <f>IF(ISNA(VLOOKUP($F112,Declarations!$B$6:$F$185,5,FALSE)),"",IF(VLOOKUP($F112,Declarations!$B$6:$F$185,5,FALSE)="","NOT DECLARED",VLOOKUP($F112,Declarations!$B$6:$F$185,5,FALSE)))</f>
        <v/>
      </c>
      <c r="E112" s="112" t="str">
        <f>IF(ISNA(VLOOKUP($F112,Declarations!$B$6:$D$185,3,FALSE)),"",IF(VLOOKUP($F112,Declarations!$B$6:$D$185,3,FALSE)="","NOT DECLARED",VLOOKUP($F112,Declarations!$B$6:$D$185,3,FALSE)&amp;LEFT(VLOOKUP($F112,Declarations!$B$6:$E$185,4,FALSE))))</f>
        <v/>
      </c>
      <c r="F112" s="58"/>
      <c r="G112" s="122"/>
      <c r="H112" s="122"/>
      <c r="I112" s="114" t="str">
        <f>IF(ISNA(VLOOKUP(F112,Declarations!B$6:C$185,2,FALSE)),"",IF(VLOOKUP(F112,Declarations!B$6:C$185,2,FALSE)="","NOT DECLARED",VLOOKUP(F112,Declarations!B$6:C$185,2,FALSE)))</f>
        <v/>
      </c>
      <c r="J112" s="112">
        <f>IF(LOWER(G112)="dnf",1,IF(G112&lt;ScoringTable!B$3,ScoringTable!I$2,VLOOKUP((1000-G112),ScoringTable!G$2:I$95,3)))</f>
        <v>0</v>
      </c>
      <c r="K112" s="112" t="str">
        <f>IF(OR(E112="",G112=""),"",IF(RIGHT(E112,1)="G",_xlfn.XLOOKUP(G112,Data!$D$10:$L$10,Data!$D$9:$L$9,"",1,1),_xlfn.XLOOKUP(G112,Data!$D$3:$L$3,Data!$D$2:$L$2,"",1,1)))</f>
        <v/>
      </c>
      <c r="L112" s="160" t="str" cm="1">
        <f t="array" ref="L112">IFERROR(_xlfn.IFNA(
                      _xlfn.IFS(
                      G112="", "",
                      AND(E112="U12B",G112&lt;=Data!$M$3), "U12 Boys record",
                      AND(E112="U12G",G112&lt;=Data!$M$10), "U12 Girls record"
                       ),""), "")</f>
        <v/>
      </c>
      <c r="M112" s="18" cm="1">
        <f t="array" ref="M112">_xlfn.IFS($G112="",0, AND(NOT(ISNUMBER($G112)),LOWER($G112)&lt;&gt;"dnf"),"Not a valid time",OR(LOWER($G112)="dnf",$G112&gt;ScoringTable!$M$161),1,RIGHT($E112,1)="B",_xlfn.XLOOKUP($G112,ScoringTable!$M$2:$M$161,ScoringTable!$L$2:$L$161,,1),TRUE,_xlfn.XLOOKUP($G112,ScoringTable!$S$2:$S$161,ScoringTable!$R$2:$R$161,,1))</f>
        <v>0</v>
      </c>
    </row>
    <row r="113" spans="1:13" s="7" customFormat="1" ht="16.05" customHeight="1">
      <c r="A113" s="243" t="s">
        <v>85</v>
      </c>
      <c r="B113" s="114" t="str">
        <f>IF(ISNA(VLOOKUP($F113,Declarations!B$6:C$185,2,FALSE)),"",IF(VLOOKUP($F113,Declarations!B$6:C$185,2,FALSE)="","NOT DECLARED",IF(ISNA(_xlfn.TEXTBEFORE(VLOOKUP($F113,Declarations!B$6:C$185,2,FALSE)," ")),VLOOKUP($F113,Declarations!B$6:C$185,2,FALSE),_xlfn.TEXTBEFORE(VLOOKUP($F113,Declarations!B$6:C$185,2,FALSE)," "))))</f>
        <v/>
      </c>
      <c r="C113" s="114" t="str">
        <f>IF(ISNA(VLOOKUP($F113,Declarations!B$6:C$185,2,FALSE)),"",IF(VLOOKUP($F113,Declarations!B$6:C$185,2,FALSE)="","NOT DECLARED",IF(ISNA(_xlfn.TEXTAFTER(VLOOKUP($F113,Declarations!B$6:C$185,2,FALSE)," ")),VLOOKUP($F113,Declarations!B$6:C$185,2,FALSE),_xlfn.TEXTAFTER(VLOOKUP($F113,Declarations!B$6:C$185,2,FALSE)," "))))</f>
        <v/>
      </c>
      <c r="D113" s="114" t="str">
        <f>IF(ISNA(VLOOKUP($F113,Declarations!$B$6:$F$185,5,FALSE)),"",IF(VLOOKUP($F113,Declarations!$B$6:$F$185,5,FALSE)="","NOT DECLARED",VLOOKUP($F113,Declarations!$B$6:$F$185,5,FALSE)))</f>
        <v/>
      </c>
      <c r="E113" s="112" t="str">
        <f>IF(ISNA(VLOOKUP($F113,Declarations!$B$6:$D$185,3,FALSE)),"",IF(VLOOKUP($F113,Declarations!$B$6:$D$185,3,FALSE)="","NOT DECLARED",VLOOKUP($F113,Declarations!$B$6:$D$185,3,FALSE)&amp;LEFT(VLOOKUP($F113,Declarations!$B$6:$E$185,4,FALSE))))</f>
        <v/>
      </c>
      <c r="F113" s="58"/>
      <c r="G113" s="122"/>
      <c r="H113" s="122"/>
      <c r="I113" s="114" t="str">
        <f>IF(ISNA(VLOOKUP(F113,Declarations!B$6:C$185,2,FALSE)),"",IF(VLOOKUP(F113,Declarations!B$6:C$185,2,FALSE)="","NOT DECLARED",VLOOKUP(F113,Declarations!B$6:C$185,2,FALSE)))</f>
        <v/>
      </c>
      <c r="J113" s="112">
        <f>IF(LOWER(G113)="dnf",1,IF(G113&lt;ScoringTable!B$3,ScoringTable!I$2,VLOOKUP((1000-G113),ScoringTable!G$2:I$95,3)))</f>
        <v>0</v>
      </c>
      <c r="K113" s="112" t="str">
        <f>IF(OR(E113="",G113=""),"",IF(RIGHT(E113,1)="G",_xlfn.XLOOKUP(G113,Data!$D$10:$L$10,Data!$D$9:$L$9,"",1,1),_xlfn.XLOOKUP(G113,Data!$D$3:$L$3,Data!$D$2:$L$2,"",1,1)))</f>
        <v/>
      </c>
      <c r="L113" s="160" t="str" cm="1">
        <f t="array" ref="L113">IFERROR(_xlfn.IFNA(
                      _xlfn.IFS(
                      G113="", "",
                      AND(E113="U12B",G113&lt;=Data!$M$3), "U12 Boys record",
                      AND(E113="U12G",G113&lt;=Data!$M$10), "U12 Girls record"
                       ),""), "")</f>
        <v/>
      </c>
      <c r="M113" s="18" cm="1">
        <f t="array" ref="M113">_xlfn.IFS($G113="",0, AND(NOT(ISNUMBER($G113)),LOWER($G113)&lt;&gt;"dnf"),"Not a valid time",OR(LOWER($G113)="dnf",$G113&gt;ScoringTable!$M$161),1,RIGHT($E113,1)="B",_xlfn.XLOOKUP($G113,ScoringTable!$M$2:$M$161,ScoringTable!$L$2:$L$161,,1),TRUE,_xlfn.XLOOKUP($G113,ScoringTable!$S$2:$S$161,ScoringTable!$R$2:$R$161,,1))</f>
        <v>0</v>
      </c>
    </row>
    <row r="114" spans="1:13" s="7" customFormat="1" ht="16.05" customHeight="1">
      <c r="A114" s="243" t="s">
        <v>85</v>
      </c>
      <c r="B114" s="114" t="str">
        <f>IF(ISNA(VLOOKUP($F114,Declarations!B$6:C$185,2,FALSE)),"",IF(VLOOKUP($F114,Declarations!B$6:C$185,2,FALSE)="","NOT DECLARED",IF(ISNA(_xlfn.TEXTBEFORE(VLOOKUP($F114,Declarations!B$6:C$185,2,FALSE)," ")),VLOOKUP($F114,Declarations!B$6:C$185,2,FALSE),_xlfn.TEXTBEFORE(VLOOKUP($F114,Declarations!B$6:C$185,2,FALSE)," "))))</f>
        <v/>
      </c>
      <c r="C114" s="114" t="str">
        <f>IF(ISNA(VLOOKUP($F114,Declarations!B$6:C$185,2,FALSE)),"",IF(VLOOKUP($F114,Declarations!B$6:C$185,2,FALSE)="","NOT DECLARED",IF(ISNA(_xlfn.TEXTAFTER(VLOOKUP($F114,Declarations!B$6:C$185,2,FALSE)," ")),VLOOKUP($F114,Declarations!B$6:C$185,2,FALSE),_xlfn.TEXTAFTER(VLOOKUP($F114,Declarations!B$6:C$185,2,FALSE)," "))))</f>
        <v/>
      </c>
      <c r="D114" s="114" t="str">
        <f>IF(ISNA(VLOOKUP($F114,Declarations!$B$6:$F$185,5,FALSE)),"",IF(VLOOKUP($F114,Declarations!$B$6:$F$185,5,FALSE)="","NOT DECLARED",VLOOKUP($F114,Declarations!$B$6:$F$185,5,FALSE)))</f>
        <v/>
      </c>
      <c r="E114" s="112" t="str">
        <f>IF(ISNA(VLOOKUP($F114,Declarations!$B$6:$D$185,3,FALSE)),"",IF(VLOOKUP($F114,Declarations!$B$6:$D$185,3,FALSE)="","NOT DECLARED",VLOOKUP($F114,Declarations!$B$6:$D$185,3,FALSE)&amp;LEFT(VLOOKUP($F114,Declarations!$B$6:$E$185,4,FALSE))))</f>
        <v/>
      </c>
      <c r="F114" s="58"/>
      <c r="G114" s="122"/>
      <c r="H114" s="122"/>
      <c r="I114" s="114" t="str">
        <f>IF(ISNA(VLOOKUP(F114,Declarations!B$6:C$185,2,FALSE)),"",IF(VLOOKUP(F114,Declarations!B$6:C$185,2,FALSE)="","NOT DECLARED",VLOOKUP(F114,Declarations!B$6:C$185,2,FALSE)))</f>
        <v/>
      </c>
      <c r="J114" s="112">
        <f>IF(LOWER(G114)="dnf",1,IF(G114&lt;ScoringTable!B$3,ScoringTable!I$2,VLOOKUP((1000-G114),ScoringTable!G$2:I$95,3)))</f>
        <v>0</v>
      </c>
      <c r="K114" s="112" t="str">
        <f>IF(OR(E114="",G114=""),"",IF(RIGHT(E114,1)="G",_xlfn.XLOOKUP(G114,Data!$D$10:$L$10,Data!$D$9:$L$9,"",1,1),_xlfn.XLOOKUP(G114,Data!$D$3:$L$3,Data!$D$2:$L$2,"",1,1)))</f>
        <v/>
      </c>
      <c r="L114" s="160" t="str" cm="1">
        <f t="array" ref="L114">IFERROR(_xlfn.IFNA(
                      _xlfn.IFS(
                      G114="", "",
                      AND(E114="U12B",G114&lt;=Data!$M$3), "U12 Boys record",
                      AND(E114="U12G",G114&lt;=Data!$M$10), "U12 Girls record"
                       ),""), "")</f>
        <v/>
      </c>
      <c r="M114" s="18" cm="1">
        <f t="array" ref="M114">_xlfn.IFS($G114="",0, AND(NOT(ISNUMBER($G114)),LOWER($G114)&lt;&gt;"dnf"),"Not a valid time",OR(LOWER($G114)="dnf",$G114&gt;ScoringTable!$M$161),1,RIGHT($E114,1)="B",_xlfn.XLOOKUP($G114,ScoringTable!$M$2:$M$161,ScoringTable!$L$2:$L$161,,1),TRUE,_xlfn.XLOOKUP($G114,ScoringTable!$S$2:$S$161,ScoringTable!$R$2:$R$161,,1))</f>
        <v>0</v>
      </c>
    </row>
    <row r="115" spans="1:13" s="7" customFormat="1" ht="16.05" customHeight="1">
      <c r="A115" s="243" t="s">
        <v>85</v>
      </c>
      <c r="B115" s="114" t="str">
        <f>IF(ISNA(VLOOKUP($F115,Declarations!B$6:C$185,2,FALSE)),"",IF(VLOOKUP($F115,Declarations!B$6:C$185,2,FALSE)="","NOT DECLARED",IF(ISNA(_xlfn.TEXTBEFORE(VLOOKUP($F115,Declarations!B$6:C$185,2,FALSE)," ")),VLOOKUP($F115,Declarations!B$6:C$185,2,FALSE),_xlfn.TEXTBEFORE(VLOOKUP($F115,Declarations!B$6:C$185,2,FALSE)," "))))</f>
        <v/>
      </c>
      <c r="C115" s="114" t="str">
        <f>IF(ISNA(VLOOKUP($F115,Declarations!B$6:C$185,2,FALSE)),"",IF(VLOOKUP($F115,Declarations!B$6:C$185,2,FALSE)="","NOT DECLARED",IF(ISNA(_xlfn.TEXTAFTER(VLOOKUP($F115,Declarations!B$6:C$185,2,FALSE)," ")),VLOOKUP($F115,Declarations!B$6:C$185,2,FALSE),_xlfn.TEXTAFTER(VLOOKUP($F115,Declarations!B$6:C$185,2,FALSE)," "))))</f>
        <v/>
      </c>
      <c r="D115" s="114" t="str">
        <f>IF(ISNA(VLOOKUP($F115,Declarations!$B$6:$F$185,5,FALSE)),"",IF(VLOOKUP($F115,Declarations!$B$6:$F$185,5,FALSE)="","NOT DECLARED",VLOOKUP($F115,Declarations!$B$6:$F$185,5,FALSE)))</f>
        <v/>
      </c>
      <c r="E115" s="112" t="str">
        <f>IF(ISNA(VLOOKUP($F115,Declarations!$B$6:$D$185,3,FALSE)),"",IF(VLOOKUP($F115,Declarations!$B$6:$D$185,3,FALSE)="","NOT DECLARED",VLOOKUP($F115,Declarations!$B$6:$D$185,3,FALSE)&amp;LEFT(VLOOKUP($F115,Declarations!$B$6:$E$185,4,FALSE))))</f>
        <v/>
      </c>
      <c r="F115" s="58"/>
      <c r="G115" s="122"/>
      <c r="H115" s="122"/>
      <c r="I115" s="114" t="str">
        <f>IF(ISNA(VLOOKUP(F115,Declarations!B$6:C$185,2,FALSE)),"",IF(VLOOKUP(F115,Declarations!B$6:C$185,2,FALSE)="","NOT DECLARED",VLOOKUP(F115,Declarations!B$6:C$185,2,FALSE)))</f>
        <v/>
      </c>
      <c r="J115" s="112">
        <f>IF(LOWER(G115)="dnf",1,IF(G115&lt;ScoringTable!B$3,ScoringTable!I$2,VLOOKUP((1000-G115),ScoringTable!G$2:I$95,3)))</f>
        <v>0</v>
      </c>
      <c r="K115" s="112" t="str">
        <f>IF(OR(E115="",G115=""),"",IF(RIGHT(E115,1)="G",_xlfn.XLOOKUP(G115,Data!$D$10:$L$10,Data!$D$9:$L$9,"",1,1),_xlfn.XLOOKUP(G115,Data!$D$3:$L$3,Data!$D$2:$L$2,"",1,1)))</f>
        <v/>
      </c>
      <c r="L115" s="160" t="str" cm="1">
        <f t="array" ref="L115">IFERROR(_xlfn.IFNA(
                      _xlfn.IFS(
                      G115="", "",
                      AND(E115="U12B",G115&lt;=Data!$M$3), "U12 Boys record",
                      AND(E115="U12G",G115&lt;=Data!$M$10), "U12 Girls record"
                       ),""), "")</f>
        <v/>
      </c>
      <c r="M115" s="18" cm="1">
        <f t="array" ref="M115">_xlfn.IFS($G115="",0, AND(NOT(ISNUMBER($G115)),LOWER($G115)&lt;&gt;"dnf"),"Not a valid time",OR(LOWER($G115)="dnf",$G115&gt;ScoringTable!$M$161),1,RIGHT($E115,1)="B",_xlfn.XLOOKUP($G115,ScoringTable!$M$2:$M$161,ScoringTable!$L$2:$L$161,,1),TRUE,_xlfn.XLOOKUP($G115,ScoringTable!$S$2:$S$161,ScoringTable!$R$2:$R$161,,1))</f>
        <v>0</v>
      </c>
    </row>
    <row r="116" spans="1:13" s="7" customFormat="1" ht="16.05" customHeight="1">
      <c r="A116" s="243" t="s">
        <v>85</v>
      </c>
      <c r="B116" s="114" t="str">
        <f>IF(ISNA(VLOOKUP($F116,Declarations!B$6:C$185,2,FALSE)),"",IF(VLOOKUP($F116,Declarations!B$6:C$185,2,FALSE)="","NOT DECLARED",IF(ISNA(_xlfn.TEXTBEFORE(VLOOKUP($F116,Declarations!B$6:C$185,2,FALSE)," ")),VLOOKUP($F116,Declarations!B$6:C$185,2,FALSE),_xlfn.TEXTBEFORE(VLOOKUP($F116,Declarations!B$6:C$185,2,FALSE)," "))))</f>
        <v/>
      </c>
      <c r="C116" s="114" t="str">
        <f>IF(ISNA(VLOOKUP($F116,Declarations!B$6:C$185,2,FALSE)),"",IF(VLOOKUP($F116,Declarations!B$6:C$185,2,FALSE)="","NOT DECLARED",IF(ISNA(_xlfn.TEXTAFTER(VLOOKUP($F116,Declarations!B$6:C$185,2,FALSE)," ")),VLOOKUP($F116,Declarations!B$6:C$185,2,FALSE),_xlfn.TEXTAFTER(VLOOKUP($F116,Declarations!B$6:C$185,2,FALSE)," "))))</f>
        <v/>
      </c>
      <c r="D116" s="114" t="str">
        <f>IF(ISNA(VLOOKUP($F116,Declarations!$B$6:$F$185,5,FALSE)),"",IF(VLOOKUP($F116,Declarations!$B$6:$F$185,5,FALSE)="","NOT DECLARED",VLOOKUP($F116,Declarations!$B$6:$F$185,5,FALSE)))</f>
        <v/>
      </c>
      <c r="E116" s="112" t="str">
        <f>IF(ISNA(VLOOKUP($F116,Declarations!$B$6:$D$185,3,FALSE)),"",IF(VLOOKUP($F116,Declarations!$B$6:$D$185,3,FALSE)="","NOT DECLARED",VLOOKUP($F116,Declarations!$B$6:$D$185,3,FALSE)&amp;LEFT(VLOOKUP($F116,Declarations!$B$6:$E$185,4,FALSE))))</f>
        <v/>
      </c>
      <c r="F116" s="58"/>
      <c r="G116" s="122"/>
      <c r="H116" s="122"/>
      <c r="I116" s="114" t="str">
        <f>IF(ISNA(VLOOKUP(F116,Declarations!B$6:C$185,2,FALSE)),"",IF(VLOOKUP(F116,Declarations!B$6:C$185,2,FALSE)="","NOT DECLARED",VLOOKUP(F116,Declarations!B$6:C$185,2,FALSE)))</f>
        <v/>
      </c>
      <c r="J116" s="112">
        <f>IF(LOWER(G116)="dnf",1,IF(G116&lt;ScoringTable!B$3,ScoringTable!I$2,VLOOKUP((1000-G116),ScoringTable!G$2:I$95,3)))</f>
        <v>0</v>
      </c>
      <c r="K116" s="112" t="str">
        <f>IF(OR(E116="",G116=""),"",IF(RIGHT(E116,1)="G",_xlfn.XLOOKUP(G116,Data!$D$10:$L$10,Data!$D$9:$L$9,"",1,1),_xlfn.XLOOKUP(G116,Data!$D$3:$L$3,Data!$D$2:$L$2,"",1,1)))</f>
        <v/>
      </c>
      <c r="L116" s="160" t="str" cm="1">
        <f t="array" ref="L116">IFERROR(_xlfn.IFNA(
                      _xlfn.IFS(
                      G116="", "",
                      AND(E116="U12B",G116&lt;=Data!$M$3), "U12 Boys record",
                      AND(E116="U12G",G116&lt;=Data!$M$10), "U12 Girls record"
                       ),""), "")</f>
        <v/>
      </c>
      <c r="M116" s="18" cm="1">
        <f t="array" ref="M116">_xlfn.IFS($G116="",0, AND(NOT(ISNUMBER($G116)),LOWER($G116)&lt;&gt;"dnf"),"Not a valid time",OR(LOWER($G116)="dnf",$G116&gt;ScoringTable!$M$161),1,RIGHT($E116,1)="B",_xlfn.XLOOKUP($G116,ScoringTable!$M$2:$M$161,ScoringTable!$L$2:$L$161,,1),TRUE,_xlfn.XLOOKUP($G116,ScoringTable!$S$2:$S$161,ScoringTable!$R$2:$R$161,,1))</f>
        <v>0</v>
      </c>
    </row>
    <row r="117" spans="1:13" s="7" customFormat="1" ht="16.05" customHeight="1">
      <c r="A117" s="243" t="s">
        <v>85</v>
      </c>
      <c r="B117" s="114" t="str">
        <f>IF(ISNA(VLOOKUP($F117,Declarations!B$6:C$185,2,FALSE)),"",IF(VLOOKUP($F117,Declarations!B$6:C$185,2,FALSE)="","NOT DECLARED",IF(ISNA(_xlfn.TEXTBEFORE(VLOOKUP($F117,Declarations!B$6:C$185,2,FALSE)," ")),VLOOKUP($F117,Declarations!B$6:C$185,2,FALSE),_xlfn.TEXTBEFORE(VLOOKUP($F117,Declarations!B$6:C$185,2,FALSE)," "))))</f>
        <v/>
      </c>
      <c r="C117" s="114" t="str">
        <f>IF(ISNA(VLOOKUP($F117,Declarations!B$6:C$185,2,FALSE)),"",IF(VLOOKUP($F117,Declarations!B$6:C$185,2,FALSE)="","NOT DECLARED",IF(ISNA(_xlfn.TEXTAFTER(VLOOKUP($F117,Declarations!B$6:C$185,2,FALSE)," ")),VLOOKUP($F117,Declarations!B$6:C$185,2,FALSE),_xlfn.TEXTAFTER(VLOOKUP($F117,Declarations!B$6:C$185,2,FALSE)," "))))</f>
        <v/>
      </c>
      <c r="D117" s="114" t="str">
        <f>IF(ISNA(VLOOKUP($F117,Declarations!$B$6:$F$185,5,FALSE)),"",IF(VLOOKUP($F117,Declarations!$B$6:$F$185,5,FALSE)="","NOT DECLARED",VLOOKUP($F117,Declarations!$B$6:$F$185,5,FALSE)))</f>
        <v/>
      </c>
      <c r="E117" s="112" t="str">
        <f>IF(ISNA(VLOOKUP($F117,Declarations!$B$6:$D$185,3,FALSE)),"",IF(VLOOKUP($F117,Declarations!$B$6:$D$185,3,FALSE)="","NOT DECLARED",VLOOKUP($F117,Declarations!$B$6:$D$185,3,FALSE)&amp;LEFT(VLOOKUP($F117,Declarations!$B$6:$E$185,4,FALSE))))</f>
        <v/>
      </c>
      <c r="F117" s="58"/>
      <c r="G117" s="122"/>
      <c r="H117" s="122"/>
      <c r="I117" s="114" t="str">
        <f>IF(ISNA(VLOOKUP(F117,Declarations!B$6:C$185,2,FALSE)),"",IF(VLOOKUP(F117,Declarations!B$6:C$185,2,FALSE)="","NOT DECLARED",VLOOKUP(F117,Declarations!B$6:C$185,2,FALSE)))</f>
        <v/>
      </c>
      <c r="J117" s="112">
        <f>IF(LOWER(G117)="dnf",1,IF(G117&lt;ScoringTable!B$3,ScoringTable!I$2,VLOOKUP((1000-G117),ScoringTable!G$2:I$95,3)))</f>
        <v>0</v>
      </c>
      <c r="K117" s="112" t="str">
        <f>IF(OR(E117="",G117=""),"",IF(RIGHT(E117,1)="G",_xlfn.XLOOKUP(G117,Data!$D$10:$L$10,Data!$D$9:$L$9,"",1,1),_xlfn.XLOOKUP(G117,Data!$D$3:$L$3,Data!$D$2:$L$2,"",1,1)))</f>
        <v/>
      </c>
      <c r="L117" s="160" t="str" cm="1">
        <f t="array" ref="L117">IFERROR(_xlfn.IFNA(
                      _xlfn.IFS(
                      G117="", "",
                      AND(E117="U12B",G117&lt;=Data!$M$3), "U12 Boys record",
                      AND(E117="U12G",G117&lt;=Data!$M$10), "U12 Girls record"
                       ),""), "")</f>
        <v/>
      </c>
      <c r="M117" s="18" cm="1">
        <f t="array" ref="M117">_xlfn.IFS($G117="",0, AND(NOT(ISNUMBER($G117)),LOWER($G117)&lt;&gt;"dnf"),"Not a valid time",OR(LOWER($G117)="dnf",$G117&gt;ScoringTable!$M$161),1,RIGHT($E117,1)="B",_xlfn.XLOOKUP($G117,ScoringTable!$M$2:$M$161,ScoringTable!$L$2:$L$161,,1),TRUE,_xlfn.XLOOKUP($G117,ScoringTable!$S$2:$S$161,ScoringTable!$R$2:$R$161,,1))</f>
        <v>0</v>
      </c>
    </row>
    <row r="118" spans="1:13" s="7" customFormat="1" ht="16.05" customHeight="1">
      <c r="A118" s="243" t="s">
        <v>85</v>
      </c>
      <c r="B118" s="114" t="str">
        <f>IF(ISNA(VLOOKUP($F118,Declarations!B$6:C$185,2,FALSE)),"",IF(VLOOKUP($F118,Declarations!B$6:C$185,2,FALSE)="","NOT DECLARED",IF(ISNA(_xlfn.TEXTBEFORE(VLOOKUP($F118,Declarations!B$6:C$185,2,FALSE)," ")),VLOOKUP($F118,Declarations!B$6:C$185,2,FALSE),_xlfn.TEXTBEFORE(VLOOKUP($F118,Declarations!B$6:C$185,2,FALSE)," "))))</f>
        <v/>
      </c>
      <c r="C118" s="114" t="str">
        <f>IF(ISNA(VLOOKUP($F118,Declarations!B$6:C$185,2,FALSE)),"",IF(VLOOKUP($F118,Declarations!B$6:C$185,2,FALSE)="","NOT DECLARED",IF(ISNA(_xlfn.TEXTAFTER(VLOOKUP($F118,Declarations!B$6:C$185,2,FALSE)," ")),VLOOKUP($F118,Declarations!B$6:C$185,2,FALSE),_xlfn.TEXTAFTER(VLOOKUP($F118,Declarations!B$6:C$185,2,FALSE)," "))))</f>
        <v/>
      </c>
      <c r="D118" s="114" t="str">
        <f>IF(ISNA(VLOOKUP($F118,Declarations!$B$6:$F$185,5,FALSE)),"",IF(VLOOKUP($F118,Declarations!$B$6:$F$185,5,FALSE)="","NOT DECLARED",VLOOKUP($F118,Declarations!$B$6:$F$185,5,FALSE)))</f>
        <v/>
      </c>
      <c r="E118" s="112" t="str">
        <f>IF(ISNA(VLOOKUP($F118,Declarations!$B$6:$D$185,3,FALSE)),"",IF(VLOOKUP($F118,Declarations!$B$6:$D$185,3,FALSE)="","NOT DECLARED",VLOOKUP($F118,Declarations!$B$6:$D$185,3,FALSE)&amp;LEFT(VLOOKUP($F118,Declarations!$B$6:$E$185,4,FALSE))))</f>
        <v/>
      </c>
      <c r="F118" s="58"/>
      <c r="G118" s="122"/>
      <c r="H118" s="122"/>
      <c r="I118" s="114" t="str">
        <f>IF(ISNA(VLOOKUP(F118,Declarations!B$6:C$185,2,FALSE)),"",IF(VLOOKUP(F118,Declarations!B$6:C$185,2,FALSE)="","NOT DECLARED",VLOOKUP(F118,Declarations!B$6:C$185,2,FALSE)))</f>
        <v/>
      </c>
      <c r="J118" s="112">
        <f>IF(LOWER(G118)="dnf",1,IF(G118&lt;ScoringTable!B$3,ScoringTable!I$2,VLOOKUP((1000-G118),ScoringTable!G$2:I$95,3)))</f>
        <v>0</v>
      </c>
      <c r="K118" s="112" t="str">
        <f>IF(OR(E118="",G118=""),"",IF(RIGHT(E118,1)="G",_xlfn.XLOOKUP(G118,Data!$D$10:$L$10,Data!$D$9:$L$9,"",1,1),_xlfn.XLOOKUP(G118,Data!$D$3:$L$3,Data!$D$2:$L$2,"",1,1)))</f>
        <v/>
      </c>
      <c r="L118" s="160" t="str" cm="1">
        <f t="array" ref="L118">IFERROR(_xlfn.IFNA(
                      _xlfn.IFS(
                      G118="", "",
                      AND(E118="U12B",G118&lt;=Data!$M$3), "U12 Boys record",
                      AND(E118="U12G",G118&lt;=Data!$M$10), "U12 Girls record"
                       ),""), "")</f>
        <v/>
      </c>
      <c r="M118" s="18" cm="1">
        <f t="array" ref="M118">_xlfn.IFS($G118="",0, AND(NOT(ISNUMBER($G118)),LOWER($G118)&lt;&gt;"dnf"),"Not a valid time",OR(LOWER($G118)="dnf",$G118&gt;ScoringTable!$M$161),1,RIGHT($E118,1)="B",_xlfn.XLOOKUP($G118,ScoringTable!$M$2:$M$161,ScoringTable!$L$2:$L$161,,1),TRUE,_xlfn.XLOOKUP($G118,ScoringTable!$S$2:$S$161,ScoringTable!$R$2:$R$161,,1))</f>
        <v>0</v>
      </c>
    </row>
    <row r="119" spans="1:13" s="7" customFormat="1" ht="16.05" customHeight="1">
      <c r="A119" s="243" t="s">
        <v>85</v>
      </c>
      <c r="B119" s="114" t="str">
        <f>IF(ISNA(VLOOKUP($F119,Declarations!B$6:C$185,2,FALSE)),"",IF(VLOOKUP($F119,Declarations!B$6:C$185,2,FALSE)="","NOT DECLARED",IF(ISNA(_xlfn.TEXTBEFORE(VLOOKUP($F119,Declarations!B$6:C$185,2,FALSE)," ")),VLOOKUP($F119,Declarations!B$6:C$185,2,FALSE),_xlfn.TEXTBEFORE(VLOOKUP($F119,Declarations!B$6:C$185,2,FALSE)," "))))</f>
        <v/>
      </c>
      <c r="C119" s="114" t="str">
        <f>IF(ISNA(VLOOKUP($F119,Declarations!B$6:C$185,2,FALSE)),"",IF(VLOOKUP($F119,Declarations!B$6:C$185,2,FALSE)="","NOT DECLARED",IF(ISNA(_xlfn.TEXTAFTER(VLOOKUP($F119,Declarations!B$6:C$185,2,FALSE)," ")),VLOOKUP($F119,Declarations!B$6:C$185,2,FALSE),_xlfn.TEXTAFTER(VLOOKUP($F119,Declarations!B$6:C$185,2,FALSE)," "))))</f>
        <v/>
      </c>
      <c r="D119" s="114" t="str">
        <f>IF(ISNA(VLOOKUP($F119,Declarations!$B$6:$F$185,5,FALSE)),"",IF(VLOOKUP($F119,Declarations!$B$6:$F$185,5,FALSE)="","NOT DECLARED",VLOOKUP($F119,Declarations!$B$6:$F$185,5,FALSE)))</f>
        <v/>
      </c>
      <c r="E119" s="112" t="str">
        <f>IF(ISNA(VLOOKUP($F119,Declarations!$B$6:$D$185,3,FALSE)),"",IF(VLOOKUP($F119,Declarations!$B$6:$D$185,3,FALSE)="","NOT DECLARED",VLOOKUP($F119,Declarations!$B$6:$D$185,3,FALSE)&amp;LEFT(VLOOKUP($F119,Declarations!$B$6:$E$185,4,FALSE))))</f>
        <v/>
      </c>
      <c r="F119" s="58"/>
      <c r="G119" s="122"/>
      <c r="H119" s="122"/>
      <c r="I119" s="114" t="str">
        <f>IF(ISNA(VLOOKUP(F119,Declarations!B$6:C$185,2,FALSE)),"",IF(VLOOKUP(F119,Declarations!B$6:C$185,2,FALSE)="","NOT DECLARED",VLOOKUP(F119,Declarations!B$6:C$185,2,FALSE)))</f>
        <v/>
      </c>
      <c r="J119" s="112">
        <f>IF(LOWER(G119)="dnf",1,IF(G119&lt;ScoringTable!B$3,ScoringTable!I$2,VLOOKUP((1000-G119),ScoringTable!G$2:I$95,3)))</f>
        <v>0</v>
      </c>
      <c r="K119" s="112" t="str">
        <f>IF(OR(E119="",G119=""),"",IF(RIGHT(E119,1)="G",_xlfn.XLOOKUP(G119,Data!$D$10:$L$10,Data!$D$9:$L$9,"",1,1),_xlfn.XLOOKUP(G119,Data!$D$3:$L$3,Data!$D$2:$L$2,"",1,1)))</f>
        <v/>
      </c>
      <c r="L119" s="160" t="str" cm="1">
        <f t="array" ref="L119">IFERROR(_xlfn.IFNA(
                      _xlfn.IFS(
                      G119="", "",
                      AND(E119="U12B",G119&lt;=Data!$M$3), "U12 Boys record",
                      AND(E119="U12G",G119&lt;=Data!$M$10), "U12 Girls record"
                       ),""), "")</f>
        <v/>
      </c>
      <c r="M119" s="18" cm="1">
        <f t="array" ref="M119">_xlfn.IFS($G119="",0, AND(NOT(ISNUMBER($G119)),LOWER($G119)&lt;&gt;"dnf"),"Not a valid time",OR(LOWER($G119)="dnf",$G119&gt;ScoringTable!$M$161),1,RIGHT($E119,1)="B",_xlfn.XLOOKUP($G119,ScoringTable!$M$2:$M$161,ScoringTable!$L$2:$L$161,,1),TRUE,_xlfn.XLOOKUP($G119,ScoringTable!$S$2:$S$161,ScoringTable!$R$2:$R$161,,1))</f>
        <v>0</v>
      </c>
    </row>
    <row r="120" spans="1:13" s="7" customFormat="1" ht="16.05" customHeight="1">
      <c r="A120" s="243" t="s">
        <v>85</v>
      </c>
      <c r="B120" s="114" t="str">
        <f>IF(ISNA(VLOOKUP($F120,Declarations!B$6:C$185,2,FALSE)),"",IF(VLOOKUP($F120,Declarations!B$6:C$185,2,FALSE)="","NOT DECLARED",IF(ISNA(_xlfn.TEXTBEFORE(VLOOKUP($F120,Declarations!B$6:C$185,2,FALSE)," ")),VLOOKUP($F120,Declarations!B$6:C$185,2,FALSE),_xlfn.TEXTBEFORE(VLOOKUP($F120,Declarations!B$6:C$185,2,FALSE)," "))))</f>
        <v/>
      </c>
      <c r="C120" s="114" t="str">
        <f>IF(ISNA(VLOOKUP($F120,Declarations!B$6:C$185,2,FALSE)),"",IF(VLOOKUP($F120,Declarations!B$6:C$185,2,FALSE)="","NOT DECLARED",IF(ISNA(_xlfn.TEXTAFTER(VLOOKUP($F120,Declarations!B$6:C$185,2,FALSE)," ")),VLOOKUP($F120,Declarations!B$6:C$185,2,FALSE),_xlfn.TEXTAFTER(VLOOKUP($F120,Declarations!B$6:C$185,2,FALSE)," "))))</f>
        <v/>
      </c>
      <c r="D120" s="114" t="str">
        <f>IF(ISNA(VLOOKUP($F120,Declarations!$B$6:$F$185,5,FALSE)),"",IF(VLOOKUP($F120,Declarations!$B$6:$F$185,5,FALSE)="","NOT DECLARED",VLOOKUP($F120,Declarations!$B$6:$F$185,5,FALSE)))</f>
        <v/>
      </c>
      <c r="E120" s="112" t="str">
        <f>IF(ISNA(VLOOKUP($F120,Declarations!$B$6:$D$185,3,FALSE)),"",IF(VLOOKUP($F120,Declarations!$B$6:$D$185,3,FALSE)="","NOT DECLARED",VLOOKUP($F120,Declarations!$B$6:$D$185,3,FALSE)&amp;LEFT(VLOOKUP($F120,Declarations!$B$6:$E$185,4,FALSE))))</f>
        <v/>
      </c>
      <c r="F120" s="58"/>
      <c r="G120" s="122"/>
      <c r="H120" s="122"/>
      <c r="I120" s="114" t="str">
        <f>IF(ISNA(VLOOKUP(F120,Declarations!B$6:C$185,2,FALSE)),"",IF(VLOOKUP(F120,Declarations!B$6:C$185,2,FALSE)="","NOT DECLARED",VLOOKUP(F120,Declarations!B$6:C$185,2,FALSE)))</f>
        <v/>
      </c>
      <c r="J120" s="112">
        <f>IF(LOWER(G120)="dnf",1,IF(G120&lt;ScoringTable!B$3,ScoringTable!I$2,VLOOKUP((1000-G120),ScoringTable!G$2:I$95,3)))</f>
        <v>0</v>
      </c>
      <c r="K120" s="112" t="str">
        <f>IF(OR(E120="",G120=""),"",IF(RIGHT(E120,1)="G",_xlfn.XLOOKUP(G120,Data!$D$10:$L$10,Data!$D$9:$L$9,"",1,1),_xlfn.XLOOKUP(G120,Data!$D$3:$L$3,Data!$D$2:$L$2,"",1,1)))</f>
        <v/>
      </c>
      <c r="L120" s="160" t="str" cm="1">
        <f t="array" ref="L120">IFERROR(_xlfn.IFNA(
                      _xlfn.IFS(
                      G120="", "",
                      AND(E120="U12B",G120&lt;=Data!$M$3), "U12 Boys record",
                      AND(E120="U12G",G120&lt;=Data!$M$10), "U12 Girls record"
                       ),""), "")</f>
        <v/>
      </c>
      <c r="M120" s="18" cm="1">
        <f t="array" ref="M120">_xlfn.IFS($G120="",0, AND(NOT(ISNUMBER($G120)),LOWER($G120)&lt;&gt;"dnf"),"Not a valid time",OR(LOWER($G120)="dnf",$G120&gt;ScoringTable!$M$161),1,RIGHT($E120,1)="B",_xlfn.XLOOKUP($G120,ScoringTable!$M$2:$M$161,ScoringTable!$L$2:$L$161,,1),TRUE,_xlfn.XLOOKUP($G120,ScoringTable!$S$2:$S$161,ScoringTable!$R$2:$R$161,,1))</f>
        <v>0</v>
      </c>
    </row>
    <row r="121" spans="1:13" s="7" customFormat="1" ht="16.05" customHeight="1">
      <c r="A121" s="243" t="s">
        <v>85</v>
      </c>
      <c r="B121" s="114" t="str">
        <f>IF(ISNA(VLOOKUP($F121,Declarations!B$6:C$185,2,FALSE)),"",IF(VLOOKUP($F121,Declarations!B$6:C$185,2,FALSE)="","NOT DECLARED",IF(ISNA(_xlfn.TEXTBEFORE(VLOOKUP($F121,Declarations!B$6:C$185,2,FALSE)," ")),VLOOKUP($F121,Declarations!B$6:C$185,2,FALSE),_xlfn.TEXTBEFORE(VLOOKUP($F121,Declarations!B$6:C$185,2,FALSE)," "))))</f>
        <v/>
      </c>
      <c r="C121" s="114" t="str">
        <f>IF(ISNA(VLOOKUP($F121,Declarations!B$6:C$185,2,FALSE)),"",IF(VLOOKUP($F121,Declarations!B$6:C$185,2,FALSE)="","NOT DECLARED",IF(ISNA(_xlfn.TEXTAFTER(VLOOKUP($F121,Declarations!B$6:C$185,2,FALSE)," ")),VLOOKUP($F121,Declarations!B$6:C$185,2,FALSE),_xlfn.TEXTAFTER(VLOOKUP($F121,Declarations!B$6:C$185,2,FALSE)," "))))</f>
        <v/>
      </c>
      <c r="D121" s="114" t="str">
        <f>IF(ISNA(VLOOKUP($F121,Declarations!$B$6:$F$185,5,FALSE)),"",IF(VLOOKUP($F121,Declarations!$B$6:$F$185,5,FALSE)="","NOT DECLARED",VLOOKUP($F121,Declarations!$B$6:$F$185,5,FALSE)))</f>
        <v/>
      </c>
      <c r="E121" s="112" t="str">
        <f>IF(ISNA(VLOOKUP($F121,Declarations!$B$6:$D$185,3,FALSE)),"",IF(VLOOKUP($F121,Declarations!$B$6:$D$185,3,FALSE)="","NOT DECLARED",VLOOKUP($F121,Declarations!$B$6:$D$185,3,FALSE)&amp;LEFT(VLOOKUP($F121,Declarations!$B$6:$E$185,4,FALSE))))</f>
        <v/>
      </c>
      <c r="F121" s="58"/>
      <c r="G121" s="122"/>
      <c r="H121" s="122"/>
      <c r="I121" s="114" t="str">
        <f>IF(ISNA(VLOOKUP(F121,Declarations!B$6:C$185,2,FALSE)),"",IF(VLOOKUP(F121,Declarations!B$6:C$185,2,FALSE)="","NOT DECLARED",VLOOKUP(F121,Declarations!B$6:C$185,2,FALSE)))</f>
        <v/>
      </c>
      <c r="J121" s="112">
        <f>IF(LOWER(G121)="dnf",1,IF(G121&lt;ScoringTable!B$3,ScoringTable!I$2,VLOOKUP((1000-G121),ScoringTable!G$2:I$95,3)))</f>
        <v>0</v>
      </c>
      <c r="K121" s="112" t="str">
        <f>IF(OR(E121="",G121=""),"",IF(RIGHT(E121,1)="G",_xlfn.XLOOKUP(G121,Data!$D$10:$L$10,Data!$D$9:$L$9,"",1,1),_xlfn.XLOOKUP(G121,Data!$D$3:$L$3,Data!$D$2:$L$2,"",1,1)))</f>
        <v/>
      </c>
      <c r="L121" s="160" t="str" cm="1">
        <f t="array" ref="L121">IFERROR(_xlfn.IFNA(
                      _xlfn.IFS(
                      G121="", "",
                      AND(E121="U12B",G121&lt;=Data!$M$3), "U12 Boys record",
                      AND(E121="U12G",G121&lt;=Data!$M$10), "U12 Girls record"
                       ),""), "")</f>
        <v/>
      </c>
      <c r="M121" s="18" cm="1">
        <f t="array" ref="M121">_xlfn.IFS($G121="",0, AND(NOT(ISNUMBER($G121)),LOWER($G121)&lt;&gt;"dnf"),"Not a valid time",OR(LOWER($G121)="dnf",$G121&gt;ScoringTable!$M$161),1,RIGHT($E121,1)="B",_xlfn.XLOOKUP($G121,ScoringTable!$M$2:$M$161,ScoringTable!$L$2:$L$161,,1),TRUE,_xlfn.XLOOKUP($G121,ScoringTable!$S$2:$S$161,ScoringTable!$R$2:$R$161,,1))</f>
        <v>0</v>
      </c>
    </row>
    <row r="122" spans="1:13" s="7" customFormat="1" ht="16.05" customHeight="1">
      <c r="A122" s="243" t="s">
        <v>85</v>
      </c>
      <c r="B122" s="114" t="str">
        <f>IF(ISNA(VLOOKUP($F122,Declarations!B$6:C$185,2,FALSE)),"",IF(VLOOKUP($F122,Declarations!B$6:C$185,2,FALSE)="","NOT DECLARED",IF(ISNA(_xlfn.TEXTBEFORE(VLOOKUP($F122,Declarations!B$6:C$185,2,FALSE)," ")),VLOOKUP($F122,Declarations!B$6:C$185,2,FALSE),_xlfn.TEXTBEFORE(VLOOKUP($F122,Declarations!B$6:C$185,2,FALSE)," "))))</f>
        <v/>
      </c>
      <c r="C122" s="114" t="str">
        <f>IF(ISNA(VLOOKUP($F122,Declarations!B$6:C$185,2,FALSE)),"",IF(VLOOKUP($F122,Declarations!B$6:C$185,2,FALSE)="","NOT DECLARED",IF(ISNA(_xlfn.TEXTAFTER(VLOOKUP($F122,Declarations!B$6:C$185,2,FALSE)," ")),VLOOKUP($F122,Declarations!B$6:C$185,2,FALSE),_xlfn.TEXTAFTER(VLOOKUP($F122,Declarations!B$6:C$185,2,FALSE)," "))))</f>
        <v/>
      </c>
      <c r="D122" s="114" t="str">
        <f>IF(ISNA(VLOOKUP($F122,Declarations!$B$6:$F$185,5,FALSE)),"",IF(VLOOKUP($F122,Declarations!$B$6:$F$185,5,FALSE)="","NOT DECLARED",VLOOKUP($F122,Declarations!$B$6:$F$185,5,FALSE)))</f>
        <v/>
      </c>
      <c r="E122" s="112" t="str">
        <f>IF(ISNA(VLOOKUP($F122,Declarations!$B$6:$D$185,3,FALSE)),"",IF(VLOOKUP($F122,Declarations!$B$6:$D$185,3,FALSE)="","NOT DECLARED",VLOOKUP($F122,Declarations!$B$6:$D$185,3,FALSE)&amp;LEFT(VLOOKUP($F122,Declarations!$B$6:$E$185,4,FALSE))))</f>
        <v/>
      </c>
      <c r="F122" s="58"/>
      <c r="G122" s="122"/>
      <c r="H122" s="122"/>
      <c r="I122" s="114" t="str">
        <f>IF(ISNA(VLOOKUP(F122,Declarations!B$6:C$185,2,FALSE)),"",IF(VLOOKUP(F122,Declarations!B$6:C$185,2,FALSE)="","NOT DECLARED",VLOOKUP(F122,Declarations!B$6:C$185,2,FALSE)))</f>
        <v/>
      </c>
      <c r="J122" s="112">
        <f>IF(LOWER(G122)="dnf",1,IF(G122&lt;ScoringTable!B$3,ScoringTable!I$2,VLOOKUP((1000-G122),ScoringTable!G$2:I$95,3)))</f>
        <v>0</v>
      </c>
      <c r="K122" s="112" t="str">
        <f>IF(OR(E122="",G122=""),"",IF(RIGHT(E122,1)="G",_xlfn.XLOOKUP(G122,Data!$D$10:$L$10,Data!$D$9:$L$9,"",1,1),_xlfn.XLOOKUP(G122,Data!$D$3:$L$3,Data!$D$2:$L$2,"",1,1)))</f>
        <v/>
      </c>
      <c r="L122" s="160" t="str" cm="1">
        <f t="array" ref="L122">IFERROR(_xlfn.IFNA(
                      _xlfn.IFS(
                      G122="", "",
                      AND(E122="U12B",G122&lt;=Data!$M$3), "U12 Boys record",
                      AND(E122="U12G",G122&lt;=Data!$M$10), "U12 Girls record"
                       ),""), "")</f>
        <v/>
      </c>
      <c r="M122" s="18" cm="1">
        <f t="array" ref="M122">_xlfn.IFS($G122="",0, AND(NOT(ISNUMBER($G122)),LOWER($G122)&lt;&gt;"dnf"),"Not a valid time",OR(LOWER($G122)="dnf",$G122&gt;ScoringTable!$M$161),1,RIGHT($E122,1)="B",_xlfn.XLOOKUP($G122,ScoringTable!$M$2:$M$161,ScoringTable!$L$2:$L$161,,1),TRUE,_xlfn.XLOOKUP($G122,ScoringTable!$S$2:$S$161,ScoringTable!$R$2:$R$161,,1))</f>
        <v>0</v>
      </c>
    </row>
    <row r="123" spans="1:13" s="7" customFormat="1" ht="16.05" customHeight="1">
      <c r="A123" s="243" t="s">
        <v>85</v>
      </c>
      <c r="B123" s="114" t="str">
        <f>IF(ISNA(VLOOKUP($F123,Declarations!B$6:C$185,2,FALSE)),"",IF(VLOOKUP($F123,Declarations!B$6:C$185,2,FALSE)="","NOT DECLARED",IF(ISNA(_xlfn.TEXTBEFORE(VLOOKUP($F123,Declarations!B$6:C$185,2,FALSE)," ")),VLOOKUP($F123,Declarations!B$6:C$185,2,FALSE),_xlfn.TEXTBEFORE(VLOOKUP($F123,Declarations!B$6:C$185,2,FALSE)," "))))</f>
        <v/>
      </c>
      <c r="C123" s="114" t="str">
        <f>IF(ISNA(VLOOKUP($F123,Declarations!B$6:C$185,2,FALSE)),"",IF(VLOOKUP($F123,Declarations!B$6:C$185,2,FALSE)="","NOT DECLARED",IF(ISNA(_xlfn.TEXTAFTER(VLOOKUP($F123,Declarations!B$6:C$185,2,FALSE)," ")),VLOOKUP($F123,Declarations!B$6:C$185,2,FALSE),_xlfn.TEXTAFTER(VLOOKUP($F123,Declarations!B$6:C$185,2,FALSE)," "))))</f>
        <v/>
      </c>
      <c r="D123" s="114" t="str">
        <f>IF(ISNA(VLOOKUP($F123,Declarations!$B$6:$F$185,5,FALSE)),"",IF(VLOOKUP($F123,Declarations!$B$6:$F$185,5,FALSE)="","NOT DECLARED",VLOOKUP($F123,Declarations!$B$6:$F$185,5,FALSE)))</f>
        <v/>
      </c>
      <c r="E123" s="112" t="str">
        <f>IF(ISNA(VLOOKUP($F123,Declarations!$B$6:$D$185,3,FALSE)),"",IF(VLOOKUP($F123,Declarations!$B$6:$D$185,3,FALSE)="","NOT DECLARED",VLOOKUP($F123,Declarations!$B$6:$D$185,3,FALSE)&amp;LEFT(VLOOKUP($F123,Declarations!$B$6:$E$185,4,FALSE))))</f>
        <v/>
      </c>
      <c r="F123" s="58"/>
      <c r="G123" s="122"/>
      <c r="H123" s="122"/>
      <c r="I123" s="114" t="str">
        <f>IF(ISNA(VLOOKUP(F123,Declarations!B$6:C$185,2,FALSE)),"",IF(VLOOKUP(F123,Declarations!B$6:C$185,2,FALSE)="","NOT DECLARED",VLOOKUP(F123,Declarations!B$6:C$185,2,FALSE)))</f>
        <v/>
      </c>
      <c r="J123" s="112">
        <f>IF(LOWER(G123)="dnf",1,IF(G123&lt;ScoringTable!B$3,ScoringTable!I$2,VLOOKUP((1000-G123),ScoringTable!G$2:I$95,3)))</f>
        <v>0</v>
      </c>
      <c r="K123" s="112" t="str">
        <f>IF(OR(E123="",G123=""),"",IF(RIGHT(E123,1)="G",_xlfn.XLOOKUP(G123,Data!$D$10:$L$10,Data!$D$9:$L$9,"",1,1),_xlfn.XLOOKUP(G123,Data!$D$3:$L$3,Data!$D$2:$L$2,"",1,1)))</f>
        <v/>
      </c>
      <c r="L123" s="160" t="str" cm="1">
        <f t="array" ref="L123">IFERROR(_xlfn.IFNA(
                      _xlfn.IFS(
                      G123="", "",
                      AND(E123="U12B",G123&lt;=Data!$M$3), "U12 Boys record",
                      AND(E123="U12G",G123&lt;=Data!$M$10), "U12 Girls record"
                       ),""), "")</f>
        <v/>
      </c>
      <c r="M123" s="18" cm="1">
        <f t="array" ref="M123">_xlfn.IFS($G123="",0, AND(NOT(ISNUMBER($G123)),LOWER($G123)&lt;&gt;"dnf"),"Not a valid time",OR(LOWER($G123)="dnf",$G123&gt;ScoringTable!$M$161),1,RIGHT($E123,1)="B",_xlfn.XLOOKUP($G123,ScoringTable!$M$2:$M$161,ScoringTable!$L$2:$L$161,,1),TRUE,_xlfn.XLOOKUP($G123,ScoringTable!$S$2:$S$161,ScoringTable!$R$2:$R$161,,1))</f>
        <v>0</v>
      </c>
    </row>
    <row r="124" spans="1:13" s="7" customFormat="1" ht="16.05" customHeight="1">
      <c r="A124" s="243" t="s">
        <v>85</v>
      </c>
      <c r="B124" s="114" t="str">
        <f>IF(ISNA(VLOOKUP($F124,Declarations!B$6:C$185,2,FALSE)),"",IF(VLOOKUP($F124,Declarations!B$6:C$185,2,FALSE)="","NOT DECLARED",IF(ISNA(_xlfn.TEXTBEFORE(VLOOKUP($F124,Declarations!B$6:C$185,2,FALSE)," ")),VLOOKUP($F124,Declarations!B$6:C$185,2,FALSE),_xlfn.TEXTBEFORE(VLOOKUP($F124,Declarations!B$6:C$185,2,FALSE)," "))))</f>
        <v/>
      </c>
      <c r="C124" s="114" t="str">
        <f>IF(ISNA(VLOOKUP($F124,Declarations!B$6:C$185,2,FALSE)),"",IF(VLOOKUP($F124,Declarations!B$6:C$185,2,FALSE)="","NOT DECLARED",IF(ISNA(_xlfn.TEXTAFTER(VLOOKUP($F124,Declarations!B$6:C$185,2,FALSE)," ")),VLOOKUP($F124,Declarations!B$6:C$185,2,FALSE),_xlfn.TEXTAFTER(VLOOKUP($F124,Declarations!B$6:C$185,2,FALSE)," "))))</f>
        <v/>
      </c>
      <c r="D124" s="114" t="str">
        <f>IF(ISNA(VLOOKUP($F124,Declarations!$B$6:$F$185,5,FALSE)),"",IF(VLOOKUP($F124,Declarations!$B$6:$F$185,5,FALSE)="","NOT DECLARED",VLOOKUP($F124,Declarations!$B$6:$F$185,5,FALSE)))</f>
        <v/>
      </c>
      <c r="E124" s="112" t="str">
        <f>IF(ISNA(VLOOKUP($F124,Declarations!$B$6:$D$185,3,FALSE)),"",IF(VLOOKUP($F124,Declarations!$B$6:$D$185,3,FALSE)="","NOT DECLARED",VLOOKUP($F124,Declarations!$B$6:$D$185,3,FALSE)&amp;LEFT(VLOOKUP($F124,Declarations!$B$6:$E$185,4,FALSE))))</f>
        <v/>
      </c>
      <c r="F124" s="58"/>
      <c r="G124" s="122"/>
      <c r="H124" s="122"/>
      <c r="I124" s="114" t="str">
        <f>IF(ISNA(VLOOKUP(F124,Declarations!B$6:C$185,2,FALSE)),"",IF(VLOOKUP(F124,Declarations!B$6:C$185,2,FALSE)="","NOT DECLARED",VLOOKUP(F124,Declarations!B$6:C$185,2,FALSE)))</f>
        <v/>
      </c>
      <c r="J124" s="112">
        <f>IF(LOWER(G124)="dnf",1,IF(G124&lt;ScoringTable!B$3,ScoringTable!I$2,VLOOKUP((1000-G124),ScoringTable!G$2:I$95,3)))</f>
        <v>0</v>
      </c>
      <c r="K124" s="112" t="str">
        <f>IF(OR(E124="",G124=""),"",IF(RIGHT(E124,1)="G",_xlfn.XLOOKUP(G124,Data!$D$10:$L$10,Data!$D$9:$L$9,"",1,1),_xlfn.XLOOKUP(G124,Data!$D$3:$L$3,Data!$D$2:$L$2,"",1,1)))</f>
        <v/>
      </c>
      <c r="L124" s="160" t="str" cm="1">
        <f t="array" ref="L124">IFERROR(_xlfn.IFNA(
                      _xlfn.IFS(
                      G124="", "",
                      AND(E124="U12B",G124&lt;=Data!$M$3), "U12 Boys record",
                      AND(E124="U12G",G124&lt;=Data!$M$10), "U12 Girls record"
                       ),""), "")</f>
        <v/>
      </c>
      <c r="M124" s="18" cm="1">
        <f t="array" ref="M124">_xlfn.IFS($G124="",0, AND(NOT(ISNUMBER($G124)),LOWER($G124)&lt;&gt;"dnf"),"Not a valid time",OR(LOWER($G124)="dnf",$G124&gt;ScoringTable!$M$161),1,RIGHT($E124,1)="B",_xlfn.XLOOKUP($G124,ScoringTable!$M$2:$M$161,ScoringTable!$L$2:$L$161,,1),TRUE,_xlfn.XLOOKUP($G124,ScoringTable!$S$2:$S$161,ScoringTable!$R$2:$R$161,,1))</f>
        <v>0</v>
      </c>
    </row>
    <row r="125" spans="1:13" s="7" customFormat="1" ht="16.05" customHeight="1">
      <c r="A125" s="243" t="s">
        <v>85</v>
      </c>
      <c r="B125" s="114" t="str">
        <f>IF(ISNA(VLOOKUP($F125,Declarations!B$6:C$185,2,FALSE)),"",IF(VLOOKUP($F125,Declarations!B$6:C$185,2,FALSE)="","NOT DECLARED",IF(ISNA(_xlfn.TEXTBEFORE(VLOOKUP($F125,Declarations!B$6:C$185,2,FALSE)," ")),VLOOKUP($F125,Declarations!B$6:C$185,2,FALSE),_xlfn.TEXTBEFORE(VLOOKUP($F125,Declarations!B$6:C$185,2,FALSE)," "))))</f>
        <v/>
      </c>
      <c r="C125" s="114" t="str">
        <f>IF(ISNA(VLOOKUP($F125,Declarations!B$6:C$185,2,FALSE)),"",IF(VLOOKUP($F125,Declarations!B$6:C$185,2,FALSE)="","NOT DECLARED",IF(ISNA(_xlfn.TEXTAFTER(VLOOKUP($F125,Declarations!B$6:C$185,2,FALSE)," ")),VLOOKUP($F125,Declarations!B$6:C$185,2,FALSE),_xlfn.TEXTAFTER(VLOOKUP($F125,Declarations!B$6:C$185,2,FALSE)," "))))</f>
        <v/>
      </c>
      <c r="D125" s="114" t="str">
        <f>IF(ISNA(VLOOKUP($F125,Declarations!$B$6:$F$185,5,FALSE)),"",IF(VLOOKUP($F125,Declarations!$B$6:$F$185,5,FALSE)="","NOT DECLARED",VLOOKUP($F125,Declarations!$B$6:$F$185,5,FALSE)))</f>
        <v/>
      </c>
      <c r="E125" s="112" t="str">
        <f>IF(ISNA(VLOOKUP($F125,Declarations!$B$6:$D$185,3,FALSE)),"",IF(VLOOKUP($F125,Declarations!$B$6:$D$185,3,FALSE)="","NOT DECLARED",VLOOKUP($F125,Declarations!$B$6:$D$185,3,FALSE)&amp;LEFT(VLOOKUP($F125,Declarations!$B$6:$E$185,4,FALSE))))</f>
        <v/>
      </c>
      <c r="F125" s="58"/>
      <c r="G125" s="122"/>
      <c r="H125" s="122"/>
      <c r="I125" s="114" t="str">
        <f>IF(ISNA(VLOOKUP(F125,Declarations!B$6:C$185,2,FALSE)),"",IF(VLOOKUP(F125,Declarations!B$6:C$185,2,FALSE)="","NOT DECLARED",VLOOKUP(F125,Declarations!B$6:C$185,2,FALSE)))</f>
        <v/>
      </c>
      <c r="J125" s="112">
        <f>IF(LOWER(G125)="dnf",1,IF(G125&lt;ScoringTable!B$3,ScoringTable!I$2,VLOOKUP((1000-G125),ScoringTable!G$2:I$95,3)))</f>
        <v>0</v>
      </c>
      <c r="K125" s="112" t="str">
        <f>IF(OR(E125="",G125=""),"",IF(RIGHT(E125,1)="G",_xlfn.XLOOKUP(G125,Data!$D$10:$L$10,Data!$D$9:$L$9,"",1,1),_xlfn.XLOOKUP(G125,Data!$D$3:$L$3,Data!$D$2:$L$2,"",1,1)))</f>
        <v/>
      </c>
      <c r="L125" s="160" t="str" cm="1">
        <f t="array" ref="L125">IFERROR(_xlfn.IFNA(
                      _xlfn.IFS(
                      G125="", "",
                      AND(E125="U12B",G125&lt;=Data!$M$3), "U12 Boys record",
                      AND(E125="U12G",G125&lt;=Data!$M$10), "U12 Girls record"
                       ),""), "")</f>
        <v/>
      </c>
      <c r="M125" s="18" cm="1">
        <f t="array" ref="M125">_xlfn.IFS($G125="",0, AND(NOT(ISNUMBER($G125)),LOWER($G125)&lt;&gt;"dnf"),"Not a valid time",OR(LOWER($G125)="dnf",$G125&gt;ScoringTable!$M$161),1,RIGHT($E125,1)="B",_xlfn.XLOOKUP($G125,ScoringTable!$M$2:$M$161,ScoringTable!$L$2:$L$161,,1),TRUE,_xlfn.XLOOKUP($G125,ScoringTable!$S$2:$S$161,ScoringTable!$R$2:$R$161,,1))</f>
        <v>0</v>
      </c>
    </row>
    <row r="126" spans="1:13" s="7" customFormat="1" ht="16.05" customHeight="1">
      <c r="A126" s="243" t="s">
        <v>85</v>
      </c>
      <c r="B126" s="114" t="str">
        <f>IF(ISNA(VLOOKUP($F126,Declarations!B$6:C$185,2,FALSE)),"",IF(VLOOKUP($F126,Declarations!B$6:C$185,2,FALSE)="","NOT DECLARED",IF(ISNA(_xlfn.TEXTBEFORE(VLOOKUP($F126,Declarations!B$6:C$185,2,FALSE)," ")),VLOOKUP($F126,Declarations!B$6:C$185,2,FALSE),_xlfn.TEXTBEFORE(VLOOKUP($F126,Declarations!B$6:C$185,2,FALSE)," "))))</f>
        <v/>
      </c>
      <c r="C126" s="114" t="str">
        <f>IF(ISNA(VLOOKUP($F126,Declarations!B$6:C$185,2,FALSE)),"",IF(VLOOKUP($F126,Declarations!B$6:C$185,2,FALSE)="","NOT DECLARED",IF(ISNA(_xlfn.TEXTAFTER(VLOOKUP($F126,Declarations!B$6:C$185,2,FALSE)," ")),VLOOKUP($F126,Declarations!B$6:C$185,2,FALSE),_xlfn.TEXTAFTER(VLOOKUP($F126,Declarations!B$6:C$185,2,FALSE)," "))))</f>
        <v/>
      </c>
      <c r="D126" s="114" t="str">
        <f>IF(ISNA(VLOOKUP($F126,Declarations!$B$6:$F$185,5,FALSE)),"",IF(VLOOKUP($F126,Declarations!$B$6:$F$185,5,FALSE)="","NOT DECLARED",VLOOKUP($F126,Declarations!$B$6:$F$185,5,FALSE)))</f>
        <v/>
      </c>
      <c r="E126" s="112" t="str">
        <f>IF(ISNA(VLOOKUP($F126,Declarations!$B$6:$D$185,3,FALSE)),"",IF(VLOOKUP($F126,Declarations!$B$6:$D$185,3,FALSE)="","NOT DECLARED",VLOOKUP($F126,Declarations!$B$6:$D$185,3,FALSE)&amp;LEFT(VLOOKUP($F126,Declarations!$B$6:$E$185,4,FALSE))))</f>
        <v/>
      </c>
      <c r="F126" s="58"/>
      <c r="G126" s="122"/>
      <c r="H126" s="122"/>
      <c r="I126" s="114" t="str">
        <f>IF(ISNA(VLOOKUP(F126,Declarations!B$6:C$185,2,FALSE)),"",IF(VLOOKUP(F126,Declarations!B$6:C$185,2,FALSE)="","NOT DECLARED",VLOOKUP(F126,Declarations!B$6:C$185,2,FALSE)))</f>
        <v/>
      </c>
      <c r="J126" s="112">
        <f>IF(LOWER(G126)="dnf",1,IF(G126&lt;ScoringTable!B$3,ScoringTable!I$2,VLOOKUP((1000-G126),ScoringTable!G$2:I$95,3)))</f>
        <v>0</v>
      </c>
      <c r="K126" s="112" t="str">
        <f>IF(OR(E126="",G126=""),"",IF(RIGHT(E126,1)="G",_xlfn.XLOOKUP(G126,Data!$D$10:$L$10,Data!$D$9:$L$9,"",1,1),_xlfn.XLOOKUP(G126,Data!$D$3:$L$3,Data!$D$2:$L$2,"",1,1)))</f>
        <v/>
      </c>
      <c r="L126" s="160" t="str" cm="1">
        <f t="array" ref="L126">IFERROR(_xlfn.IFNA(
                      _xlfn.IFS(
                      G126="", "",
                      AND(E126="U12B",G126&lt;=Data!$M$3), "U12 Boys record",
                      AND(E126="U12G",G126&lt;=Data!$M$10), "U12 Girls record"
                       ),""), "")</f>
        <v/>
      </c>
      <c r="M126" s="18" cm="1">
        <f t="array" ref="M126">_xlfn.IFS($G126="",0, AND(NOT(ISNUMBER($G126)),LOWER($G126)&lt;&gt;"dnf"),"Not a valid time",OR(LOWER($G126)="dnf",$G126&gt;ScoringTable!$M$161),1,RIGHT($E126,1)="B",_xlfn.XLOOKUP($G126,ScoringTable!$M$2:$M$161,ScoringTable!$L$2:$L$161,,1),TRUE,_xlfn.XLOOKUP($G126,ScoringTable!$S$2:$S$161,ScoringTable!$R$2:$R$161,,1))</f>
        <v>0</v>
      </c>
    </row>
    <row r="127" spans="1:13" s="7" customFormat="1" ht="16.05" customHeight="1">
      <c r="A127" s="243" t="s">
        <v>85</v>
      </c>
      <c r="B127" s="114" t="str">
        <f>IF(ISNA(VLOOKUP($F127,Declarations!B$6:C$185,2,FALSE)),"",IF(VLOOKUP($F127,Declarations!B$6:C$185,2,FALSE)="","NOT DECLARED",IF(ISNA(_xlfn.TEXTBEFORE(VLOOKUP($F127,Declarations!B$6:C$185,2,FALSE)," ")),VLOOKUP($F127,Declarations!B$6:C$185,2,FALSE),_xlfn.TEXTBEFORE(VLOOKUP($F127,Declarations!B$6:C$185,2,FALSE)," "))))</f>
        <v/>
      </c>
      <c r="C127" s="114" t="str">
        <f>IF(ISNA(VLOOKUP($F127,Declarations!B$6:C$185,2,FALSE)),"",IF(VLOOKUP($F127,Declarations!B$6:C$185,2,FALSE)="","NOT DECLARED",IF(ISNA(_xlfn.TEXTAFTER(VLOOKUP($F127,Declarations!B$6:C$185,2,FALSE)," ")),VLOOKUP($F127,Declarations!B$6:C$185,2,FALSE),_xlfn.TEXTAFTER(VLOOKUP($F127,Declarations!B$6:C$185,2,FALSE)," "))))</f>
        <v/>
      </c>
      <c r="D127" s="114" t="str">
        <f>IF(ISNA(VLOOKUP($F127,Declarations!$B$6:$F$185,5,FALSE)),"",IF(VLOOKUP($F127,Declarations!$B$6:$F$185,5,FALSE)="","NOT DECLARED",VLOOKUP($F127,Declarations!$B$6:$F$185,5,FALSE)))</f>
        <v/>
      </c>
      <c r="E127" s="112" t="str">
        <f>IF(ISNA(VLOOKUP($F127,Declarations!$B$6:$D$185,3,FALSE)),"",IF(VLOOKUP($F127,Declarations!$B$6:$D$185,3,FALSE)="","NOT DECLARED",VLOOKUP($F127,Declarations!$B$6:$D$185,3,FALSE)&amp;LEFT(VLOOKUP($F127,Declarations!$B$6:$E$185,4,FALSE))))</f>
        <v/>
      </c>
      <c r="F127" s="58"/>
      <c r="G127" s="122"/>
      <c r="H127" s="122"/>
      <c r="I127" s="114" t="str">
        <f>IF(ISNA(VLOOKUP(F127,Declarations!B$6:C$185,2,FALSE)),"",IF(VLOOKUP(F127,Declarations!B$6:C$185,2,FALSE)="","NOT DECLARED",VLOOKUP(F127,Declarations!B$6:C$185,2,FALSE)))</f>
        <v/>
      </c>
      <c r="J127" s="112">
        <f>IF(LOWER(G127)="dnf",1,IF(G127&lt;ScoringTable!B$3,ScoringTable!I$2,VLOOKUP((1000-G127),ScoringTable!G$2:I$95,3)))</f>
        <v>0</v>
      </c>
      <c r="K127" s="112" t="str">
        <f>IF(OR(E127="",G127=""),"",IF(RIGHT(E127,1)="G",_xlfn.XLOOKUP(G127,Data!$D$10:$L$10,Data!$D$9:$L$9,"",1,1),_xlfn.XLOOKUP(G127,Data!$D$3:$L$3,Data!$D$2:$L$2,"",1,1)))</f>
        <v/>
      </c>
      <c r="L127" s="160" t="str" cm="1">
        <f t="array" ref="L127">IFERROR(_xlfn.IFNA(
                      _xlfn.IFS(
                      G127="", "",
                      AND(E127="U12B",G127&lt;=Data!$M$3), "U12 Boys record",
                      AND(E127="U12G",G127&lt;=Data!$M$10), "U12 Girls record"
                       ),""), "")</f>
        <v/>
      </c>
      <c r="M127" s="18" cm="1">
        <f t="array" ref="M127">_xlfn.IFS($G127="",0, AND(NOT(ISNUMBER($G127)),LOWER($G127)&lt;&gt;"dnf"),"Not a valid time",OR(LOWER($G127)="dnf",$G127&gt;ScoringTable!$M$161),1,RIGHT($E127,1)="B",_xlfn.XLOOKUP($G127,ScoringTable!$M$2:$M$161,ScoringTable!$L$2:$L$161,,1),TRUE,_xlfn.XLOOKUP($G127,ScoringTable!$S$2:$S$161,ScoringTable!$R$2:$R$161,,1))</f>
        <v>0</v>
      </c>
    </row>
    <row r="128" spans="1:13" s="7" customFormat="1" ht="16.05" customHeight="1">
      <c r="A128" s="243" t="s">
        <v>85</v>
      </c>
      <c r="B128" s="114" t="str">
        <f>IF(ISNA(VLOOKUP($F128,Declarations!B$6:C$185,2,FALSE)),"",IF(VLOOKUP($F128,Declarations!B$6:C$185,2,FALSE)="","NOT DECLARED",IF(ISNA(_xlfn.TEXTBEFORE(VLOOKUP($F128,Declarations!B$6:C$185,2,FALSE)," ")),VLOOKUP($F128,Declarations!B$6:C$185,2,FALSE),_xlfn.TEXTBEFORE(VLOOKUP($F128,Declarations!B$6:C$185,2,FALSE)," "))))</f>
        <v/>
      </c>
      <c r="C128" s="114" t="str">
        <f>IF(ISNA(VLOOKUP($F128,Declarations!B$6:C$185,2,FALSE)),"",IF(VLOOKUP($F128,Declarations!B$6:C$185,2,FALSE)="","NOT DECLARED",IF(ISNA(_xlfn.TEXTAFTER(VLOOKUP($F128,Declarations!B$6:C$185,2,FALSE)," ")),VLOOKUP($F128,Declarations!B$6:C$185,2,FALSE),_xlfn.TEXTAFTER(VLOOKUP($F128,Declarations!B$6:C$185,2,FALSE)," "))))</f>
        <v/>
      </c>
      <c r="D128" s="114" t="str">
        <f>IF(ISNA(VLOOKUP($F128,Declarations!$B$6:$F$185,5,FALSE)),"",IF(VLOOKUP($F128,Declarations!$B$6:$F$185,5,FALSE)="","NOT DECLARED",VLOOKUP($F128,Declarations!$B$6:$F$185,5,FALSE)))</f>
        <v/>
      </c>
      <c r="E128" s="112" t="str">
        <f>IF(ISNA(VLOOKUP($F128,Declarations!$B$6:$D$185,3,FALSE)),"",IF(VLOOKUP($F128,Declarations!$B$6:$D$185,3,FALSE)="","NOT DECLARED",VLOOKUP($F128,Declarations!$B$6:$D$185,3,FALSE)&amp;LEFT(VLOOKUP($F128,Declarations!$B$6:$E$185,4,FALSE))))</f>
        <v/>
      </c>
      <c r="F128" s="58"/>
      <c r="G128" s="122"/>
      <c r="H128" s="122"/>
      <c r="I128" s="114" t="str">
        <f>IF(ISNA(VLOOKUP(F128,Declarations!B$6:C$185,2,FALSE)),"",IF(VLOOKUP(F128,Declarations!B$6:C$185,2,FALSE)="","NOT DECLARED",VLOOKUP(F128,Declarations!B$6:C$185,2,FALSE)))</f>
        <v/>
      </c>
      <c r="J128" s="112">
        <f>IF(LOWER(G128)="dnf",1,IF(G128&lt;ScoringTable!B$3,ScoringTable!I$2,VLOOKUP((1000-G128),ScoringTable!G$2:I$95,3)))</f>
        <v>0</v>
      </c>
      <c r="K128" s="112" t="str">
        <f>IF(OR(E128="",G128=""),"",IF(RIGHT(E128,1)="G",_xlfn.XLOOKUP(G128,Data!$D$10:$L$10,Data!$D$9:$L$9,"",1,1),_xlfn.XLOOKUP(G128,Data!$D$3:$L$3,Data!$D$2:$L$2,"",1,1)))</f>
        <v/>
      </c>
      <c r="L128" s="160" t="str" cm="1">
        <f t="array" ref="L128">IFERROR(_xlfn.IFNA(
                      _xlfn.IFS(
                      G128="", "",
                      AND(E128="U12B",G128&lt;=Data!$M$3), "U12 Boys record",
                      AND(E128="U12G",G128&lt;=Data!$M$10), "U12 Girls record"
                       ),""), "")</f>
        <v/>
      </c>
      <c r="M128" s="18" cm="1">
        <f t="array" ref="M128">_xlfn.IFS($G128="",0, AND(NOT(ISNUMBER($G128)),LOWER($G128)&lt;&gt;"dnf"),"Not a valid time",OR(LOWER($G128)="dnf",$G128&gt;ScoringTable!$M$161),1,RIGHT($E128,1)="B",_xlfn.XLOOKUP($G128,ScoringTable!$M$2:$M$161,ScoringTable!$L$2:$L$161,,1),TRUE,_xlfn.XLOOKUP($G128,ScoringTable!$S$2:$S$161,ScoringTable!$R$2:$R$161,,1))</f>
        <v>0</v>
      </c>
    </row>
    <row r="129" spans="1:13" s="7" customFormat="1" ht="16.05" customHeight="1">
      <c r="A129" s="243" t="s">
        <v>85</v>
      </c>
      <c r="B129" s="114" t="str">
        <f>IF(ISNA(VLOOKUP($F129,Declarations!B$6:C$185,2,FALSE)),"",IF(VLOOKUP($F129,Declarations!B$6:C$185,2,FALSE)="","NOT DECLARED",IF(ISNA(_xlfn.TEXTBEFORE(VLOOKUP($F129,Declarations!B$6:C$185,2,FALSE)," ")),VLOOKUP($F129,Declarations!B$6:C$185,2,FALSE),_xlfn.TEXTBEFORE(VLOOKUP($F129,Declarations!B$6:C$185,2,FALSE)," "))))</f>
        <v/>
      </c>
      <c r="C129" s="114" t="str">
        <f>IF(ISNA(VLOOKUP($F129,Declarations!B$6:C$185,2,FALSE)),"",IF(VLOOKUP($F129,Declarations!B$6:C$185,2,FALSE)="","NOT DECLARED",IF(ISNA(_xlfn.TEXTAFTER(VLOOKUP($F129,Declarations!B$6:C$185,2,FALSE)," ")),VLOOKUP($F129,Declarations!B$6:C$185,2,FALSE),_xlfn.TEXTAFTER(VLOOKUP($F129,Declarations!B$6:C$185,2,FALSE)," "))))</f>
        <v/>
      </c>
      <c r="D129" s="114" t="str">
        <f>IF(ISNA(VLOOKUP($F129,Declarations!$B$6:$F$185,5,FALSE)),"",IF(VLOOKUP($F129,Declarations!$B$6:$F$185,5,FALSE)="","NOT DECLARED",VLOOKUP($F129,Declarations!$B$6:$F$185,5,FALSE)))</f>
        <v/>
      </c>
      <c r="E129" s="112" t="str">
        <f>IF(ISNA(VLOOKUP($F129,Declarations!$B$6:$D$185,3,FALSE)),"",IF(VLOOKUP($F129,Declarations!$B$6:$D$185,3,FALSE)="","NOT DECLARED",VLOOKUP($F129,Declarations!$B$6:$D$185,3,FALSE)&amp;LEFT(VLOOKUP($F129,Declarations!$B$6:$E$185,4,FALSE))))</f>
        <v/>
      </c>
      <c r="F129" s="58"/>
      <c r="G129" s="122"/>
      <c r="H129" s="122"/>
      <c r="I129" s="114" t="str">
        <f>IF(ISNA(VLOOKUP(F129,Declarations!B$6:C$185,2,FALSE)),"",IF(VLOOKUP(F129,Declarations!B$6:C$185,2,FALSE)="","NOT DECLARED",VLOOKUP(F129,Declarations!B$6:C$185,2,FALSE)))</f>
        <v/>
      </c>
      <c r="J129" s="112">
        <f>IF(LOWER(G129)="dnf",1,IF(G129&lt;ScoringTable!B$3,ScoringTable!I$2,VLOOKUP((1000-G129),ScoringTable!G$2:I$95,3)))</f>
        <v>0</v>
      </c>
      <c r="K129" s="112" t="str">
        <f>IF(OR(E129="",G129=""),"",IF(RIGHT(E129,1)="G",_xlfn.XLOOKUP(G129,Data!$D$10:$L$10,Data!$D$9:$L$9,"",1,1),_xlfn.XLOOKUP(G129,Data!$D$3:$L$3,Data!$D$2:$L$2,"",1,1)))</f>
        <v/>
      </c>
      <c r="L129" s="160" t="str" cm="1">
        <f t="array" ref="L129">IFERROR(_xlfn.IFNA(
                      _xlfn.IFS(
                      G129="", "",
                      AND(E129="U12B",G129&lt;=Data!$M$3), "U12 Boys record",
                      AND(E129="U12G",G129&lt;=Data!$M$10), "U12 Girls record"
                       ),""), "")</f>
        <v/>
      </c>
      <c r="M129" s="18" cm="1">
        <f t="array" ref="M129">_xlfn.IFS($G129="",0, AND(NOT(ISNUMBER($G129)),LOWER($G129)&lt;&gt;"dnf"),"Not a valid time",OR(LOWER($G129)="dnf",$G129&gt;ScoringTable!$M$161),1,RIGHT($E129,1)="B",_xlfn.XLOOKUP($G129,ScoringTable!$M$2:$M$161,ScoringTable!$L$2:$L$161,,1),TRUE,_xlfn.XLOOKUP($G129,ScoringTable!$S$2:$S$161,ScoringTable!$R$2:$R$161,,1))</f>
        <v>0</v>
      </c>
    </row>
    <row r="130" spans="1:13" s="7" customFormat="1" ht="16.05" customHeight="1">
      <c r="A130" s="243" t="s">
        <v>85</v>
      </c>
      <c r="B130" s="114" t="str">
        <f>IF(ISNA(VLOOKUP($F130,Declarations!B$6:C$185,2,FALSE)),"",IF(VLOOKUP($F130,Declarations!B$6:C$185,2,FALSE)="","NOT DECLARED",IF(ISNA(_xlfn.TEXTBEFORE(VLOOKUP($F130,Declarations!B$6:C$185,2,FALSE)," ")),VLOOKUP($F130,Declarations!B$6:C$185,2,FALSE),_xlfn.TEXTBEFORE(VLOOKUP($F130,Declarations!B$6:C$185,2,FALSE)," "))))</f>
        <v/>
      </c>
      <c r="C130" s="114" t="str">
        <f>IF(ISNA(VLOOKUP($F130,Declarations!B$6:C$185,2,FALSE)),"",IF(VLOOKUP($F130,Declarations!B$6:C$185,2,FALSE)="","NOT DECLARED",IF(ISNA(_xlfn.TEXTAFTER(VLOOKUP($F130,Declarations!B$6:C$185,2,FALSE)," ")),VLOOKUP($F130,Declarations!B$6:C$185,2,FALSE),_xlfn.TEXTAFTER(VLOOKUP($F130,Declarations!B$6:C$185,2,FALSE)," "))))</f>
        <v/>
      </c>
      <c r="D130" s="114" t="str">
        <f>IF(ISNA(VLOOKUP($F130,Declarations!$B$6:$F$185,5,FALSE)),"",IF(VLOOKUP($F130,Declarations!$B$6:$F$185,5,FALSE)="","NOT DECLARED",VLOOKUP($F130,Declarations!$B$6:$F$185,5,FALSE)))</f>
        <v/>
      </c>
      <c r="E130" s="112" t="str">
        <f>IF(ISNA(VLOOKUP($F130,Declarations!$B$6:$D$185,3,FALSE)),"",IF(VLOOKUP($F130,Declarations!$B$6:$D$185,3,FALSE)="","NOT DECLARED",VLOOKUP($F130,Declarations!$B$6:$D$185,3,FALSE)&amp;LEFT(VLOOKUP($F130,Declarations!$B$6:$E$185,4,FALSE))))</f>
        <v/>
      </c>
      <c r="F130" s="58"/>
      <c r="G130" s="122"/>
      <c r="H130" s="122"/>
      <c r="I130" s="114" t="str">
        <f>IF(ISNA(VLOOKUP(F130,Declarations!B$6:C$185,2,FALSE)),"",IF(VLOOKUP(F130,Declarations!B$6:C$185,2,FALSE)="","NOT DECLARED",VLOOKUP(F130,Declarations!B$6:C$185,2,FALSE)))</f>
        <v/>
      </c>
      <c r="J130" s="112">
        <f>IF(LOWER(G130)="dnf",1,IF(G130&lt;ScoringTable!B$3,ScoringTable!I$2,VLOOKUP((1000-G130),ScoringTable!G$2:I$95,3)))</f>
        <v>0</v>
      </c>
      <c r="K130" s="112" t="str">
        <f>IF(OR(E130="",G130=""),"",IF(RIGHT(E130,1)="G",_xlfn.XLOOKUP(G130,Data!$D$10:$L$10,Data!$D$9:$L$9,"",1,1),_xlfn.XLOOKUP(G130,Data!$D$3:$L$3,Data!$D$2:$L$2,"",1,1)))</f>
        <v/>
      </c>
      <c r="L130" s="160" t="str" cm="1">
        <f t="array" ref="L130">IFERROR(_xlfn.IFNA(
                      _xlfn.IFS(
                      G130="", "",
                      AND(E130="U12B",G130&lt;=Data!$M$3), "U12 Boys record",
                      AND(E130="U12G",G130&lt;=Data!$M$10), "U12 Girls record"
                       ),""), "")</f>
        <v/>
      </c>
      <c r="M130" s="18" cm="1">
        <f t="array" ref="M130">_xlfn.IFS($G130="",0, AND(NOT(ISNUMBER($G130)),LOWER($G130)&lt;&gt;"dnf"),"Not a valid time",OR(LOWER($G130)="dnf",$G130&gt;ScoringTable!$M$161),1,RIGHT($E130,1)="B",_xlfn.XLOOKUP($G130,ScoringTable!$M$2:$M$161,ScoringTable!$L$2:$L$161,,1),TRUE,_xlfn.XLOOKUP($G130,ScoringTable!$S$2:$S$161,ScoringTable!$R$2:$R$161,,1))</f>
        <v>0</v>
      </c>
    </row>
    <row r="131" spans="1:13" s="7" customFormat="1" ht="16.05" customHeight="1">
      <c r="A131" s="243" t="s">
        <v>85</v>
      </c>
      <c r="B131" s="114" t="str">
        <f>IF(ISNA(VLOOKUP($F131,Declarations!B$6:C$185,2,FALSE)),"",IF(VLOOKUP($F131,Declarations!B$6:C$185,2,FALSE)="","NOT DECLARED",IF(ISNA(_xlfn.TEXTBEFORE(VLOOKUP($F131,Declarations!B$6:C$185,2,FALSE)," ")),VLOOKUP($F131,Declarations!B$6:C$185,2,FALSE),_xlfn.TEXTBEFORE(VLOOKUP($F131,Declarations!B$6:C$185,2,FALSE)," "))))</f>
        <v/>
      </c>
      <c r="C131" s="114" t="str">
        <f>IF(ISNA(VLOOKUP($F131,Declarations!B$6:C$185,2,FALSE)),"",IF(VLOOKUP($F131,Declarations!B$6:C$185,2,FALSE)="","NOT DECLARED",IF(ISNA(_xlfn.TEXTAFTER(VLOOKUP($F131,Declarations!B$6:C$185,2,FALSE)," ")),VLOOKUP($F131,Declarations!B$6:C$185,2,FALSE),_xlfn.TEXTAFTER(VLOOKUP($F131,Declarations!B$6:C$185,2,FALSE)," "))))</f>
        <v/>
      </c>
      <c r="D131" s="114" t="str">
        <f>IF(ISNA(VLOOKUP($F131,Declarations!$B$6:$F$185,5,FALSE)),"",IF(VLOOKUP($F131,Declarations!$B$6:$F$185,5,FALSE)="","NOT DECLARED",VLOOKUP($F131,Declarations!$B$6:$F$185,5,FALSE)))</f>
        <v/>
      </c>
      <c r="E131" s="112" t="str">
        <f>IF(ISNA(VLOOKUP($F131,Declarations!$B$6:$D$185,3,FALSE)),"",IF(VLOOKUP($F131,Declarations!$B$6:$D$185,3,FALSE)="","NOT DECLARED",VLOOKUP($F131,Declarations!$B$6:$D$185,3,FALSE)&amp;LEFT(VLOOKUP($F131,Declarations!$B$6:$E$185,4,FALSE))))</f>
        <v/>
      </c>
      <c r="F131" s="58"/>
      <c r="G131" s="122"/>
      <c r="H131" s="122"/>
      <c r="I131" s="114" t="str">
        <f>IF(ISNA(VLOOKUP(F131,Declarations!B$6:C$185,2,FALSE)),"",IF(VLOOKUP(F131,Declarations!B$6:C$185,2,FALSE)="","NOT DECLARED",VLOOKUP(F131,Declarations!B$6:C$185,2,FALSE)))</f>
        <v/>
      </c>
      <c r="J131" s="112">
        <f>IF(LOWER(G131)="dnf",1,IF(G131&lt;ScoringTable!B$3,ScoringTable!I$2,VLOOKUP((1000-G131),ScoringTable!G$2:I$95,3)))</f>
        <v>0</v>
      </c>
      <c r="K131" s="112" t="str">
        <f>IF(OR(E131="",G131=""),"",IF(RIGHT(E131,1)="G",_xlfn.XLOOKUP(G131,Data!$D$10:$L$10,Data!$D$9:$L$9,"",1,1),_xlfn.XLOOKUP(G131,Data!$D$3:$L$3,Data!$D$2:$L$2,"",1,1)))</f>
        <v/>
      </c>
      <c r="L131" s="160" t="str" cm="1">
        <f t="array" ref="L131">IFERROR(_xlfn.IFNA(
                      _xlfn.IFS(
                      G131="", "",
                      AND(E131="U12B",G131&lt;=Data!$M$3), "U12 Boys record",
                      AND(E131="U12G",G131&lt;=Data!$M$10), "U12 Girls record"
                       ),""), "")</f>
        <v/>
      </c>
      <c r="M131" s="18" cm="1">
        <f t="array" ref="M131">_xlfn.IFS($G131="",0, AND(NOT(ISNUMBER($G131)),LOWER($G131)&lt;&gt;"dnf"),"Not a valid time",OR(LOWER($G131)="dnf",$G131&gt;ScoringTable!$M$161),1,RIGHT($E131,1)="B",_xlfn.XLOOKUP($G131,ScoringTable!$M$2:$M$161,ScoringTable!$L$2:$L$161,,1),TRUE,_xlfn.XLOOKUP($G131,ScoringTable!$S$2:$S$161,ScoringTable!$R$2:$R$161,,1))</f>
        <v>0</v>
      </c>
    </row>
    <row r="132" spans="1:13" s="7" customFormat="1" ht="16.05" customHeight="1">
      <c r="A132" s="243" t="s">
        <v>85</v>
      </c>
      <c r="B132" s="114" t="str">
        <f>IF(ISNA(VLOOKUP($F132,Declarations!B$6:C$185,2,FALSE)),"",IF(VLOOKUP($F132,Declarations!B$6:C$185,2,FALSE)="","NOT DECLARED",IF(ISNA(_xlfn.TEXTBEFORE(VLOOKUP($F132,Declarations!B$6:C$185,2,FALSE)," ")),VLOOKUP($F132,Declarations!B$6:C$185,2,FALSE),_xlfn.TEXTBEFORE(VLOOKUP($F132,Declarations!B$6:C$185,2,FALSE)," "))))</f>
        <v/>
      </c>
      <c r="C132" s="114" t="str">
        <f>IF(ISNA(VLOOKUP($F132,Declarations!B$6:C$185,2,FALSE)),"",IF(VLOOKUP($F132,Declarations!B$6:C$185,2,FALSE)="","NOT DECLARED",IF(ISNA(_xlfn.TEXTAFTER(VLOOKUP($F132,Declarations!B$6:C$185,2,FALSE)," ")),VLOOKUP($F132,Declarations!B$6:C$185,2,FALSE),_xlfn.TEXTAFTER(VLOOKUP($F132,Declarations!B$6:C$185,2,FALSE)," "))))</f>
        <v/>
      </c>
      <c r="D132" s="114" t="str">
        <f>IF(ISNA(VLOOKUP($F132,Declarations!$B$6:$F$185,5,FALSE)),"",IF(VLOOKUP($F132,Declarations!$B$6:$F$185,5,FALSE)="","NOT DECLARED",VLOOKUP($F132,Declarations!$B$6:$F$185,5,FALSE)))</f>
        <v/>
      </c>
      <c r="E132" s="112" t="str">
        <f>IF(ISNA(VLOOKUP($F132,Declarations!$B$6:$D$185,3,FALSE)),"",IF(VLOOKUP($F132,Declarations!$B$6:$D$185,3,FALSE)="","NOT DECLARED",VLOOKUP($F132,Declarations!$B$6:$D$185,3,FALSE)&amp;LEFT(VLOOKUP($F132,Declarations!$B$6:$E$185,4,FALSE))))</f>
        <v/>
      </c>
      <c r="F132" s="58"/>
      <c r="G132" s="122"/>
      <c r="H132" s="122"/>
      <c r="I132" s="114" t="str">
        <f>IF(ISNA(VLOOKUP(F132,Declarations!B$6:C$185,2,FALSE)),"",IF(VLOOKUP(F132,Declarations!B$6:C$185,2,FALSE)="","NOT DECLARED",VLOOKUP(F132,Declarations!B$6:C$185,2,FALSE)))</f>
        <v/>
      </c>
      <c r="J132" s="112">
        <f>IF(LOWER(G132)="dnf",1,IF(G132&lt;ScoringTable!B$3,ScoringTable!I$2,VLOOKUP((1000-G132),ScoringTable!G$2:I$95,3)))</f>
        <v>0</v>
      </c>
      <c r="K132" s="112" t="str">
        <f>IF(OR(E132="",G132=""),"",IF(RIGHT(E132,1)="G",_xlfn.XLOOKUP(G132,Data!$D$10:$L$10,Data!$D$9:$L$9,"",1,1),_xlfn.XLOOKUP(G132,Data!$D$3:$L$3,Data!$D$2:$L$2,"",1,1)))</f>
        <v/>
      </c>
      <c r="L132" s="160" t="str" cm="1">
        <f t="array" ref="L132">IFERROR(_xlfn.IFNA(
                      _xlfn.IFS(
                      G132="", "",
                      AND(E132="U12B",G132&lt;=Data!$M$3), "U12 Boys record",
                      AND(E132="U12G",G132&lt;=Data!$M$10), "U12 Girls record"
                       ),""), "")</f>
        <v/>
      </c>
      <c r="M132" s="18" cm="1">
        <f t="array" ref="M132">_xlfn.IFS($G132="",0, AND(NOT(ISNUMBER($G132)),LOWER($G132)&lt;&gt;"dnf"),"Not a valid time",OR(LOWER($G132)="dnf",$G132&gt;ScoringTable!$M$161),1,RIGHT($E132,1)="B",_xlfn.XLOOKUP($G132,ScoringTable!$M$2:$M$161,ScoringTable!$L$2:$L$161,,1),TRUE,_xlfn.XLOOKUP($G132,ScoringTable!$S$2:$S$161,ScoringTable!$R$2:$R$161,,1))</f>
        <v>0</v>
      </c>
    </row>
    <row r="133" spans="1:13" s="7" customFormat="1" ht="16.05" customHeight="1">
      <c r="A133" s="243" t="s">
        <v>85</v>
      </c>
      <c r="B133" s="114" t="str">
        <f>IF(ISNA(VLOOKUP($F133,Declarations!B$6:C$185,2,FALSE)),"",IF(VLOOKUP($F133,Declarations!B$6:C$185,2,FALSE)="","NOT DECLARED",IF(ISNA(_xlfn.TEXTBEFORE(VLOOKUP($F133,Declarations!B$6:C$185,2,FALSE)," ")),VLOOKUP($F133,Declarations!B$6:C$185,2,FALSE),_xlfn.TEXTBEFORE(VLOOKUP($F133,Declarations!B$6:C$185,2,FALSE)," "))))</f>
        <v/>
      </c>
      <c r="C133" s="114" t="str">
        <f>IF(ISNA(VLOOKUP($F133,Declarations!B$6:C$185,2,FALSE)),"",IF(VLOOKUP($F133,Declarations!B$6:C$185,2,FALSE)="","NOT DECLARED",IF(ISNA(_xlfn.TEXTAFTER(VLOOKUP($F133,Declarations!B$6:C$185,2,FALSE)," ")),VLOOKUP($F133,Declarations!B$6:C$185,2,FALSE),_xlfn.TEXTAFTER(VLOOKUP($F133,Declarations!B$6:C$185,2,FALSE)," "))))</f>
        <v/>
      </c>
      <c r="D133" s="114" t="str">
        <f>IF(ISNA(VLOOKUP($F133,Declarations!$B$6:$F$185,5,FALSE)),"",IF(VLOOKUP($F133,Declarations!$B$6:$F$185,5,FALSE)="","NOT DECLARED",VLOOKUP($F133,Declarations!$B$6:$F$185,5,FALSE)))</f>
        <v/>
      </c>
      <c r="E133" s="112" t="str">
        <f>IF(ISNA(VLOOKUP($F133,Declarations!$B$6:$D$185,3,FALSE)),"",IF(VLOOKUP($F133,Declarations!$B$6:$D$185,3,FALSE)="","NOT DECLARED",VLOOKUP($F133,Declarations!$B$6:$D$185,3,FALSE)&amp;LEFT(VLOOKUP($F133,Declarations!$B$6:$E$185,4,FALSE))))</f>
        <v/>
      </c>
      <c r="F133" s="58"/>
      <c r="G133" s="122"/>
      <c r="H133" s="122"/>
      <c r="I133" s="114" t="str">
        <f>IF(ISNA(VLOOKUP(F133,Declarations!B$6:C$185,2,FALSE)),"",IF(VLOOKUP(F133,Declarations!B$6:C$185,2,FALSE)="","NOT DECLARED",VLOOKUP(F133,Declarations!B$6:C$185,2,FALSE)))</f>
        <v/>
      </c>
      <c r="J133" s="112">
        <f>IF(LOWER(G133)="dnf",1,IF(G133&lt;ScoringTable!B$3,ScoringTable!I$2,VLOOKUP((1000-G133),ScoringTable!G$2:I$95,3)))</f>
        <v>0</v>
      </c>
      <c r="K133" s="112" t="str">
        <f>IF(OR(E133="",G133=""),"",IF(RIGHT(E133,1)="G",_xlfn.XLOOKUP(G133,Data!$D$10:$L$10,Data!$D$9:$L$9,"",1,1),_xlfn.XLOOKUP(G133,Data!$D$3:$L$3,Data!$D$2:$L$2,"",1,1)))</f>
        <v/>
      </c>
      <c r="L133" s="160" t="str" cm="1">
        <f t="array" ref="L133">IFERROR(_xlfn.IFNA(
                      _xlfn.IFS(
                      G133="", "",
                      AND(E133="U12B",G133&lt;=Data!$M$3), "U12 Boys record",
                      AND(E133="U12G",G133&lt;=Data!$M$10), "U12 Girls record"
                       ),""), "")</f>
        <v/>
      </c>
      <c r="M133" s="18" cm="1">
        <f t="array" ref="M133">_xlfn.IFS($G133="",0, AND(NOT(ISNUMBER($G133)),LOWER($G133)&lt;&gt;"dnf"),"Not a valid time",OR(LOWER($G133)="dnf",$G133&gt;ScoringTable!$M$161),1,RIGHT($E133,1)="B",_xlfn.XLOOKUP($G133,ScoringTable!$M$2:$M$161,ScoringTable!$L$2:$L$161,,1),TRUE,_xlfn.XLOOKUP($G133,ScoringTable!$S$2:$S$161,ScoringTable!$R$2:$R$161,,1))</f>
        <v>0</v>
      </c>
    </row>
    <row r="134" spans="1:13" s="7" customFormat="1" ht="16.05" customHeight="1">
      <c r="A134" s="243" t="s">
        <v>85</v>
      </c>
      <c r="B134" s="114" t="str">
        <f>IF(ISNA(VLOOKUP($F134,Declarations!B$6:C$185,2,FALSE)),"",IF(VLOOKUP($F134,Declarations!B$6:C$185,2,FALSE)="","NOT DECLARED",IF(ISNA(_xlfn.TEXTBEFORE(VLOOKUP($F134,Declarations!B$6:C$185,2,FALSE)," ")),VLOOKUP($F134,Declarations!B$6:C$185,2,FALSE),_xlfn.TEXTBEFORE(VLOOKUP($F134,Declarations!B$6:C$185,2,FALSE)," "))))</f>
        <v/>
      </c>
      <c r="C134" s="114" t="str">
        <f>IF(ISNA(VLOOKUP($F134,Declarations!B$6:C$185,2,FALSE)),"",IF(VLOOKUP($F134,Declarations!B$6:C$185,2,FALSE)="","NOT DECLARED",IF(ISNA(_xlfn.TEXTAFTER(VLOOKUP($F134,Declarations!B$6:C$185,2,FALSE)," ")),VLOOKUP($F134,Declarations!B$6:C$185,2,FALSE),_xlfn.TEXTAFTER(VLOOKUP($F134,Declarations!B$6:C$185,2,FALSE)," "))))</f>
        <v/>
      </c>
      <c r="D134" s="114" t="str">
        <f>IF(ISNA(VLOOKUP($F134,Declarations!$B$6:$F$185,5,FALSE)),"",IF(VLOOKUP($F134,Declarations!$B$6:$F$185,5,FALSE)="","NOT DECLARED",VLOOKUP($F134,Declarations!$B$6:$F$185,5,FALSE)))</f>
        <v/>
      </c>
      <c r="E134" s="112" t="str">
        <f>IF(ISNA(VLOOKUP($F134,Declarations!$B$6:$D$185,3,FALSE)),"",IF(VLOOKUP($F134,Declarations!$B$6:$D$185,3,FALSE)="","NOT DECLARED",VLOOKUP($F134,Declarations!$B$6:$D$185,3,FALSE)&amp;LEFT(VLOOKUP($F134,Declarations!$B$6:$E$185,4,FALSE))))</f>
        <v/>
      </c>
      <c r="F134" s="58"/>
      <c r="G134" s="122"/>
      <c r="H134" s="122"/>
      <c r="I134" s="114" t="str">
        <f>IF(ISNA(VLOOKUP(F134,Declarations!B$6:C$185,2,FALSE)),"",IF(VLOOKUP(F134,Declarations!B$6:C$185,2,FALSE)="","NOT DECLARED",VLOOKUP(F134,Declarations!B$6:C$185,2,FALSE)))</f>
        <v/>
      </c>
      <c r="J134" s="112">
        <f>IF(LOWER(G134)="dnf",1,IF(G134&lt;ScoringTable!B$3,ScoringTable!I$2,VLOOKUP((1000-G134),ScoringTable!G$2:I$95,3)))</f>
        <v>0</v>
      </c>
      <c r="K134" s="112" t="str">
        <f>IF(OR(E134="",G134=""),"",IF(RIGHT(E134,1)="G",_xlfn.XLOOKUP(G134,Data!$D$10:$L$10,Data!$D$9:$L$9,"",1,1),_xlfn.XLOOKUP(G134,Data!$D$3:$L$3,Data!$D$2:$L$2,"",1,1)))</f>
        <v/>
      </c>
      <c r="L134" s="160" t="str" cm="1">
        <f t="array" ref="L134">IFERROR(_xlfn.IFNA(
                      _xlfn.IFS(
                      G134="", "",
                      AND(E134="U12B",G134&lt;=Data!$M$3), "U12 Boys record",
                      AND(E134="U12G",G134&lt;=Data!$M$10), "U12 Girls record"
                       ),""), "")</f>
        <v/>
      </c>
      <c r="M134" s="18" cm="1">
        <f t="array" ref="M134">_xlfn.IFS($G134="",0, AND(NOT(ISNUMBER($G134)),LOWER($G134)&lt;&gt;"dnf"),"Not a valid time",OR(LOWER($G134)="dnf",$G134&gt;ScoringTable!$M$161),1,RIGHT($E134,1)="B",_xlfn.XLOOKUP($G134,ScoringTable!$M$2:$M$161,ScoringTable!$L$2:$L$161,,1),TRUE,_xlfn.XLOOKUP($G134,ScoringTable!$S$2:$S$161,ScoringTable!$R$2:$R$161,,1))</f>
        <v>0</v>
      </c>
    </row>
    <row r="135" spans="1:13" s="7" customFormat="1" ht="16.05" customHeight="1">
      <c r="A135" s="243" t="s">
        <v>85</v>
      </c>
      <c r="B135" s="114" t="str">
        <f>IF(ISNA(VLOOKUP($F135,Declarations!B$6:C$185,2,FALSE)),"",IF(VLOOKUP($F135,Declarations!B$6:C$185,2,FALSE)="","NOT DECLARED",IF(ISNA(_xlfn.TEXTBEFORE(VLOOKUP($F135,Declarations!B$6:C$185,2,FALSE)," ")),VLOOKUP($F135,Declarations!B$6:C$185,2,FALSE),_xlfn.TEXTBEFORE(VLOOKUP($F135,Declarations!B$6:C$185,2,FALSE)," "))))</f>
        <v/>
      </c>
      <c r="C135" s="114" t="str">
        <f>IF(ISNA(VLOOKUP($F135,Declarations!B$6:C$185,2,FALSE)),"",IF(VLOOKUP($F135,Declarations!B$6:C$185,2,FALSE)="","NOT DECLARED",IF(ISNA(_xlfn.TEXTAFTER(VLOOKUP($F135,Declarations!B$6:C$185,2,FALSE)," ")),VLOOKUP($F135,Declarations!B$6:C$185,2,FALSE),_xlfn.TEXTAFTER(VLOOKUP($F135,Declarations!B$6:C$185,2,FALSE)," "))))</f>
        <v/>
      </c>
      <c r="D135" s="114" t="str">
        <f>IF(ISNA(VLOOKUP($F135,Declarations!$B$6:$F$185,5,FALSE)),"",IF(VLOOKUP($F135,Declarations!$B$6:$F$185,5,FALSE)="","NOT DECLARED",VLOOKUP($F135,Declarations!$B$6:$F$185,5,FALSE)))</f>
        <v/>
      </c>
      <c r="E135" s="112" t="str">
        <f>IF(ISNA(VLOOKUP($F135,Declarations!$B$6:$D$185,3,FALSE)),"",IF(VLOOKUP($F135,Declarations!$B$6:$D$185,3,FALSE)="","NOT DECLARED",VLOOKUP($F135,Declarations!$B$6:$D$185,3,FALSE)&amp;LEFT(VLOOKUP($F135,Declarations!$B$6:$E$185,4,FALSE))))</f>
        <v/>
      </c>
      <c r="F135" s="58"/>
      <c r="G135" s="122"/>
      <c r="H135" s="122"/>
      <c r="I135" s="114" t="str">
        <f>IF(ISNA(VLOOKUP(F135,Declarations!B$6:C$185,2,FALSE)),"",IF(VLOOKUP(F135,Declarations!B$6:C$185,2,FALSE)="","NOT DECLARED",VLOOKUP(F135,Declarations!B$6:C$185,2,FALSE)))</f>
        <v/>
      </c>
      <c r="J135" s="112">
        <f>IF(LOWER(G135)="dnf",1,IF(G135&lt;ScoringTable!B$3,ScoringTable!I$2,VLOOKUP((1000-G135),ScoringTable!G$2:I$95,3)))</f>
        <v>0</v>
      </c>
      <c r="K135" s="112" t="str">
        <f>IF(OR(E135="",G135=""),"",IF(RIGHT(E135,1)="G",_xlfn.XLOOKUP(G135,Data!$D$10:$L$10,Data!$D$9:$L$9,"",1,1),_xlfn.XLOOKUP(G135,Data!$D$3:$L$3,Data!$D$2:$L$2,"",1,1)))</f>
        <v/>
      </c>
      <c r="L135" s="160" t="str" cm="1">
        <f t="array" ref="L135">IFERROR(_xlfn.IFNA(
                      _xlfn.IFS(
                      G135="", "",
                      AND(E135="U12B",G135&lt;=Data!$M$3), "U12 Boys record",
                      AND(E135="U12G",G135&lt;=Data!$M$10), "U12 Girls record"
                       ),""), "")</f>
        <v/>
      </c>
      <c r="M135" s="18" cm="1">
        <f t="array" ref="M135">_xlfn.IFS($G135="",0, AND(NOT(ISNUMBER($G135)),LOWER($G135)&lt;&gt;"dnf"),"Not a valid time",OR(LOWER($G135)="dnf",$G135&gt;ScoringTable!$M$161),1,RIGHT($E135,1)="B",_xlfn.XLOOKUP($G135,ScoringTable!$M$2:$M$161,ScoringTable!$L$2:$L$161,,1),TRUE,_xlfn.XLOOKUP($G135,ScoringTable!$S$2:$S$161,ScoringTable!$R$2:$R$161,,1))</f>
        <v>0</v>
      </c>
    </row>
    <row r="136" spans="1:13" s="7" customFormat="1" ht="16.05" customHeight="1">
      <c r="A136" s="243" t="s">
        <v>85</v>
      </c>
      <c r="B136" s="114" t="str">
        <f>IF(ISNA(VLOOKUP($F136,Declarations!B$6:C$185,2,FALSE)),"",IF(VLOOKUP($F136,Declarations!B$6:C$185,2,FALSE)="","NOT DECLARED",IF(ISNA(_xlfn.TEXTBEFORE(VLOOKUP($F136,Declarations!B$6:C$185,2,FALSE)," ")),VLOOKUP($F136,Declarations!B$6:C$185,2,FALSE),_xlfn.TEXTBEFORE(VLOOKUP($F136,Declarations!B$6:C$185,2,FALSE)," "))))</f>
        <v/>
      </c>
      <c r="C136" s="114" t="str">
        <f>IF(ISNA(VLOOKUP($F136,Declarations!B$6:C$185,2,FALSE)),"",IF(VLOOKUP($F136,Declarations!B$6:C$185,2,FALSE)="","NOT DECLARED",IF(ISNA(_xlfn.TEXTAFTER(VLOOKUP($F136,Declarations!B$6:C$185,2,FALSE)," ")),VLOOKUP($F136,Declarations!B$6:C$185,2,FALSE),_xlfn.TEXTAFTER(VLOOKUP($F136,Declarations!B$6:C$185,2,FALSE)," "))))</f>
        <v/>
      </c>
      <c r="D136" s="114" t="str">
        <f>IF(ISNA(VLOOKUP($F136,Declarations!$B$6:$F$185,5,FALSE)),"",IF(VLOOKUP($F136,Declarations!$B$6:$F$185,5,FALSE)="","NOT DECLARED",VLOOKUP($F136,Declarations!$B$6:$F$185,5,FALSE)))</f>
        <v/>
      </c>
      <c r="E136" s="112" t="str">
        <f>IF(ISNA(VLOOKUP($F136,Declarations!$B$6:$D$185,3,FALSE)),"",IF(VLOOKUP($F136,Declarations!$B$6:$D$185,3,FALSE)="","NOT DECLARED",VLOOKUP($F136,Declarations!$B$6:$D$185,3,FALSE)&amp;LEFT(VLOOKUP($F136,Declarations!$B$6:$E$185,4,FALSE))))</f>
        <v/>
      </c>
      <c r="F136" s="58"/>
      <c r="G136" s="122"/>
      <c r="H136" s="122"/>
      <c r="I136" s="114" t="str">
        <f>IF(ISNA(VLOOKUP(F136,Declarations!B$6:C$185,2,FALSE)),"",IF(VLOOKUP(F136,Declarations!B$6:C$185,2,FALSE)="","NOT DECLARED",VLOOKUP(F136,Declarations!B$6:C$185,2,FALSE)))</f>
        <v/>
      </c>
      <c r="J136" s="112">
        <f>IF(LOWER(G136)="dnf",1,IF(G136&lt;ScoringTable!B$3,ScoringTable!I$2,VLOOKUP((1000-G136),ScoringTable!G$2:I$95,3)))</f>
        <v>0</v>
      </c>
      <c r="K136" s="112" t="str">
        <f>IF(OR(E136="",G136=""),"",IF(RIGHT(E136,1)="G",_xlfn.XLOOKUP(G136,Data!$D$10:$L$10,Data!$D$9:$L$9,"",1,1),_xlfn.XLOOKUP(G136,Data!$D$3:$L$3,Data!$D$2:$L$2,"",1,1)))</f>
        <v/>
      </c>
      <c r="L136" s="160" t="str" cm="1">
        <f t="array" ref="L136">IFERROR(_xlfn.IFNA(
                      _xlfn.IFS(
                      G136="", "",
                      AND(E136="U12B",G136&lt;=Data!$M$3), "U12 Boys record",
                      AND(E136="U12G",G136&lt;=Data!$M$10), "U12 Girls record"
                       ),""), "")</f>
        <v/>
      </c>
      <c r="M136" s="18" cm="1">
        <f t="array" ref="M136">_xlfn.IFS($G136="",0, AND(NOT(ISNUMBER($G136)),LOWER($G136)&lt;&gt;"dnf"),"Not a valid time",OR(LOWER($G136)="dnf",$G136&gt;ScoringTable!$M$161),1,RIGHT($E136,1)="B",_xlfn.XLOOKUP($G136,ScoringTable!$M$2:$M$161,ScoringTable!$L$2:$L$161,,1),TRUE,_xlfn.XLOOKUP($G136,ScoringTable!$S$2:$S$161,ScoringTable!$R$2:$R$161,,1))</f>
        <v>0</v>
      </c>
    </row>
    <row r="137" spans="1:13" s="7" customFormat="1" ht="16.05" customHeight="1">
      <c r="A137" s="243" t="s">
        <v>85</v>
      </c>
      <c r="B137" s="114" t="str">
        <f>IF(ISNA(VLOOKUP($F137,Declarations!B$6:C$185,2,FALSE)),"",IF(VLOOKUP($F137,Declarations!B$6:C$185,2,FALSE)="","NOT DECLARED",IF(ISNA(_xlfn.TEXTBEFORE(VLOOKUP($F137,Declarations!B$6:C$185,2,FALSE)," ")),VLOOKUP($F137,Declarations!B$6:C$185,2,FALSE),_xlfn.TEXTBEFORE(VLOOKUP($F137,Declarations!B$6:C$185,2,FALSE)," "))))</f>
        <v/>
      </c>
      <c r="C137" s="114" t="str">
        <f>IF(ISNA(VLOOKUP($F137,Declarations!B$6:C$185,2,FALSE)),"",IF(VLOOKUP($F137,Declarations!B$6:C$185,2,FALSE)="","NOT DECLARED",IF(ISNA(_xlfn.TEXTAFTER(VLOOKUP($F137,Declarations!B$6:C$185,2,FALSE)," ")),VLOOKUP($F137,Declarations!B$6:C$185,2,FALSE),_xlfn.TEXTAFTER(VLOOKUP($F137,Declarations!B$6:C$185,2,FALSE)," "))))</f>
        <v/>
      </c>
      <c r="D137" s="114" t="str">
        <f>IF(ISNA(VLOOKUP($F137,Declarations!$B$6:$F$185,5,FALSE)),"",IF(VLOOKUP($F137,Declarations!$B$6:$F$185,5,FALSE)="","NOT DECLARED",VLOOKUP($F137,Declarations!$B$6:$F$185,5,FALSE)))</f>
        <v/>
      </c>
      <c r="E137" s="112" t="str">
        <f>IF(ISNA(VLOOKUP($F137,Declarations!$B$6:$D$185,3,FALSE)),"",IF(VLOOKUP($F137,Declarations!$B$6:$D$185,3,FALSE)="","NOT DECLARED",VLOOKUP($F137,Declarations!$B$6:$D$185,3,FALSE)&amp;LEFT(VLOOKUP($F137,Declarations!$B$6:$E$185,4,FALSE))))</f>
        <v/>
      </c>
      <c r="F137" s="58"/>
      <c r="G137" s="122"/>
      <c r="H137" s="122"/>
      <c r="I137" s="114" t="str">
        <f>IF(ISNA(VLOOKUP(F137,Declarations!B$6:C$185,2,FALSE)),"",IF(VLOOKUP(F137,Declarations!B$6:C$185,2,FALSE)="","NOT DECLARED",VLOOKUP(F137,Declarations!B$6:C$185,2,FALSE)))</f>
        <v/>
      </c>
      <c r="J137" s="112">
        <f>IF(LOWER(G137)="dnf",1,IF(G137&lt;ScoringTable!B$3,ScoringTable!I$2,VLOOKUP((1000-G137),ScoringTable!G$2:I$95,3)))</f>
        <v>0</v>
      </c>
      <c r="K137" s="112" t="str">
        <f>IF(OR(E137="",G137=""),"",IF(RIGHT(E137,1)="G",_xlfn.XLOOKUP(G137,Data!$D$10:$L$10,Data!$D$9:$L$9,"",1,1),_xlfn.XLOOKUP(G137,Data!$D$3:$L$3,Data!$D$2:$L$2,"",1,1)))</f>
        <v/>
      </c>
      <c r="L137" s="160" t="str" cm="1">
        <f t="array" ref="L137">IFERROR(_xlfn.IFNA(
                      _xlfn.IFS(
                      G137="", "",
                      AND(E137="U12B",G137&lt;=Data!$M$3), "U12 Boys record",
                      AND(E137="U12G",G137&lt;=Data!$M$10), "U12 Girls record"
                       ),""), "")</f>
        <v/>
      </c>
      <c r="M137" s="18" cm="1">
        <f t="array" ref="M137">_xlfn.IFS($G137="",0, AND(NOT(ISNUMBER($G137)),LOWER($G137)&lt;&gt;"dnf"),"Not a valid time",OR(LOWER($G137)="dnf",$G137&gt;ScoringTable!$M$161),1,RIGHT($E137,1)="B",_xlfn.XLOOKUP($G137,ScoringTable!$M$2:$M$161,ScoringTable!$L$2:$L$161,,1),TRUE,_xlfn.XLOOKUP($G137,ScoringTable!$S$2:$S$161,ScoringTable!$R$2:$R$161,,1))</f>
        <v>0</v>
      </c>
    </row>
    <row r="138" spans="1:13" s="7" customFormat="1" ht="16.05" customHeight="1">
      <c r="A138" s="243" t="s">
        <v>85</v>
      </c>
      <c r="B138" s="114" t="str">
        <f>IF(ISNA(VLOOKUP($F138,Declarations!B$6:C$185,2,FALSE)),"",IF(VLOOKUP($F138,Declarations!B$6:C$185,2,FALSE)="","NOT DECLARED",IF(ISNA(_xlfn.TEXTBEFORE(VLOOKUP($F138,Declarations!B$6:C$185,2,FALSE)," ")),VLOOKUP($F138,Declarations!B$6:C$185,2,FALSE),_xlfn.TEXTBEFORE(VLOOKUP($F138,Declarations!B$6:C$185,2,FALSE)," "))))</f>
        <v/>
      </c>
      <c r="C138" s="114" t="str">
        <f>IF(ISNA(VLOOKUP($F138,Declarations!B$6:C$185,2,FALSE)),"",IF(VLOOKUP($F138,Declarations!B$6:C$185,2,FALSE)="","NOT DECLARED",IF(ISNA(_xlfn.TEXTAFTER(VLOOKUP($F138,Declarations!B$6:C$185,2,FALSE)," ")),VLOOKUP($F138,Declarations!B$6:C$185,2,FALSE),_xlfn.TEXTAFTER(VLOOKUP($F138,Declarations!B$6:C$185,2,FALSE)," "))))</f>
        <v/>
      </c>
      <c r="D138" s="114" t="str">
        <f>IF(ISNA(VLOOKUP($F138,Declarations!$B$6:$F$185,5,FALSE)),"",IF(VLOOKUP($F138,Declarations!$B$6:$F$185,5,FALSE)="","NOT DECLARED",VLOOKUP($F138,Declarations!$B$6:$F$185,5,FALSE)))</f>
        <v/>
      </c>
      <c r="E138" s="112" t="str">
        <f>IF(ISNA(VLOOKUP($F138,Declarations!$B$6:$D$185,3,FALSE)),"",IF(VLOOKUP($F138,Declarations!$B$6:$D$185,3,FALSE)="","NOT DECLARED",VLOOKUP($F138,Declarations!$B$6:$D$185,3,FALSE)&amp;LEFT(VLOOKUP($F138,Declarations!$B$6:$E$185,4,FALSE))))</f>
        <v/>
      </c>
      <c r="F138" s="58"/>
      <c r="G138" s="122"/>
      <c r="H138" s="122"/>
      <c r="I138" s="114" t="str">
        <f>IF(ISNA(VLOOKUP(F138,Declarations!B$6:C$185,2,FALSE)),"",IF(VLOOKUP(F138,Declarations!B$6:C$185,2,FALSE)="","NOT DECLARED",VLOOKUP(F138,Declarations!B$6:C$185,2,FALSE)))</f>
        <v/>
      </c>
      <c r="J138" s="112">
        <f>IF(LOWER(G138)="dnf",1,IF(G138&lt;ScoringTable!B$3,ScoringTable!I$2,VLOOKUP((1000-G138),ScoringTable!G$2:I$95,3)))</f>
        <v>0</v>
      </c>
      <c r="K138" s="112" t="str">
        <f>IF(OR(E138="",G138=""),"",IF(RIGHT(E138,1)="G",_xlfn.XLOOKUP(G138,Data!$D$10:$L$10,Data!$D$9:$L$9,"",1,1),_xlfn.XLOOKUP(G138,Data!$D$3:$L$3,Data!$D$2:$L$2,"",1,1)))</f>
        <v/>
      </c>
      <c r="L138" s="160" t="str" cm="1">
        <f t="array" ref="L138">IFERROR(_xlfn.IFNA(
                      _xlfn.IFS(
                      G138="", "",
                      AND(E138="U12B",G138&lt;=Data!$M$3), "U12 Boys record",
                      AND(E138="U12G",G138&lt;=Data!$M$10), "U12 Girls record"
                       ),""), "")</f>
        <v/>
      </c>
      <c r="M138" s="18" cm="1">
        <f t="array" ref="M138">_xlfn.IFS($G138="",0, AND(NOT(ISNUMBER($G138)),LOWER($G138)&lt;&gt;"dnf"),"Not a valid time",OR(LOWER($G138)="dnf",$G138&gt;ScoringTable!$M$161),1,RIGHT($E138,1)="B",_xlfn.XLOOKUP($G138,ScoringTable!$M$2:$M$161,ScoringTable!$L$2:$L$161,,1),TRUE,_xlfn.XLOOKUP($G138,ScoringTable!$S$2:$S$161,ScoringTable!$R$2:$R$161,,1))</f>
        <v>0</v>
      </c>
    </row>
    <row r="139" spans="1:13" s="7" customFormat="1" ht="16.05" customHeight="1">
      <c r="A139" s="243" t="s">
        <v>85</v>
      </c>
      <c r="B139" s="114" t="str">
        <f>IF(ISNA(VLOOKUP($F139,Declarations!B$6:C$185,2,FALSE)),"",IF(VLOOKUP($F139,Declarations!B$6:C$185,2,FALSE)="","NOT DECLARED",IF(ISNA(_xlfn.TEXTBEFORE(VLOOKUP($F139,Declarations!B$6:C$185,2,FALSE)," ")),VLOOKUP($F139,Declarations!B$6:C$185,2,FALSE),_xlfn.TEXTBEFORE(VLOOKUP($F139,Declarations!B$6:C$185,2,FALSE)," "))))</f>
        <v/>
      </c>
      <c r="C139" s="114" t="str">
        <f>IF(ISNA(VLOOKUP($F139,Declarations!B$6:C$185,2,FALSE)),"",IF(VLOOKUP($F139,Declarations!B$6:C$185,2,FALSE)="","NOT DECLARED",IF(ISNA(_xlfn.TEXTAFTER(VLOOKUP($F139,Declarations!B$6:C$185,2,FALSE)," ")),VLOOKUP($F139,Declarations!B$6:C$185,2,FALSE),_xlfn.TEXTAFTER(VLOOKUP($F139,Declarations!B$6:C$185,2,FALSE)," "))))</f>
        <v/>
      </c>
      <c r="D139" s="114" t="str">
        <f>IF(ISNA(VLOOKUP($F139,Declarations!$B$6:$F$185,5,FALSE)),"",IF(VLOOKUP($F139,Declarations!$B$6:$F$185,5,FALSE)="","NOT DECLARED",VLOOKUP($F139,Declarations!$B$6:$F$185,5,FALSE)))</f>
        <v/>
      </c>
      <c r="E139" s="112" t="str">
        <f>IF(ISNA(VLOOKUP($F139,Declarations!$B$6:$D$185,3,FALSE)),"",IF(VLOOKUP($F139,Declarations!$B$6:$D$185,3,FALSE)="","NOT DECLARED",VLOOKUP($F139,Declarations!$B$6:$D$185,3,FALSE)&amp;LEFT(VLOOKUP($F139,Declarations!$B$6:$E$185,4,FALSE))))</f>
        <v/>
      </c>
      <c r="F139" s="58"/>
      <c r="G139" s="122"/>
      <c r="H139" s="122"/>
      <c r="I139" s="114" t="str">
        <f>IF(ISNA(VLOOKUP(F139,Declarations!B$6:C$185,2,FALSE)),"",IF(VLOOKUP(F139,Declarations!B$6:C$185,2,FALSE)="","NOT DECLARED",VLOOKUP(F139,Declarations!B$6:C$185,2,FALSE)))</f>
        <v/>
      </c>
      <c r="J139" s="112">
        <f>IF(LOWER(G139)="dnf",1,IF(G139&lt;ScoringTable!B$3,ScoringTable!I$2,VLOOKUP((1000-G139),ScoringTable!G$2:I$95,3)))</f>
        <v>0</v>
      </c>
      <c r="K139" s="112" t="str">
        <f>IF(OR(E139="",G139=""),"",IF(RIGHT(E139,1)="G",_xlfn.XLOOKUP(G139,Data!$D$10:$L$10,Data!$D$9:$L$9,"",1,1),_xlfn.XLOOKUP(G139,Data!$D$3:$L$3,Data!$D$2:$L$2,"",1,1)))</f>
        <v/>
      </c>
      <c r="L139" s="160" t="str" cm="1">
        <f t="array" ref="L139">IFERROR(_xlfn.IFNA(
                      _xlfn.IFS(
                      G139="", "",
                      AND(E139="U12B",G139&lt;=Data!$M$3), "U12 Boys record",
                      AND(E139="U12G",G139&lt;=Data!$M$10), "U12 Girls record"
                       ),""), "")</f>
        <v/>
      </c>
      <c r="M139" s="18" cm="1">
        <f t="array" ref="M139">_xlfn.IFS($G139="",0, AND(NOT(ISNUMBER($G139)),LOWER($G139)&lt;&gt;"dnf"),"Not a valid time",OR(LOWER($G139)="dnf",$G139&gt;ScoringTable!$M$161),1,RIGHT($E139,1)="B",_xlfn.XLOOKUP($G139,ScoringTable!$M$2:$M$161,ScoringTable!$L$2:$L$161,,1),TRUE,_xlfn.XLOOKUP($G139,ScoringTable!$S$2:$S$161,ScoringTable!$R$2:$R$161,,1))</f>
        <v>0</v>
      </c>
    </row>
    <row r="140" spans="1:13" s="7" customFormat="1" ht="16.05" customHeight="1">
      <c r="A140" s="243" t="s">
        <v>85</v>
      </c>
      <c r="B140" s="114" t="str">
        <f>IF(ISNA(VLOOKUP($F140,Declarations!B$6:C$185,2,FALSE)),"",IF(VLOOKUP($F140,Declarations!B$6:C$185,2,FALSE)="","NOT DECLARED",IF(ISNA(_xlfn.TEXTBEFORE(VLOOKUP($F140,Declarations!B$6:C$185,2,FALSE)," ")),VLOOKUP($F140,Declarations!B$6:C$185,2,FALSE),_xlfn.TEXTBEFORE(VLOOKUP($F140,Declarations!B$6:C$185,2,FALSE)," "))))</f>
        <v/>
      </c>
      <c r="C140" s="114" t="str">
        <f>IF(ISNA(VLOOKUP($F140,Declarations!B$6:C$185,2,FALSE)),"",IF(VLOOKUP($F140,Declarations!B$6:C$185,2,FALSE)="","NOT DECLARED",IF(ISNA(_xlfn.TEXTAFTER(VLOOKUP($F140,Declarations!B$6:C$185,2,FALSE)," ")),VLOOKUP($F140,Declarations!B$6:C$185,2,FALSE),_xlfn.TEXTAFTER(VLOOKUP($F140,Declarations!B$6:C$185,2,FALSE)," "))))</f>
        <v/>
      </c>
      <c r="D140" s="114" t="str">
        <f>IF(ISNA(VLOOKUP($F140,Declarations!$B$6:$F$185,5,FALSE)),"",IF(VLOOKUP($F140,Declarations!$B$6:$F$185,5,FALSE)="","NOT DECLARED",VLOOKUP($F140,Declarations!$B$6:$F$185,5,FALSE)))</f>
        <v/>
      </c>
      <c r="E140" s="112" t="str">
        <f>IF(ISNA(VLOOKUP($F140,Declarations!$B$6:$D$185,3,FALSE)),"",IF(VLOOKUP($F140,Declarations!$B$6:$D$185,3,FALSE)="","NOT DECLARED",VLOOKUP($F140,Declarations!$B$6:$D$185,3,FALSE)&amp;LEFT(VLOOKUP($F140,Declarations!$B$6:$E$185,4,FALSE))))</f>
        <v/>
      </c>
      <c r="F140" s="58"/>
      <c r="G140" s="122"/>
      <c r="H140" s="122"/>
      <c r="I140" s="114" t="str">
        <f>IF(ISNA(VLOOKUP(F140,Declarations!B$6:C$185,2,FALSE)),"",IF(VLOOKUP(F140,Declarations!B$6:C$185,2,FALSE)="","NOT DECLARED",VLOOKUP(F140,Declarations!B$6:C$185,2,FALSE)))</f>
        <v/>
      </c>
      <c r="J140" s="112">
        <f>IF(LOWER(G140)="dnf",1,IF(G140&lt;ScoringTable!B$3,ScoringTable!I$2,VLOOKUP((1000-G140),ScoringTable!G$2:I$95,3)))</f>
        <v>0</v>
      </c>
      <c r="K140" s="112" t="str">
        <f>IF(OR(E140="",G140=""),"",IF(RIGHT(E140,1)="G",_xlfn.XLOOKUP(G140,Data!$D$10:$L$10,Data!$D$9:$L$9,"",1,1),_xlfn.XLOOKUP(G140,Data!$D$3:$L$3,Data!$D$2:$L$2,"",1,1)))</f>
        <v/>
      </c>
      <c r="L140" s="160" t="str" cm="1">
        <f t="array" ref="L140">IFERROR(_xlfn.IFNA(
                      _xlfn.IFS(
                      G140="", "",
                      AND(E140="U12B",G140&lt;=Data!$M$3), "U12 Boys record",
                      AND(E140="U12G",G140&lt;=Data!$M$10), "U12 Girls record"
                       ),""), "")</f>
        <v/>
      </c>
      <c r="M140" s="18" cm="1">
        <f t="array" ref="M140">_xlfn.IFS($G140="",0, AND(NOT(ISNUMBER($G140)),LOWER($G140)&lt;&gt;"dnf"),"Not a valid time",OR(LOWER($G140)="dnf",$G140&gt;ScoringTable!$M$161),1,RIGHT($E140,1)="B",_xlfn.XLOOKUP($G140,ScoringTable!$M$2:$M$161,ScoringTable!$L$2:$L$161,,1),TRUE,_xlfn.XLOOKUP($G140,ScoringTable!$S$2:$S$161,ScoringTable!$R$2:$R$161,,1))</f>
        <v>0</v>
      </c>
    </row>
    <row r="141" spans="1:13" s="7" customFormat="1" ht="16.05" customHeight="1">
      <c r="A141" s="243" t="s">
        <v>85</v>
      </c>
      <c r="B141" s="114" t="str">
        <f>IF(ISNA(VLOOKUP($F141,Declarations!B$6:C$185,2,FALSE)),"",IF(VLOOKUP($F141,Declarations!B$6:C$185,2,FALSE)="","NOT DECLARED",IF(ISNA(_xlfn.TEXTBEFORE(VLOOKUP($F141,Declarations!B$6:C$185,2,FALSE)," ")),VLOOKUP($F141,Declarations!B$6:C$185,2,FALSE),_xlfn.TEXTBEFORE(VLOOKUP($F141,Declarations!B$6:C$185,2,FALSE)," "))))</f>
        <v/>
      </c>
      <c r="C141" s="114" t="str">
        <f>IF(ISNA(VLOOKUP($F141,Declarations!B$6:C$185,2,FALSE)),"",IF(VLOOKUP($F141,Declarations!B$6:C$185,2,FALSE)="","NOT DECLARED",IF(ISNA(_xlfn.TEXTAFTER(VLOOKUP($F141,Declarations!B$6:C$185,2,FALSE)," ")),VLOOKUP($F141,Declarations!B$6:C$185,2,FALSE),_xlfn.TEXTAFTER(VLOOKUP($F141,Declarations!B$6:C$185,2,FALSE)," "))))</f>
        <v/>
      </c>
      <c r="D141" s="114" t="str">
        <f>IF(ISNA(VLOOKUP($F141,Declarations!$B$6:$F$185,5,FALSE)),"",IF(VLOOKUP($F141,Declarations!$B$6:$F$185,5,FALSE)="","NOT DECLARED",VLOOKUP($F141,Declarations!$B$6:$F$185,5,FALSE)))</f>
        <v/>
      </c>
      <c r="E141" s="112" t="str">
        <f>IF(ISNA(VLOOKUP($F141,Declarations!$B$6:$D$185,3,FALSE)),"",IF(VLOOKUP($F141,Declarations!$B$6:$D$185,3,FALSE)="","NOT DECLARED",VLOOKUP($F141,Declarations!$B$6:$D$185,3,FALSE)&amp;LEFT(VLOOKUP($F141,Declarations!$B$6:$E$185,4,FALSE))))</f>
        <v/>
      </c>
      <c r="F141" s="58"/>
      <c r="G141" s="122"/>
      <c r="H141" s="122"/>
      <c r="I141" s="114" t="str">
        <f>IF(ISNA(VLOOKUP(F141,Declarations!B$6:C$185,2,FALSE)),"",IF(VLOOKUP(F141,Declarations!B$6:C$185,2,FALSE)="","NOT DECLARED",VLOOKUP(F141,Declarations!B$6:C$185,2,FALSE)))</f>
        <v/>
      </c>
      <c r="J141" s="112">
        <f>IF(LOWER(G141)="dnf",1,IF(G141&lt;ScoringTable!B$3,ScoringTable!I$2,VLOOKUP((1000-G141),ScoringTable!G$2:I$95,3)))</f>
        <v>0</v>
      </c>
      <c r="K141" s="112" t="str">
        <f>IF(OR(E141="",G141=""),"",IF(RIGHT(E141,1)="G",_xlfn.XLOOKUP(G141,Data!$D$10:$L$10,Data!$D$9:$L$9,"",1,1),_xlfn.XLOOKUP(G141,Data!$D$3:$L$3,Data!$D$2:$L$2,"",1,1)))</f>
        <v/>
      </c>
      <c r="L141" s="160" t="str" cm="1">
        <f t="array" ref="L141">IFERROR(_xlfn.IFNA(
                      _xlfn.IFS(
                      G141="", "",
                      AND(E141="U12B",G141&lt;=Data!$M$3), "U12 Boys record",
                      AND(E141="U12G",G141&lt;=Data!$M$10), "U12 Girls record"
                       ),""), "")</f>
        <v/>
      </c>
      <c r="M141" s="18" cm="1">
        <f t="array" ref="M141">_xlfn.IFS($G141="",0, AND(NOT(ISNUMBER($G141)),LOWER($G141)&lt;&gt;"dnf"),"Not a valid time",OR(LOWER($G141)="dnf",$G141&gt;ScoringTable!$M$161),1,RIGHT($E141,1)="B",_xlfn.XLOOKUP($G141,ScoringTable!$M$2:$M$161,ScoringTable!$L$2:$L$161,,1),TRUE,_xlfn.XLOOKUP($G141,ScoringTable!$S$2:$S$161,ScoringTable!$R$2:$R$161,,1))</f>
        <v>0</v>
      </c>
    </row>
    <row r="142" spans="1:13" s="7" customFormat="1" ht="16.05" customHeight="1">
      <c r="A142" s="243" t="s">
        <v>85</v>
      </c>
      <c r="B142" s="114" t="str">
        <f>IF(ISNA(VLOOKUP($F142,Declarations!B$6:C$185,2,FALSE)),"",IF(VLOOKUP($F142,Declarations!B$6:C$185,2,FALSE)="","NOT DECLARED",IF(ISNA(_xlfn.TEXTBEFORE(VLOOKUP($F142,Declarations!B$6:C$185,2,FALSE)," ")),VLOOKUP($F142,Declarations!B$6:C$185,2,FALSE),_xlfn.TEXTBEFORE(VLOOKUP($F142,Declarations!B$6:C$185,2,FALSE)," "))))</f>
        <v/>
      </c>
      <c r="C142" s="114" t="str">
        <f>IF(ISNA(VLOOKUP($F142,Declarations!B$6:C$185,2,FALSE)),"",IF(VLOOKUP($F142,Declarations!B$6:C$185,2,FALSE)="","NOT DECLARED",IF(ISNA(_xlfn.TEXTAFTER(VLOOKUP($F142,Declarations!B$6:C$185,2,FALSE)," ")),VLOOKUP($F142,Declarations!B$6:C$185,2,FALSE),_xlfn.TEXTAFTER(VLOOKUP($F142,Declarations!B$6:C$185,2,FALSE)," "))))</f>
        <v/>
      </c>
      <c r="D142" s="114" t="str">
        <f>IF(ISNA(VLOOKUP($F142,Declarations!$B$6:$F$185,5,FALSE)),"",IF(VLOOKUP($F142,Declarations!$B$6:$F$185,5,FALSE)="","NOT DECLARED",VLOOKUP($F142,Declarations!$B$6:$F$185,5,FALSE)))</f>
        <v/>
      </c>
      <c r="E142" s="112" t="str">
        <f>IF(ISNA(VLOOKUP($F142,Declarations!$B$6:$D$185,3,FALSE)),"",IF(VLOOKUP($F142,Declarations!$B$6:$D$185,3,FALSE)="","NOT DECLARED",VLOOKUP($F142,Declarations!$B$6:$D$185,3,FALSE)&amp;LEFT(VLOOKUP($F142,Declarations!$B$6:$E$185,4,FALSE))))</f>
        <v/>
      </c>
      <c r="F142" s="58"/>
      <c r="G142" s="122"/>
      <c r="H142" s="122"/>
      <c r="I142" s="114" t="str">
        <f>IF(ISNA(VLOOKUP(F142,Declarations!B$6:C$185,2,FALSE)),"",IF(VLOOKUP(F142,Declarations!B$6:C$185,2,FALSE)="","NOT DECLARED",VLOOKUP(F142,Declarations!B$6:C$185,2,FALSE)))</f>
        <v/>
      </c>
      <c r="J142" s="112">
        <f>IF(LOWER(G142)="dnf",1,IF(G142&lt;ScoringTable!B$3,ScoringTable!I$2,VLOOKUP((1000-G142),ScoringTable!G$2:I$95,3)))</f>
        <v>0</v>
      </c>
      <c r="K142" s="112" t="str">
        <f>IF(OR(E142="",G142=""),"",IF(RIGHT(E142,1)="G",_xlfn.XLOOKUP(G142,Data!$D$10:$L$10,Data!$D$9:$L$9,"",1,1),_xlfn.XLOOKUP(G142,Data!$D$3:$L$3,Data!$D$2:$L$2,"",1,1)))</f>
        <v/>
      </c>
      <c r="L142" s="160" t="str" cm="1">
        <f t="array" ref="L142">IFERROR(_xlfn.IFNA(
                      _xlfn.IFS(
                      G142="", "",
                      AND(E142="U12B",G142&lt;=Data!$M$3), "U12 Boys record",
                      AND(E142="U12G",G142&lt;=Data!$M$10), "U12 Girls record"
                       ),""), "")</f>
        <v/>
      </c>
      <c r="M142" s="18" cm="1">
        <f t="array" ref="M142">_xlfn.IFS($G142="",0, AND(NOT(ISNUMBER($G142)),LOWER($G142)&lt;&gt;"dnf"),"Not a valid time",OR(LOWER($G142)="dnf",$G142&gt;ScoringTable!$M$161),1,RIGHT($E142,1)="B",_xlfn.XLOOKUP($G142,ScoringTable!$M$2:$M$161,ScoringTable!$L$2:$L$161,,1),TRUE,_xlfn.XLOOKUP($G142,ScoringTable!$S$2:$S$161,ScoringTable!$R$2:$R$161,,1))</f>
        <v>0</v>
      </c>
    </row>
    <row r="143" spans="1:13" s="7" customFormat="1" ht="16.05" customHeight="1">
      <c r="A143" s="243" t="s">
        <v>85</v>
      </c>
      <c r="B143" s="114" t="str">
        <f>IF(ISNA(VLOOKUP($F143,Declarations!B$6:C$185,2,FALSE)),"",IF(VLOOKUP($F143,Declarations!B$6:C$185,2,FALSE)="","NOT DECLARED",IF(ISNA(_xlfn.TEXTBEFORE(VLOOKUP($F143,Declarations!B$6:C$185,2,FALSE)," ")),VLOOKUP($F143,Declarations!B$6:C$185,2,FALSE),_xlfn.TEXTBEFORE(VLOOKUP($F143,Declarations!B$6:C$185,2,FALSE)," "))))</f>
        <v/>
      </c>
      <c r="C143" s="114" t="str">
        <f>IF(ISNA(VLOOKUP($F143,Declarations!B$6:C$185,2,FALSE)),"",IF(VLOOKUP($F143,Declarations!B$6:C$185,2,FALSE)="","NOT DECLARED",IF(ISNA(_xlfn.TEXTAFTER(VLOOKUP($F143,Declarations!B$6:C$185,2,FALSE)," ")),VLOOKUP($F143,Declarations!B$6:C$185,2,FALSE),_xlfn.TEXTAFTER(VLOOKUP($F143,Declarations!B$6:C$185,2,FALSE)," "))))</f>
        <v/>
      </c>
      <c r="D143" s="114" t="str">
        <f>IF(ISNA(VLOOKUP($F143,Declarations!$B$6:$F$185,5,FALSE)),"",IF(VLOOKUP($F143,Declarations!$B$6:$F$185,5,FALSE)="","NOT DECLARED",VLOOKUP($F143,Declarations!$B$6:$F$185,5,FALSE)))</f>
        <v/>
      </c>
      <c r="E143" s="112" t="str">
        <f>IF(ISNA(VLOOKUP($F143,Declarations!$B$6:$D$185,3,FALSE)),"",IF(VLOOKUP($F143,Declarations!$B$6:$D$185,3,FALSE)="","NOT DECLARED",VLOOKUP($F143,Declarations!$B$6:$D$185,3,FALSE)&amp;LEFT(VLOOKUP($F143,Declarations!$B$6:$E$185,4,FALSE))))</f>
        <v/>
      </c>
      <c r="F143" s="58"/>
      <c r="G143" s="122"/>
      <c r="H143" s="122"/>
      <c r="I143" s="114" t="str">
        <f>IF(ISNA(VLOOKUP(F143,Declarations!B$6:C$185,2,FALSE)),"",IF(VLOOKUP(F143,Declarations!B$6:C$185,2,FALSE)="","NOT DECLARED",VLOOKUP(F143,Declarations!B$6:C$185,2,FALSE)))</f>
        <v/>
      </c>
      <c r="J143" s="112">
        <f>IF(LOWER(G143)="dnf",1,IF(G143&lt;ScoringTable!B$3,ScoringTable!I$2,VLOOKUP((1000-G143),ScoringTable!G$2:I$95,3)))</f>
        <v>0</v>
      </c>
      <c r="K143" s="112" t="str">
        <f>IF(OR(E143="",G143=""),"",IF(RIGHT(E143,1)="G",_xlfn.XLOOKUP(G143,Data!$D$10:$L$10,Data!$D$9:$L$9,"",1,1),_xlfn.XLOOKUP(G143,Data!$D$3:$L$3,Data!$D$2:$L$2,"",1,1)))</f>
        <v/>
      </c>
      <c r="L143" s="160" t="str" cm="1">
        <f t="array" ref="L143">IFERROR(_xlfn.IFNA(
                      _xlfn.IFS(
                      G143="", "",
                      AND(E143="U12B",G143&lt;=Data!$M$3), "U12 Boys record",
                      AND(E143="U12G",G143&lt;=Data!$M$10), "U12 Girls record"
                       ),""), "")</f>
        <v/>
      </c>
      <c r="M143" s="18" cm="1">
        <f t="array" ref="M143">_xlfn.IFS($G143="",0, AND(NOT(ISNUMBER($G143)),LOWER($G143)&lt;&gt;"dnf"),"Not a valid time",OR(LOWER($G143)="dnf",$G143&gt;ScoringTable!$M$161),1,RIGHT($E143,1)="B",_xlfn.XLOOKUP($G143,ScoringTable!$M$2:$M$161,ScoringTable!$L$2:$L$161,,1),TRUE,_xlfn.XLOOKUP($G143,ScoringTable!$S$2:$S$161,ScoringTable!$R$2:$R$161,,1))</f>
        <v>0</v>
      </c>
    </row>
    <row r="144" spans="1:13" s="7" customFormat="1" ht="16.05" customHeight="1">
      <c r="A144" s="243" t="s">
        <v>85</v>
      </c>
      <c r="B144" s="114" t="str">
        <f>IF(ISNA(VLOOKUP($F144,Declarations!B$6:C$185,2,FALSE)),"",IF(VLOOKUP($F144,Declarations!B$6:C$185,2,FALSE)="","NOT DECLARED",IF(ISNA(_xlfn.TEXTBEFORE(VLOOKUP($F144,Declarations!B$6:C$185,2,FALSE)," ")),VLOOKUP($F144,Declarations!B$6:C$185,2,FALSE),_xlfn.TEXTBEFORE(VLOOKUP($F144,Declarations!B$6:C$185,2,FALSE)," "))))</f>
        <v/>
      </c>
      <c r="C144" s="114" t="str">
        <f>IF(ISNA(VLOOKUP($F144,Declarations!B$6:C$185,2,FALSE)),"",IF(VLOOKUP($F144,Declarations!B$6:C$185,2,FALSE)="","NOT DECLARED",IF(ISNA(_xlfn.TEXTAFTER(VLOOKUP($F144,Declarations!B$6:C$185,2,FALSE)," ")),VLOOKUP($F144,Declarations!B$6:C$185,2,FALSE),_xlfn.TEXTAFTER(VLOOKUP($F144,Declarations!B$6:C$185,2,FALSE)," "))))</f>
        <v/>
      </c>
      <c r="D144" s="114" t="str">
        <f>IF(ISNA(VLOOKUP($F144,Declarations!$B$6:$F$185,5,FALSE)),"",IF(VLOOKUP($F144,Declarations!$B$6:$F$185,5,FALSE)="","NOT DECLARED",VLOOKUP($F144,Declarations!$B$6:$F$185,5,FALSE)))</f>
        <v/>
      </c>
      <c r="E144" s="112" t="str">
        <f>IF(ISNA(VLOOKUP($F144,Declarations!$B$6:$D$185,3,FALSE)),"",IF(VLOOKUP($F144,Declarations!$B$6:$D$185,3,FALSE)="","NOT DECLARED",VLOOKUP($F144,Declarations!$B$6:$D$185,3,FALSE)&amp;LEFT(VLOOKUP($F144,Declarations!$B$6:$E$185,4,FALSE))))</f>
        <v/>
      </c>
      <c r="F144" s="58"/>
      <c r="G144" s="122"/>
      <c r="H144" s="122"/>
      <c r="I144" s="114" t="str">
        <f>IF(ISNA(VLOOKUP(F144,Declarations!B$6:C$185,2,FALSE)),"",IF(VLOOKUP(F144,Declarations!B$6:C$185,2,FALSE)="","NOT DECLARED",VLOOKUP(F144,Declarations!B$6:C$185,2,FALSE)))</f>
        <v/>
      </c>
      <c r="J144" s="112">
        <f>IF(LOWER(G144)="dnf",1,IF(G144&lt;ScoringTable!B$3,ScoringTable!I$2,VLOOKUP((1000-G144),ScoringTable!G$2:I$95,3)))</f>
        <v>0</v>
      </c>
      <c r="K144" s="112" t="str">
        <f>IF(OR(E144="",G144=""),"",IF(RIGHT(E144,1)="G",_xlfn.XLOOKUP(G144,Data!$D$10:$L$10,Data!$D$9:$L$9,"",1,1),_xlfn.XLOOKUP(G144,Data!$D$3:$L$3,Data!$D$2:$L$2,"",1,1)))</f>
        <v/>
      </c>
      <c r="L144" s="160" t="str" cm="1">
        <f t="array" ref="L144">IFERROR(_xlfn.IFNA(
                      _xlfn.IFS(
                      G144="", "",
                      AND(E144="U12B",G144&lt;=Data!$M$3), "U12 Boys record",
                      AND(E144="U12G",G144&lt;=Data!$M$10), "U12 Girls record"
                       ),""), "")</f>
        <v/>
      </c>
      <c r="M144" s="18" cm="1">
        <f t="array" ref="M144">_xlfn.IFS($G144="",0, AND(NOT(ISNUMBER($G144)),LOWER($G144)&lt;&gt;"dnf"),"Not a valid time",OR(LOWER($G144)="dnf",$G144&gt;ScoringTable!$M$161),1,RIGHT($E144,1)="B",_xlfn.XLOOKUP($G144,ScoringTable!$M$2:$M$161,ScoringTable!$L$2:$L$161,,1),TRUE,_xlfn.XLOOKUP($G144,ScoringTable!$S$2:$S$161,ScoringTable!$R$2:$R$161,,1))</f>
        <v>0</v>
      </c>
    </row>
    <row r="145" spans="1:13" s="7" customFormat="1" ht="16.05" customHeight="1">
      <c r="A145" s="243" t="s">
        <v>85</v>
      </c>
      <c r="B145" s="114" t="str">
        <f>IF(ISNA(VLOOKUP($F145,Declarations!B$6:C$185,2,FALSE)),"",IF(VLOOKUP($F145,Declarations!B$6:C$185,2,FALSE)="","NOT DECLARED",IF(ISNA(_xlfn.TEXTBEFORE(VLOOKUP($F145,Declarations!B$6:C$185,2,FALSE)," ")),VLOOKUP($F145,Declarations!B$6:C$185,2,FALSE),_xlfn.TEXTBEFORE(VLOOKUP($F145,Declarations!B$6:C$185,2,FALSE)," "))))</f>
        <v/>
      </c>
      <c r="C145" s="114" t="str">
        <f>IF(ISNA(VLOOKUP($F145,Declarations!B$6:C$185,2,FALSE)),"",IF(VLOOKUP($F145,Declarations!B$6:C$185,2,FALSE)="","NOT DECLARED",IF(ISNA(_xlfn.TEXTAFTER(VLOOKUP($F145,Declarations!B$6:C$185,2,FALSE)," ")),VLOOKUP($F145,Declarations!B$6:C$185,2,FALSE),_xlfn.TEXTAFTER(VLOOKUP($F145,Declarations!B$6:C$185,2,FALSE)," "))))</f>
        <v/>
      </c>
      <c r="D145" s="114" t="str">
        <f>IF(ISNA(VLOOKUP($F145,Declarations!$B$6:$F$185,5,FALSE)),"",IF(VLOOKUP($F145,Declarations!$B$6:$F$185,5,FALSE)="","NOT DECLARED",VLOOKUP($F145,Declarations!$B$6:$F$185,5,FALSE)))</f>
        <v/>
      </c>
      <c r="E145" s="112" t="str">
        <f>IF(ISNA(VLOOKUP($F145,Declarations!$B$6:$D$185,3,FALSE)),"",IF(VLOOKUP($F145,Declarations!$B$6:$D$185,3,FALSE)="","NOT DECLARED",VLOOKUP($F145,Declarations!$B$6:$D$185,3,FALSE)&amp;LEFT(VLOOKUP($F145,Declarations!$B$6:$E$185,4,FALSE))))</f>
        <v/>
      </c>
      <c r="F145" s="58"/>
      <c r="G145" s="122"/>
      <c r="H145" s="122"/>
      <c r="I145" s="114" t="str">
        <f>IF(ISNA(VLOOKUP(F145,Declarations!B$6:C$185,2,FALSE)),"",IF(VLOOKUP(F145,Declarations!B$6:C$185,2,FALSE)="","NOT DECLARED",VLOOKUP(F145,Declarations!B$6:C$185,2,FALSE)))</f>
        <v/>
      </c>
      <c r="J145" s="112">
        <f>IF(LOWER(G145)="dnf",1,IF(G145&lt;ScoringTable!B$3,ScoringTable!I$2,VLOOKUP((1000-G145),ScoringTable!G$2:I$95,3)))</f>
        <v>0</v>
      </c>
      <c r="K145" s="112" t="str">
        <f>IF(OR(E145="",G145=""),"",IF(RIGHT(E145,1)="G",_xlfn.XLOOKUP(G145,Data!$D$10:$L$10,Data!$D$9:$L$9,"",1,1),_xlfn.XLOOKUP(G145,Data!$D$3:$L$3,Data!$D$2:$L$2,"",1,1)))</f>
        <v/>
      </c>
      <c r="L145" s="160" t="str" cm="1">
        <f t="array" ref="L145">IFERROR(_xlfn.IFNA(
                      _xlfn.IFS(
                      G145="", "",
                      AND(E145="U12B",G145&lt;=Data!$M$3), "U12 Boys record",
                      AND(E145="U12G",G145&lt;=Data!$M$10), "U12 Girls record"
                       ),""), "")</f>
        <v/>
      </c>
      <c r="M145" s="18" cm="1">
        <f t="array" ref="M145">_xlfn.IFS($G145="",0, AND(NOT(ISNUMBER($G145)),LOWER($G145)&lt;&gt;"dnf"),"Not a valid time",OR(LOWER($G145)="dnf",$G145&gt;ScoringTable!$M$161),1,RIGHT($E145,1)="B",_xlfn.XLOOKUP($G145,ScoringTable!$M$2:$M$161,ScoringTable!$L$2:$L$161,,1),TRUE,_xlfn.XLOOKUP($G145,ScoringTable!$S$2:$S$161,ScoringTable!$R$2:$R$161,,1))</f>
        <v>0</v>
      </c>
    </row>
    <row r="146" spans="1:13" s="7" customFormat="1" ht="16.05" customHeight="1">
      <c r="A146" s="243" t="s">
        <v>85</v>
      </c>
      <c r="B146" s="114" t="str">
        <f>IF(ISNA(VLOOKUP($F146,Declarations!B$6:C$185,2,FALSE)),"",IF(VLOOKUP($F146,Declarations!B$6:C$185,2,FALSE)="","NOT DECLARED",IF(ISNA(_xlfn.TEXTBEFORE(VLOOKUP($F146,Declarations!B$6:C$185,2,FALSE)," ")),VLOOKUP($F146,Declarations!B$6:C$185,2,FALSE),_xlfn.TEXTBEFORE(VLOOKUP($F146,Declarations!B$6:C$185,2,FALSE)," "))))</f>
        <v/>
      </c>
      <c r="C146" s="114" t="str">
        <f>IF(ISNA(VLOOKUP($F146,Declarations!B$6:C$185,2,FALSE)),"",IF(VLOOKUP($F146,Declarations!B$6:C$185,2,FALSE)="","NOT DECLARED",IF(ISNA(_xlfn.TEXTAFTER(VLOOKUP($F146,Declarations!B$6:C$185,2,FALSE)," ")),VLOOKUP($F146,Declarations!B$6:C$185,2,FALSE),_xlfn.TEXTAFTER(VLOOKUP($F146,Declarations!B$6:C$185,2,FALSE)," "))))</f>
        <v/>
      </c>
      <c r="D146" s="114" t="str">
        <f>IF(ISNA(VLOOKUP($F146,Declarations!$B$6:$F$185,5,FALSE)),"",IF(VLOOKUP($F146,Declarations!$B$6:$F$185,5,FALSE)="","NOT DECLARED",VLOOKUP($F146,Declarations!$B$6:$F$185,5,FALSE)))</f>
        <v/>
      </c>
      <c r="E146" s="112" t="str">
        <f>IF(ISNA(VLOOKUP($F146,Declarations!$B$6:$D$185,3,FALSE)),"",IF(VLOOKUP($F146,Declarations!$B$6:$D$185,3,FALSE)="","NOT DECLARED",VLOOKUP($F146,Declarations!$B$6:$D$185,3,FALSE)&amp;LEFT(VLOOKUP($F146,Declarations!$B$6:$E$185,4,FALSE))))</f>
        <v/>
      </c>
      <c r="F146" s="58"/>
      <c r="G146" s="122"/>
      <c r="H146" s="122"/>
      <c r="I146" s="114" t="str">
        <f>IF(ISNA(VLOOKUP(F146,Declarations!B$6:C$185,2,FALSE)),"",IF(VLOOKUP(F146,Declarations!B$6:C$185,2,FALSE)="","NOT DECLARED",VLOOKUP(F146,Declarations!B$6:C$185,2,FALSE)))</f>
        <v/>
      </c>
      <c r="J146" s="112">
        <f>IF(LOWER(G146)="dnf",1,IF(G146&lt;ScoringTable!B$3,ScoringTable!I$2,VLOOKUP((1000-G146),ScoringTable!G$2:I$95,3)))</f>
        <v>0</v>
      </c>
      <c r="K146" s="112" t="str">
        <f>IF(OR(E146="",G146=""),"",IF(RIGHT(E146,1)="G",_xlfn.XLOOKUP(G146,Data!$D$10:$L$10,Data!$D$9:$L$9,"",1,1),_xlfn.XLOOKUP(G146,Data!$D$3:$L$3,Data!$D$2:$L$2,"",1,1)))</f>
        <v/>
      </c>
      <c r="L146" s="160" t="str" cm="1">
        <f t="array" ref="L146">IFERROR(_xlfn.IFNA(
                      _xlfn.IFS(
                      G146="", "",
                      AND(E146="U12B",G146&lt;=Data!$M$3), "U12 Boys record",
                      AND(E146="U12G",G146&lt;=Data!$M$10), "U12 Girls record"
                       ),""), "")</f>
        <v/>
      </c>
      <c r="M146" s="18" cm="1">
        <f t="array" ref="M146">_xlfn.IFS($G146="",0, AND(NOT(ISNUMBER($G146)),LOWER($G146)&lt;&gt;"dnf"),"Not a valid time",OR(LOWER($G146)="dnf",$G146&gt;ScoringTable!$M$161),1,RIGHT($E146,1)="B",_xlfn.XLOOKUP($G146,ScoringTable!$M$2:$M$161,ScoringTable!$L$2:$L$161,,1),TRUE,_xlfn.XLOOKUP($G146,ScoringTable!$S$2:$S$161,ScoringTable!$R$2:$R$161,,1))</f>
        <v>0</v>
      </c>
    </row>
    <row r="147" spans="1:13" s="7" customFormat="1" ht="16.05" customHeight="1">
      <c r="A147" s="243" t="s">
        <v>85</v>
      </c>
      <c r="B147" s="114" t="str">
        <f>IF(ISNA(VLOOKUP($F147,Declarations!B$6:C$185,2,FALSE)),"",IF(VLOOKUP($F147,Declarations!B$6:C$185,2,FALSE)="","NOT DECLARED",IF(ISNA(_xlfn.TEXTBEFORE(VLOOKUP($F147,Declarations!B$6:C$185,2,FALSE)," ")),VLOOKUP($F147,Declarations!B$6:C$185,2,FALSE),_xlfn.TEXTBEFORE(VLOOKUP($F147,Declarations!B$6:C$185,2,FALSE)," "))))</f>
        <v/>
      </c>
      <c r="C147" s="114" t="str">
        <f>IF(ISNA(VLOOKUP($F147,Declarations!B$6:C$185,2,FALSE)),"",IF(VLOOKUP($F147,Declarations!B$6:C$185,2,FALSE)="","NOT DECLARED",IF(ISNA(_xlfn.TEXTAFTER(VLOOKUP($F147,Declarations!B$6:C$185,2,FALSE)," ")),VLOOKUP($F147,Declarations!B$6:C$185,2,FALSE),_xlfn.TEXTAFTER(VLOOKUP($F147,Declarations!B$6:C$185,2,FALSE)," "))))</f>
        <v/>
      </c>
      <c r="D147" s="114" t="str">
        <f>IF(ISNA(VLOOKUP($F147,Declarations!$B$6:$F$185,5,FALSE)),"",IF(VLOOKUP($F147,Declarations!$B$6:$F$185,5,FALSE)="","NOT DECLARED",VLOOKUP($F147,Declarations!$B$6:$F$185,5,FALSE)))</f>
        <v/>
      </c>
      <c r="E147" s="112" t="str">
        <f>IF(ISNA(VLOOKUP($F147,Declarations!$B$6:$D$185,3,FALSE)),"",IF(VLOOKUP($F147,Declarations!$B$6:$D$185,3,FALSE)="","NOT DECLARED",VLOOKUP($F147,Declarations!$B$6:$D$185,3,FALSE)&amp;LEFT(VLOOKUP($F147,Declarations!$B$6:$E$185,4,FALSE))))</f>
        <v/>
      </c>
      <c r="F147" s="58"/>
      <c r="G147" s="122"/>
      <c r="H147" s="122"/>
      <c r="I147" s="114" t="str">
        <f>IF(ISNA(VLOOKUP(F147,Declarations!B$6:C$185,2,FALSE)),"",IF(VLOOKUP(F147,Declarations!B$6:C$185,2,FALSE)="","NOT DECLARED",VLOOKUP(F147,Declarations!B$6:C$185,2,FALSE)))</f>
        <v/>
      </c>
      <c r="J147" s="112">
        <f>IF(LOWER(G147)="dnf",1,IF(G147&lt;ScoringTable!B$3,ScoringTable!I$2,VLOOKUP((1000-G147),ScoringTable!G$2:I$95,3)))</f>
        <v>0</v>
      </c>
      <c r="K147" s="112" t="str">
        <f>IF(OR(E147="",G147=""),"",IF(RIGHT(E147,1)="G",_xlfn.XLOOKUP(G147,Data!$D$10:$L$10,Data!$D$9:$L$9,"",1,1),_xlfn.XLOOKUP(G147,Data!$D$3:$L$3,Data!$D$2:$L$2,"",1,1)))</f>
        <v/>
      </c>
      <c r="L147" s="160" t="str" cm="1">
        <f t="array" ref="L147">IFERROR(_xlfn.IFNA(
                      _xlfn.IFS(
                      G147="", "",
                      AND(E147="U12B",G147&lt;=Data!$M$3), "U12 Boys record",
                      AND(E147="U12G",G147&lt;=Data!$M$10), "U12 Girls record"
                       ),""), "")</f>
        <v/>
      </c>
      <c r="M147" s="18" cm="1">
        <f t="array" ref="M147">_xlfn.IFS($G147="",0, AND(NOT(ISNUMBER($G147)),LOWER($G147)&lt;&gt;"dnf"),"Not a valid time",OR(LOWER($G147)="dnf",$G147&gt;ScoringTable!$M$161),1,RIGHT($E147,1)="B",_xlfn.XLOOKUP($G147,ScoringTable!$M$2:$M$161,ScoringTable!$L$2:$L$161,,1),TRUE,_xlfn.XLOOKUP($G147,ScoringTable!$S$2:$S$161,ScoringTable!$R$2:$R$161,,1))</f>
        <v>0</v>
      </c>
    </row>
    <row r="148" spans="1:13" s="7" customFormat="1" ht="16.05" customHeight="1">
      <c r="A148" s="243" t="s">
        <v>85</v>
      </c>
      <c r="B148" s="114" t="str">
        <f>IF(ISNA(VLOOKUP($F148,Declarations!B$6:C$185,2,FALSE)),"",IF(VLOOKUP($F148,Declarations!B$6:C$185,2,FALSE)="","NOT DECLARED",IF(ISNA(_xlfn.TEXTBEFORE(VLOOKUP($F148,Declarations!B$6:C$185,2,FALSE)," ")),VLOOKUP($F148,Declarations!B$6:C$185,2,FALSE),_xlfn.TEXTBEFORE(VLOOKUP($F148,Declarations!B$6:C$185,2,FALSE)," "))))</f>
        <v/>
      </c>
      <c r="C148" s="114" t="str">
        <f>IF(ISNA(VLOOKUP($F148,Declarations!B$6:C$185,2,FALSE)),"",IF(VLOOKUP($F148,Declarations!B$6:C$185,2,FALSE)="","NOT DECLARED",IF(ISNA(_xlfn.TEXTAFTER(VLOOKUP($F148,Declarations!B$6:C$185,2,FALSE)," ")),VLOOKUP($F148,Declarations!B$6:C$185,2,FALSE),_xlfn.TEXTAFTER(VLOOKUP($F148,Declarations!B$6:C$185,2,FALSE)," "))))</f>
        <v/>
      </c>
      <c r="D148" s="114" t="str">
        <f>IF(ISNA(VLOOKUP($F148,Declarations!$B$6:$F$185,5,FALSE)),"",IF(VLOOKUP($F148,Declarations!$B$6:$F$185,5,FALSE)="","NOT DECLARED",VLOOKUP($F148,Declarations!$B$6:$F$185,5,FALSE)))</f>
        <v/>
      </c>
      <c r="E148" s="112" t="str">
        <f>IF(ISNA(VLOOKUP($F148,Declarations!$B$6:$D$185,3,FALSE)),"",IF(VLOOKUP($F148,Declarations!$B$6:$D$185,3,FALSE)="","NOT DECLARED",VLOOKUP($F148,Declarations!$B$6:$D$185,3,FALSE)&amp;LEFT(VLOOKUP($F148,Declarations!$B$6:$E$185,4,FALSE))))</f>
        <v/>
      </c>
      <c r="F148" s="58"/>
      <c r="G148" s="122"/>
      <c r="H148" s="122"/>
      <c r="I148" s="114" t="str">
        <f>IF(ISNA(VLOOKUP(F148,Declarations!B$6:C$185,2,FALSE)),"",IF(VLOOKUP(F148,Declarations!B$6:C$185,2,FALSE)="","NOT DECLARED",VLOOKUP(F148,Declarations!B$6:C$185,2,FALSE)))</f>
        <v/>
      </c>
      <c r="J148" s="112">
        <f>IF(LOWER(G148)="dnf",1,IF(G148&lt;ScoringTable!B$3,ScoringTable!I$2,VLOOKUP((1000-G148),ScoringTable!G$2:I$95,3)))</f>
        <v>0</v>
      </c>
      <c r="K148" s="112" t="str">
        <f>IF(OR(E148="",G148=""),"",IF(RIGHT(E148,1)="G",_xlfn.XLOOKUP(G148,Data!$D$10:$L$10,Data!$D$9:$L$9,"",1,1),_xlfn.XLOOKUP(G148,Data!$D$3:$L$3,Data!$D$2:$L$2,"",1,1)))</f>
        <v/>
      </c>
      <c r="L148" s="160" t="str" cm="1">
        <f t="array" ref="L148">IFERROR(_xlfn.IFNA(
                      _xlfn.IFS(
                      G148="", "",
                      AND(E148="U12B",G148&lt;=Data!$M$3), "U12 Boys record",
                      AND(E148="U12G",G148&lt;=Data!$M$10), "U12 Girls record"
                       ),""), "")</f>
        <v/>
      </c>
      <c r="M148" s="18" cm="1">
        <f t="array" ref="M148">_xlfn.IFS($G148="",0, AND(NOT(ISNUMBER($G148)),LOWER($G148)&lt;&gt;"dnf"),"Not a valid time",OR(LOWER($G148)="dnf",$G148&gt;ScoringTable!$M$161),1,RIGHT($E148,1)="B",_xlfn.XLOOKUP($G148,ScoringTable!$M$2:$M$161,ScoringTable!$L$2:$L$161,,1),TRUE,_xlfn.XLOOKUP($G148,ScoringTable!$S$2:$S$161,ScoringTable!$R$2:$R$161,,1))</f>
        <v>0</v>
      </c>
    </row>
    <row r="149" spans="1:13" s="7" customFormat="1" ht="16.05" customHeight="1">
      <c r="A149" s="243" t="s">
        <v>85</v>
      </c>
      <c r="B149" s="114" t="str">
        <f>IF(ISNA(VLOOKUP($F149,Declarations!B$6:C$185,2,FALSE)),"",IF(VLOOKUP($F149,Declarations!B$6:C$185,2,FALSE)="","NOT DECLARED",IF(ISNA(_xlfn.TEXTBEFORE(VLOOKUP($F149,Declarations!B$6:C$185,2,FALSE)," ")),VLOOKUP($F149,Declarations!B$6:C$185,2,FALSE),_xlfn.TEXTBEFORE(VLOOKUP($F149,Declarations!B$6:C$185,2,FALSE)," "))))</f>
        <v/>
      </c>
      <c r="C149" s="114" t="str">
        <f>IF(ISNA(VLOOKUP($F149,Declarations!B$6:C$185,2,FALSE)),"",IF(VLOOKUP($F149,Declarations!B$6:C$185,2,FALSE)="","NOT DECLARED",IF(ISNA(_xlfn.TEXTAFTER(VLOOKUP($F149,Declarations!B$6:C$185,2,FALSE)," ")),VLOOKUP($F149,Declarations!B$6:C$185,2,FALSE),_xlfn.TEXTAFTER(VLOOKUP($F149,Declarations!B$6:C$185,2,FALSE)," "))))</f>
        <v/>
      </c>
      <c r="D149" s="114" t="str">
        <f>IF(ISNA(VLOOKUP($F149,Declarations!$B$6:$F$185,5,FALSE)),"",IF(VLOOKUP($F149,Declarations!$B$6:$F$185,5,FALSE)="","NOT DECLARED",VLOOKUP($F149,Declarations!$B$6:$F$185,5,FALSE)))</f>
        <v/>
      </c>
      <c r="E149" s="112" t="str">
        <f>IF(ISNA(VLOOKUP($F149,Declarations!$B$6:$D$185,3,FALSE)),"",IF(VLOOKUP($F149,Declarations!$B$6:$D$185,3,FALSE)="","NOT DECLARED",VLOOKUP($F149,Declarations!$B$6:$D$185,3,FALSE)&amp;LEFT(VLOOKUP($F149,Declarations!$B$6:$E$185,4,FALSE))))</f>
        <v/>
      </c>
      <c r="F149" s="58"/>
      <c r="G149" s="122"/>
      <c r="H149" s="122"/>
      <c r="I149" s="114" t="str">
        <f>IF(ISNA(VLOOKUP(F149,Declarations!B$6:C$185,2,FALSE)),"",IF(VLOOKUP(F149,Declarations!B$6:C$185,2,FALSE)="","NOT DECLARED",VLOOKUP(F149,Declarations!B$6:C$185,2,FALSE)))</f>
        <v/>
      </c>
      <c r="J149" s="112">
        <f>IF(LOWER(G149)="dnf",1,IF(G149&lt;ScoringTable!B$3,ScoringTable!I$2,VLOOKUP((1000-G149),ScoringTable!G$2:I$95,3)))</f>
        <v>0</v>
      </c>
      <c r="K149" s="112" t="str">
        <f>IF(OR(E149="",G149=""),"",IF(RIGHT(E149,1)="G",_xlfn.XLOOKUP(G149,Data!$D$10:$L$10,Data!$D$9:$L$9,"",1,1),_xlfn.XLOOKUP(G149,Data!$D$3:$L$3,Data!$D$2:$L$2,"",1,1)))</f>
        <v/>
      </c>
      <c r="L149" s="160" t="str" cm="1">
        <f t="array" ref="L149">IFERROR(_xlfn.IFNA(
                      _xlfn.IFS(
                      G149="", "",
                      AND(E149="U12B",G149&lt;=Data!$M$3), "U12 Boys record",
                      AND(E149="U12G",G149&lt;=Data!$M$10), "U12 Girls record"
                       ),""), "")</f>
        <v/>
      </c>
      <c r="M149" s="18" cm="1">
        <f t="array" ref="M149">_xlfn.IFS($G149="",0, AND(NOT(ISNUMBER($G149)),LOWER($G149)&lt;&gt;"dnf"),"Not a valid time",OR(LOWER($G149)="dnf",$G149&gt;ScoringTable!$M$161),1,RIGHT($E149,1)="B",_xlfn.XLOOKUP($G149,ScoringTable!$M$2:$M$161,ScoringTable!$L$2:$L$161,,1),TRUE,_xlfn.XLOOKUP($G149,ScoringTable!$S$2:$S$161,ScoringTable!$R$2:$R$161,,1))</f>
        <v>0</v>
      </c>
    </row>
    <row r="150" spans="1:13" s="7" customFormat="1" ht="16.05" customHeight="1">
      <c r="A150" s="243" t="s">
        <v>85</v>
      </c>
      <c r="B150" s="114" t="str">
        <f>IF(ISNA(VLOOKUP($F150,Declarations!B$6:C$185,2,FALSE)),"",IF(VLOOKUP($F150,Declarations!B$6:C$185,2,FALSE)="","NOT DECLARED",IF(ISNA(_xlfn.TEXTBEFORE(VLOOKUP($F150,Declarations!B$6:C$185,2,FALSE)," ")),VLOOKUP($F150,Declarations!B$6:C$185,2,FALSE),_xlfn.TEXTBEFORE(VLOOKUP($F150,Declarations!B$6:C$185,2,FALSE)," "))))</f>
        <v/>
      </c>
      <c r="C150" s="114" t="str">
        <f>IF(ISNA(VLOOKUP($F150,Declarations!B$6:C$185,2,FALSE)),"",IF(VLOOKUP($F150,Declarations!B$6:C$185,2,FALSE)="","NOT DECLARED",IF(ISNA(_xlfn.TEXTAFTER(VLOOKUP($F150,Declarations!B$6:C$185,2,FALSE)," ")),VLOOKUP($F150,Declarations!B$6:C$185,2,FALSE),_xlfn.TEXTAFTER(VLOOKUP($F150,Declarations!B$6:C$185,2,FALSE)," "))))</f>
        <v/>
      </c>
      <c r="D150" s="114" t="str">
        <f>IF(ISNA(VLOOKUP($F150,Declarations!$B$6:$F$185,5,FALSE)),"",IF(VLOOKUP($F150,Declarations!$B$6:$F$185,5,FALSE)="","NOT DECLARED",VLOOKUP($F150,Declarations!$B$6:$F$185,5,FALSE)))</f>
        <v/>
      </c>
      <c r="E150" s="112" t="str">
        <f>IF(ISNA(VLOOKUP($F150,Declarations!$B$6:$D$185,3,FALSE)),"",IF(VLOOKUP($F150,Declarations!$B$6:$D$185,3,FALSE)="","NOT DECLARED",VLOOKUP($F150,Declarations!$B$6:$D$185,3,FALSE)&amp;LEFT(VLOOKUP($F150,Declarations!$B$6:$E$185,4,FALSE))))</f>
        <v/>
      </c>
      <c r="F150" s="58"/>
      <c r="G150" s="122"/>
      <c r="H150" s="122"/>
      <c r="I150" s="114" t="str">
        <f>IF(ISNA(VLOOKUP(F150,Declarations!B$6:C$185,2,FALSE)),"",IF(VLOOKUP(F150,Declarations!B$6:C$185,2,FALSE)="","NOT DECLARED",VLOOKUP(F150,Declarations!B$6:C$185,2,FALSE)))</f>
        <v/>
      </c>
      <c r="J150" s="112">
        <f>IF(LOWER(G150)="dnf",1,IF(G150&lt;ScoringTable!B$3,ScoringTable!I$2,VLOOKUP((1000-G150),ScoringTable!G$2:I$95,3)))</f>
        <v>0</v>
      </c>
      <c r="K150" s="112" t="str">
        <f>IF(OR(E150="",G150=""),"",IF(RIGHT(E150,1)="G",_xlfn.XLOOKUP(G150,Data!$D$10:$L$10,Data!$D$9:$L$9,"",1,1),_xlfn.XLOOKUP(G150,Data!$D$3:$L$3,Data!$D$2:$L$2,"",1,1)))</f>
        <v/>
      </c>
      <c r="L150" s="160" t="str" cm="1">
        <f t="array" ref="L150">IFERROR(_xlfn.IFNA(
                      _xlfn.IFS(
                      G150="", "",
                      AND(E150="U12B",G150&lt;=Data!$M$3), "U12 Boys record",
                      AND(E150="U12G",G150&lt;=Data!$M$10), "U12 Girls record"
                       ),""), "")</f>
        <v/>
      </c>
      <c r="M150" s="18" cm="1">
        <f t="array" ref="M150">_xlfn.IFS($G150="",0, AND(NOT(ISNUMBER($G150)),LOWER($G150)&lt;&gt;"dnf"),"Not a valid time",OR(LOWER($G150)="dnf",$G150&gt;ScoringTable!$M$161),1,RIGHT($E150,1)="B",_xlfn.XLOOKUP($G150,ScoringTable!$M$2:$M$161,ScoringTable!$L$2:$L$161,,1),TRUE,_xlfn.XLOOKUP($G150,ScoringTable!$S$2:$S$161,ScoringTable!$R$2:$R$161,,1))</f>
        <v>0</v>
      </c>
    </row>
    <row r="151" spans="1:13" s="7" customFormat="1" ht="16.05" customHeight="1">
      <c r="A151" s="243" t="s">
        <v>85</v>
      </c>
      <c r="B151" s="114" t="str">
        <f>IF(ISNA(VLOOKUP($F151,Declarations!B$6:C$185,2,FALSE)),"",IF(VLOOKUP($F151,Declarations!B$6:C$185,2,FALSE)="","NOT DECLARED",IF(ISNA(_xlfn.TEXTBEFORE(VLOOKUP($F151,Declarations!B$6:C$185,2,FALSE)," ")),VLOOKUP($F151,Declarations!B$6:C$185,2,FALSE),_xlfn.TEXTBEFORE(VLOOKUP($F151,Declarations!B$6:C$185,2,FALSE)," "))))</f>
        <v/>
      </c>
      <c r="C151" s="114" t="str">
        <f>IF(ISNA(VLOOKUP($F151,Declarations!B$6:C$185,2,FALSE)),"",IF(VLOOKUP($F151,Declarations!B$6:C$185,2,FALSE)="","NOT DECLARED",IF(ISNA(_xlfn.TEXTAFTER(VLOOKUP($F151,Declarations!B$6:C$185,2,FALSE)," ")),VLOOKUP($F151,Declarations!B$6:C$185,2,FALSE),_xlfn.TEXTAFTER(VLOOKUP($F151,Declarations!B$6:C$185,2,FALSE)," "))))</f>
        <v/>
      </c>
      <c r="D151" s="114" t="str">
        <f>IF(ISNA(VLOOKUP($F151,Declarations!$B$6:$F$185,5,FALSE)),"",IF(VLOOKUP($F151,Declarations!$B$6:$F$185,5,FALSE)="","NOT DECLARED",VLOOKUP($F151,Declarations!$B$6:$F$185,5,FALSE)))</f>
        <v/>
      </c>
      <c r="E151" s="112" t="str">
        <f>IF(ISNA(VLOOKUP($F151,Declarations!$B$6:$D$185,3,FALSE)),"",IF(VLOOKUP($F151,Declarations!$B$6:$D$185,3,FALSE)="","NOT DECLARED",VLOOKUP($F151,Declarations!$B$6:$D$185,3,FALSE)&amp;LEFT(VLOOKUP($F151,Declarations!$B$6:$E$185,4,FALSE))))</f>
        <v/>
      </c>
      <c r="F151" s="58"/>
      <c r="G151" s="122"/>
      <c r="H151" s="122"/>
      <c r="I151" s="114" t="str">
        <f>IF(ISNA(VLOOKUP(F151,Declarations!B$6:C$185,2,FALSE)),"",IF(VLOOKUP(F151,Declarations!B$6:C$185,2,FALSE)="","NOT DECLARED",VLOOKUP(F151,Declarations!B$6:C$185,2,FALSE)))</f>
        <v/>
      </c>
      <c r="J151" s="112">
        <f>IF(LOWER(G151)="dnf",1,IF(G151&lt;ScoringTable!B$3,ScoringTable!I$2,VLOOKUP((1000-G151),ScoringTable!G$2:I$95,3)))</f>
        <v>0</v>
      </c>
      <c r="K151" s="112" t="str">
        <f>IF(OR(E151="",G151=""),"",IF(RIGHT(E151,1)="G",_xlfn.XLOOKUP(G151,Data!$D$10:$L$10,Data!$D$9:$L$9,"",1,1),_xlfn.XLOOKUP(G151,Data!$D$3:$L$3,Data!$D$2:$L$2,"",1,1)))</f>
        <v/>
      </c>
      <c r="L151" s="160" t="str" cm="1">
        <f t="array" ref="L151">IFERROR(_xlfn.IFNA(
                      _xlfn.IFS(
                      G151="", "",
                      AND(E151="U12B",G151&lt;=Data!$M$3), "U12 Boys record",
                      AND(E151="U12G",G151&lt;=Data!$M$10), "U12 Girls record"
                       ),""), "")</f>
        <v/>
      </c>
      <c r="M151" s="18" cm="1">
        <f t="array" ref="M151">_xlfn.IFS($G151="",0, AND(NOT(ISNUMBER($G151)),LOWER($G151)&lt;&gt;"dnf"),"Not a valid time",OR(LOWER($G151)="dnf",$G151&gt;ScoringTable!$M$161),1,RIGHT($E151,1)="B",_xlfn.XLOOKUP($G151,ScoringTable!$M$2:$M$161,ScoringTable!$L$2:$L$161,,1),TRUE,_xlfn.XLOOKUP($G151,ScoringTable!$S$2:$S$161,ScoringTable!$R$2:$R$161,,1))</f>
        <v>0</v>
      </c>
    </row>
    <row r="152" spans="1:13" s="7" customFormat="1" ht="16.05" customHeight="1">
      <c r="A152" s="243" t="s">
        <v>85</v>
      </c>
      <c r="B152" s="114" t="str">
        <f>IF(ISNA(VLOOKUP($F152,Declarations!B$6:C$185,2,FALSE)),"",IF(VLOOKUP($F152,Declarations!B$6:C$185,2,FALSE)="","NOT DECLARED",IF(ISNA(_xlfn.TEXTBEFORE(VLOOKUP($F152,Declarations!B$6:C$185,2,FALSE)," ")),VLOOKUP($F152,Declarations!B$6:C$185,2,FALSE),_xlfn.TEXTBEFORE(VLOOKUP($F152,Declarations!B$6:C$185,2,FALSE)," "))))</f>
        <v/>
      </c>
      <c r="C152" s="114" t="str">
        <f>IF(ISNA(VLOOKUP($F152,Declarations!B$6:C$185,2,FALSE)),"",IF(VLOOKUP($F152,Declarations!B$6:C$185,2,FALSE)="","NOT DECLARED",IF(ISNA(_xlfn.TEXTAFTER(VLOOKUP($F152,Declarations!B$6:C$185,2,FALSE)," ")),VLOOKUP($F152,Declarations!B$6:C$185,2,FALSE),_xlfn.TEXTAFTER(VLOOKUP($F152,Declarations!B$6:C$185,2,FALSE)," "))))</f>
        <v/>
      </c>
      <c r="D152" s="114" t="str">
        <f>IF(ISNA(VLOOKUP($F152,Declarations!$B$6:$F$185,5,FALSE)),"",IF(VLOOKUP($F152,Declarations!$B$6:$F$185,5,FALSE)="","NOT DECLARED",VLOOKUP($F152,Declarations!$B$6:$F$185,5,FALSE)))</f>
        <v/>
      </c>
      <c r="E152" s="112" t="str">
        <f>IF(ISNA(VLOOKUP($F152,Declarations!$B$6:$D$185,3,FALSE)),"",IF(VLOOKUP($F152,Declarations!$B$6:$D$185,3,FALSE)="","NOT DECLARED",VLOOKUP($F152,Declarations!$B$6:$D$185,3,FALSE)&amp;LEFT(VLOOKUP($F152,Declarations!$B$6:$E$185,4,FALSE))))</f>
        <v/>
      </c>
      <c r="F152" s="58"/>
      <c r="G152" s="122"/>
      <c r="H152" s="122"/>
      <c r="I152" s="114" t="str">
        <f>IF(ISNA(VLOOKUP(F152,Declarations!B$6:C$185,2,FALSE)),"",IF(VLOOKUP(F152,Declarations!B$6:C$185,2,FALSE)="","NOT DECLARED",VLOOKUP(F152,Declarations!B$6:C$185,2,FALSE)))</f>
        <v/>
      </c>
      <c r="J152" s="112">
        <f>IF(LOWER(G152)="dnf",1,IF(G152&lt;ScoringTable!B$3,ScoringTable!I$2,VLOOKUP((1000-G152),ScoringTable!G$2:I$95,3)))</f>
        <v>0</v>
      </c>
      <c r="K152" s="112" t="str">
        <f>IF(OR(E152="",G152=""),"",IF(RIGHT(E152,1)="G",_xlfn.XLOOKUP(G152,Data!$D$10:$L$10,Data!$D$9:$L$9,"",1,1),_xlfn.XLOOKUP(G152,Data!$D$3:$L$3,Data!$D$2:$L$2,"",1,1)))</f>
        <v/>
      </c>
      <c r="L152" s="160" t="str" cm="1">
        <f t="array" ref="L152">IFERROR(_xlfn.IFNA(
                      _xlfn.IFS(
                      G152="", "",
                      AND(E152="U12B",G152&lt;=Data!$M$3), "U12 Boys record",
                      AND(E152="U12G",G152&lt;=Data!$M$10), "U12 Girls record"
                       ),""), "")</f>
        <v/>
      </c>
      <c r="M152" s="18" cm="1">
        <f t="array" ref="M152">_xlfn.IFS($G152="",0, AND(NOT(ISNUMBER($G152)),LOWER($G152)&lt;&gt;"dnf"),"Not a valid time",OR(LOWER($G152)="dnf",$G152&gt;ScoringTable!$M$161),1,RIGHT($E152,1)="B",_xlfn.XLOOKUP($G152,ScoringTable!$M$2:$M$161,ScoringTable!$L$2:$L$161,,1),TRUE,_xlfn.XLOOKUP($G152,ScoringTable!$S$2:$S$161,ScoringTable!$R$2:$R$161,,1))</f>
        <v>0</v>
      </c>
    </row>
    <row r="153" spans="1:13" s="7" customFormat="1" ht="16.05" customHeight="1">
      <c r="A153" s="243" t="s">
        <v>85</v>
      </c>
      <c r="B153" s="114" t="str">
        <f>IF(ISNA(VLOOKUP($F153,Declarations!B$6:C$185,2,FALSE)),"",IF(VLOOKUP($F153,Declarations!B$6:C$185,2,FALSE)="","NOT DECLARED",IF(ISNA(_xlfn.TEXTBEFORE(VLOOKUP($F153,Declarations!B$6:C$185,2,FALSE)," ")),VLOOKUP($F153,Declarations!B$6:C$185,2,FALSE),_xlfn.TEXTBEFORE(VLOOKUP($F153,Declarations!B$6:C$185,2,FALSE)," "))))</f>
        <v/>
      </c>
      <c r="C153" s="114" t="str">
        <f>IF(ISNA(VLOOKUP($F153,Declarations!B$6:C$185,2,FALSE)),"",IF(VLOOKUP($F153,Declarations!B$6:C$185,2,FALSE)="","NOT DECLARED",IF(ISNA(_xlfn.TEXTAFTER(VLOOKUP($F153,Declarations!B$6:C$185,2,FALSE)," ")),VLOOKUP($F153,Declarations!B$6:C$185,2,FALSE),_xlfn.TEXTAFTER(VLOOKUP($F153,Declarations!B$6:C$185,2,FALSE)," "))))</f>
        <v/>
      </c>
      <c r="D153" s="114" t="str">
        <f>IF(ISNA(VLOOKUP($F153,Declarations!$B$6:$F$185,5,FALSE)),"",IF(VLOOKUP($F153,Declarations!$B$6:$F$185,5,FALSE)="","NOT DECLARED",VLOOKUP($F153,Declarations!$B$6:$F$185,5,FALSE)))</f>
        <v/>
      </c>
      <c r="E153" s="112" t="str">
        <f>IF(ISNA(VLOOKUP($F153,Declarations!$B$6:$D$185,3,FALSE)),"",IF(VLOOKUP($F153,Declarations!$B$6:$D$185,3,FALSE)="","NOT DECLARED",VLOOKUP($F153,Declarations!$B$6:$D$185,3,FALSE)&amp;LEFT(VLOOKUP($F153,Declarations!$B$6:$E$185,4,FALSE))))</f>
        <v/>
      </c>
      <c r="F153" s="58"/>
      <c r="G153" s="122"/>
      <c r="H153" s="122"/>
      <c r="I153" s="114" t="str">
        <f>IF(ISNA(VLOOKUP(F153,Declarations!B$6:C$185,2,FALSE)),"",IF(VLOOKUP(F153,Declarations!B$6:C$185,2,FALSE)="","NOT DECLARED",VLOOKUP(F153,Declarations!B$6:C$185,2,FALSE)))</f>
        <v/>
      </c>
      <c r="J153" s="112">
        <f>IF(LOWER(G153)="dnf",1,IF(G153&lt;ScoringTable!B$3,ScoringTable!I$2,VLOOKUP((1000-G153),ScoringTable!G$2:I$95,3)))</f>
        <v>0</v>
      </c>
      <c r="K153" s="112" t="str">
        <f>IF(OR(E153="",G153=""),"",IF(RIGHT(E153,1)="G",_xlfn.XLOOKUP(G153,Data!$D$10:$L$10,Data!$D$9:$L$9,"",1,1),_xlfn.XLOOKUP(G153,Data!$D$3:$L$3,Data!$D$2:$L$2,"",1,1)))</f>
        <v/>
      </c>
      <c r="L153" s="160" t="str" cm="1">
        <f t="array" ref="L153">IFERROR(_xlfn.IFNA(
                      _xlfn.IFS(
                      G153="", "",
                      AND(E153="U12B",G153&lt;=Data!$M$3), "U12 Boys record",
                      AND(E153="U12G",G153&lt;=Data!$M$10), "U12 Girls record"
                       ),""), "")</f>
        <v/>
      </c>
      <c r="M153" s="18" cm="1">
        <f t="array" ref="M153">_xlfn.IFS($G153="",0, AND(NOT(ISNUMBER($G153)),LOWER($G153)&lt;&gt;"dnf"),"Not a valid time",OR(LOWER($G153)="dnf",$G153&gt;ScoringTable!$M$161),1,RIGHT($E153,1)="B",_xlfn.XLOOKUP($G153,ScoringTable!$M$2:$M$161,ScoringTable!$L$2:$L$161,,1),TRUE,_xlfn.XLOOKUP($G153,ScoringTable!$S$2:$S$161,ScoringTable!$R$2:$R$161,,1))</f>
        <v>0</v>
      </c>
    </row>
    <row r="154" spans="1:13" s="7" customFormat="1" ht="16.05" customHeight="1">
      <c r="A154" s="243" t="s">
        <v>85</v>
      </c>
      <c r="B154" s="114" t="str">
        <f>IF(ISNA(VLOOKUP($F154,Declarations!B$6:C$185,2,FALSE)),"",IF(VLOOKUP($F154,Declarations!B$6:C$185,2,FALSE)="","NOT DECLARED",IF(ISNA(_xlfn.TEXTBEFORE(VLOOKUP($F154,Declarations!B$6:C$185,2,FALSE)," ")),VLOOKUP($F154,Declarations!B$6:C$185,2,FALSE),_xlfn.TEXTBEFORE(VLOOKUP($F154,Declarations!B$6:C$185,2,FALSE)," "))))</f>
        <v/>
      </c>
      <c r="C154" s="114" t="str">
        <f>IF(ISNA(VLOOKUP($F154,Declarations!B$6:C$185,2,FALSE)),"",IF(VLOOKUP($F154,Declarations!B$6:C$185,2,FALSE)="","NOT DECLARED",IF(ISNA(_xlfn.TEXTAFTER(VLOOKUP($F154,Declarations!B$6:C$185,2,FALSE)," ")),VLOOKUP($F154,Declarations!B$6:C$185,2,FALSE),_xlfn.TEXTAFTER(VLOOKUP($F154,Declarations!B$6:C$185,2,FALSE)," "))))</f>
        <v/>
      </c>
      <c r="D154" s="114" t="str">
        <f>IF(ISNA(VLOOKUP($F154,Declarations!$B$6:$F$185,5,FALSE)),"",IF(VLOOKUP($F154,Declarations!$B$6:$F$185,5,FALSE)="","NOT DECLARED",VLOOKUP($F154,Declarations!$B$6:$F$185,5,FALSE)))</f>
        <v/>
      </c>
      <c r="E154" s="112" t="str">
        <f>IF(ISNA(VLOOKUP($F154,Declarations!$B$6:$D$185,3,FALSE)),"",IF(VLOOKUP($F154,Declarations!$B$6:$D$185,3,FALSE)="","NOT DECLARED",VLOOKUP($F154,Declarations!$B$6:$D$185,3,FALSE)&amp;LEFT(VLOOKUP($F154,Declarations!$B$6:$E$185,4,FALSE))))</f>
        <v/>
      </c>
      <c r="F154" s="58"/>
      <c r="G154" s="122"/>
      <c r="H154" s="122"/>
      <c r="I154" s="114" t="str">
        <f>IF(ISNA(VLOOKUP(F154,Declarations!B$6:C$185,2,FALSE)),"",IF(VLOOKUP(F154,Declarations!B$6:C$185,2,FALSE)="","NOT DECLARED",VLOOKUP(F154,Declarations!B$6:C$185,2,FALSE)))</f>
        <v/>
      </c>
      <c r="J154" s="112">
        <f>IF(LOWER(G154)="dnf",1,IF(G154&lt;ScoringTable!B$3,ScoringTable!I$2,VLOOKUP((1000-G154),ScoringTable!G$2:I$95,3)))</f>
        <v>0</v>
      </c>
      <c r="K154" s="112" t="str">
        <f>IF(OR(E154="",G154=""),"",IF(RIGHT(E154,1)="G",_xlfn.XLOOKUP(G154,Data!$D$10:$L$10,Data!$D$9:$L$9,"",1,1),_xlfn.XLOOKUP(G154,Data!$D$3:$L$3,Data!$D$2:$L$2,"",1,1)))</f>
        <v/>
      </c>
      <c r="L154" s="160" t="str" cm="1">
        <f t="array" ref="L154">IFERROR(_xlfn.IFNA(
                      _xlfn.IFS(
                      G154="", "",
                      AND(E154="U12B",G154&lt;=Data!$M$3), "U12 Boys record",
                      AND(E154="U12G",G154&lt;=Data!$M$10), "U12 Girls record"
                       ),""), "")</f>
        <v/>
      </c>
      <c r="M154" s="18" cm="1">
        <f t="array" ref="M154">_xlfn.IFS($G154="",0, AND(NOT(ISNUMBER($G154)),LOWER($G154)&lt;&gt;"dnf"),"Not a valid time",OR(LOWER($G154)="dnf",$G154&gt;ScoringTable!$M$161),1,RIGHT($E154,1)="B",_xlfn.XLOOKUP($G154,ScoringTable!$M$2:$M$161,ScoringTable!$L$2:$L$161,,1),TRUE,_xlfn.XLOOKUP($G154,ScoringTable!$S$2:$S$161,ScoringTable!$R$2:$R$161,,1))</f>
        <v>0</v>
      </c>
    </row>
    <row r="155" spans="1:13" s="7" customFormat="1" ht="16.05" customHeight="1">
      <c r="A155" s="243" t="s">
        <v>85</v>
      </c>
      <c r="B155" s="114" t="str">
        <f>IF(ISNA(VLOOKUP($F155,Declarations!B$6:C$185,2,FALSE)),"",IF(VLOOKUP($F155,Declarations!B$6:C$185,2,FALSE)="","NOT DECLARED",IF(ISNA(_xlfn.TEXTBEFORE(VLOOKUP($F155,Declarations!B$6:C$185,2,FALSE)," ")),VLOOKUP($F155,Declarations!B$6:C$185,2,FALSE),_xlfn.TEXTBEFORE(VLOOKUP($F155,Declarations!B$6:C$185,2,FALSE)," "))))</f>
        <v/>
      </c>
      <c r="C155" s="114" t="str">
        <f>IF(ISNA(VLOOKUP($F155,Declarations!B$6:C$185,2,FALSE)),"",IF(VLOOKUP($F155,Declarations!B$6:C$185,2,FALSE)="","NOT DECLARED",IF(ISNA(_xlfn.TEXTAFTER(VLOOKUP($F155,Declarations!B$6:C$185,2,FALSE)," ")),VLOOKUP($F155,Declarations!B$6:C$185,2,FALSE),_xlfn.TEXTAFTER(VLOOKUP($F155,Declarations!B$6:C$185,2,FALSE)," "))))</f>
        <v/>
      </c>
      <c r="D155" s="114" t="str">
        <f>IF(ISNA(VLOOKUP($F155,Declarations!$B$6:$F$185,5,FALSE)),"",IF(VLOOKUP($F155,Declarations!$B$6:$F$185,5,FALSE)="","NOT DECLARED",VLOOKUP($F155,Declarations!$B$6:$F$185,5,FALSE)))</f>
        <v/>
      </c>
      <c r="E155" s="112" t="str">
        <f>IF(ISNA(VLOOKUP($F155,Declarations!$B$6:$D$185,3,FALSE)),"",IF(VLOOKUP($F155,Declarations!$B$6:$D$185,3,FALSE)="","NOT DECLARED",VLOOKUP($F155,Declarations!$B$6:$D$185,3,FALSE)&amp;LEFT(VLOOKUP($F155,Declarations!$B$6:$E$185,4,FALSE))))</f>
        <v/>
      </c>
      <c r="F155" s="58"/>
      <c r="G155" s="122"/>
      <c r="H155" s="122"/>
      <c r="I155" s="114" t="str">
        <f>IF(ISNA(VLOOKUP(F155,Declarations!B$6:C$185,2,FALSE)),"",IF(VLOOKUP(F155,Declarations!B$6:C$185,2,FALSE)="","NOT DECLARED",VLOOKUP(F155,Declarations!B$6:C$185,2,FALSE)))</f>
        <v/>
      </c>
      <c r="J155" s="112">
        <f>IF(LOWER(G155)="dnf",1,IF(G155&lt;ScoringTable!B$3,ScoringTable!I$2,VLOOKUP((1000-G155),ScoringTable!G$2:I$95,3)))</f>
        <v>0</v>
      </c>
      <c r="K155" s="112" t="str">
        <f>IF(OR(E155="",G155=""),"",IF(RIGHT(E155,1)="G",_xlfn.XLOOKUP(G155,Data!$D$10:$L$10,Data!$D$9:$L$9,"",1,1),_xlfn.XLOOKUP(G155,Data!$D$3:$L$3,Data!$D$2:$L$2,"",1,1)))</f>
        <v/>
      </c>
      <c r="L155" s="160" t="str" cm="1">
        <f t="array" ref="L155">IFERROR(_xlfn.IFNA(
                      _xlfn.IFS(
                      G155="", "",
                      AND(E155="U12B",G155&lt;=Data!$M$3), "U12 Boys record",
                      AND(E155="U12G",G155&lt;=Data!$M$10), "U12 Girls record"
                       ),""), "")</f>
        <v/>
      </c>
      <c r="M155" s="18" cm="1">
        <f t="array" ref="M155">_xlfn.IFS($G155="",0, AND(NOT(ISNUMBER($G155)),LOWER($G155)&lt;&gt;"dnf"),"Not a valid time",OR(LOWER($G155)="dnf",$G155&gt;ScoringTable!$M$161),1,RIGHT($E155,1)="B",_xlfn.XLOOKUP($G155,ScoringTable!$M$2:$M$161,ScoringTable!$L$2:$L$161,,1),TRUE,_xlfn.XLOOKUP($G155,ScoringTable!$S$2:$S$161,ScoringTable!$R$2:$R$161,,1))</f>
        <v>0</v>
      </c>
    </row>
    <row r="156" spans="1:13" s="7" customFormat="1" ht="16.05" customHeight="1">
      <c r="A156" s="243" t="s">
        <v>85</v>
      </c>
      <c r="B156" s="114" t="str">
        <f>IF(ISNA(VLOOKUP($F156,Declarations!B$6:C$185,2,FALSE)),"",IF(VLOOKUP($F156,Declarations!B$6:C$185,2,FALSE)="","NOT DECLARED",IF(ISNA(_xlfn.TEXTBEFORE(VLOOKUP($F156,Declarations!B$6:C$185,2,FALSE)," ")),VLOOKUP($F156,Declarations!B$6:C$185,2,FALSE),_xlfn.TEXTBEFORE(VLOOKUP($F156,Declarations!B$6:C$185,2,FALSE)," "))))</f>
        <v/>
      </c>
      <c r="C156" s="114" t="str">
        <f>IF(ISNA(VLOOKUP($F156,Declarations!B$6:C$185,2,FALSE)),"",IF(VLOOKUP($F156,Declarations!B$6:C$185,2,FALSE)="","NOT DECLARED",IF(ISNA(_xlfn.TEXTAFTER(VLOOKUP($F156,Declarations!B$6:C$185,2,FALSE)," ")),VLOOKUP($F156,Declarations!B$6:C$185,2,FALSE),_xlfn.TEXTAFTER(VLOOKUP($F156,Declarations!B$6:C$185,2,FALSE)," "))))</f>
        <v/>
      </c>
      <c r="D156" s="114" t="str">
        <f>IF(ISNA(VLOOKUP($F156,Declarations!$B$6:$F$185,5,FALSE)),"",IF(VLOOKUP($F156,Declarations!$B$6:$F$185,5,FALSE)="","NOT DECLARED",VLOOKUP($F156,Declarations!$B$6:$F$185,5,FALSE)))</f>
        <v/>
      </c>
      <c r="E156" s="112" t="str">
        <f>IF(ISNA(VLOOKUP($F156,Declarations!$B$6:$D$185,3,FALSE)),"",IF(VLOOKUP($F156,Declarations!$B$6:$D$185,3,FALSE)="","NOT DECLARED",VLOOKUP($F156,Declarations!$B$6:$D$185,3,FALSE)&amp;LEFT(VLOOKUP($F156,Declarations!$B$6:$E$185,4,FALSE))))</f>
        <v/>
      </c>
      <c r="F156" s="58"/>
      <c r="G156" s="122"/>
      <c r="H156" s="122"/>
      <c r="I156" s="114" t="str">
        <f>IF(ISNA(VLOOKUP(F156,Declarations!B$6:C$185,2,FALSE)),"",IF(VLOOKUP(F156,Declarations!B$6:C$185,2,FALSE)="","NOT DECLARED",VLOOKUP(F156,Declarations!B$6:C$185,2,FALSE)))</f>
        <v/>
      </c>
      <c r="J156" s="112">
        <f>IF(LOWER(G156)="dnf",1,IF(G156&lt;ScoringTable!B$3,ScoringTable!I$2,VLOOKUP((1000-G156),ScoringTable!G$2:I$95,3)))</f>
        <v>0</v>
      </c>
      <c r="K156" s="112" t="str">
        <f>IF(OR(E156="",G156=""),"",IF(RIGHT(E156,1)="G",_xlfn.XLOOKUP(G156,Data!$D$10:$L$10,Data!$D$9:$L$9,"",1,1),_xlfn.XLOOKUP(G156,Data!$D$3:$L$3,Data!$D$2:$L$2,"",1,1)))</f>
        <v/>
      </c>
      <c r="L156" s="160" t="str" cm="1">
        <f t="array" ref="L156">IFERROR(_xlfn.IFNA(
                      _xlfn.IFS(
                      G156="", "",
                      AND(E156="U12B",G156&lt;=Data!$M$3), "U12 Boys record",
                      AND(E156="U12G",G156&lt;=Data!$M$10), "U12 Girls record"
                       ),""), "")</f>
        <v/>
      </c>
      <c r="M156" s="18" cm="1">
        <f t="array" ref="M156">_xlfn.IFS($G156="",0, AND(NOT(ISNUMBER($G156)),LOWER($G156)&lt;&gt;"dnf"),"Not a valid time",OR(LOWER($G156)="dnf",$G156&gt;ScoringTable!$M$161),1,RIGHT($E156,1)="B",_xlfn.XLOOKUP($G156,ScoringTable!$M$2:$M$161,ScoringTable!$L$2:$L$161,,1),TRUE,_xlfn.XLOOKUP($G156,ScoringTable!$S$2:$S$161,ScoringTable!$R$2:$R$161,,1))</f>
        <v>0</v>
      </c>
    </row>
    <row r="157" spans="1:13" s="7" customFormat="1" ht="16.05" customHeight="1">
      <c r="A157" s="243" t="s">
        <v>85</v>
      </c>
      <c r="B157" s="114" t="str">
        <f>IF(ISNA(VLOOKUP($F157,Declarations!B$6:C$185,2,FALSE)),"",IF(VLOOKUP($F157,Declarations!B$6:C$185,2,FALSE)="","NOT DECLARED",IF(ISNA(_xlfn.TEXTBEFORE(VLOOKUP($F157,Declarations!B$6:C$185,2,FALSE)," ")),VLOOKUP($F157,Declarations!B$6:C$185,2,FALSE),_xlfn.TEXTBEFORE(VLOOKUP($F157,Declarations!B$6:C$185,2,FALSE)," "))))</f>
        <v/>
      </c>
      <c r="C157" s="114" t="str">
        <f>IF(ISNA(VLOOKUP($F157,Declarations!B$6:C$185,2,FALSE)),"",IF(VLOOKUP($F157,Declarations!B$6:C$185,2,FALSE)="","NOT DECLARED",IF(ISNA(_xlfn.TEXTAFTER(VLOOKUP($F157,Declarations!B$6:C$185,2,FALSE)," ")),VLOOKUP($F157,Declarations!B$6:C$185,2,FALSE),_xlfn.TEXTAFTER(VLOOKUP($F157,Declarations!B$6:C$185,2,FALSE)," "))))</f>
        <v/>
      </c>
      <c r="D157" s="114" t="str">
        <f>IF(ISNA(VLOOKUP($F157,Declarations!$B$6:$F$185,5,FALSE)),"",IF(VLOOKUP($F157,Declarations!$B$6:$F$185,5,FALSE)="","NOT DECLARED",VLOOKUP($F157,Declarations!$B$6:$F$185,5,FALSE)))</f>
        <v/>
      </c>
      <c r="E157" s="112" t="str">
        <f>IF(ISNA(VLOOKUP($F157,Declarations!$B$6:$D$185,3,FALSE)),"",IF(VLOOKUP($F157,Declarations!$B$6:$D$185,3,FALSE)="","NOT DECLARED",VLOOKUP($F157,Declarations!$B$6:$D$185,3,FALSE)&amp;LEFT(VLOOKUP($F157,Declarations!$B$6:$E$185,4,FALSE))))</f>
        <v/>
      </c>
      <c r="F157" s="58"/>
      <c r="G157" s="122"/>
      <c r="H157" s="122"/>
      <c r="I157" s="114" t="str">
        <f>IF(ISNA(VLOOKUP(F157,Declarations!B$6:C$185,2,FALSE)),"",IF(VLOOKUP(F157,Declarations!B$6:C$185,2,FALSE)="","NOT DECLARED",VLOOKUP(F157,Declarations!B$6:C$185,2,FALSE)))</f>
        <v/>
      </c>
      <c r="J157" s="112">
        <f>IF(LOWER(G157)="dnf",1,IF(G157&lt;ScoringTable!B$3,ScoringTable!I$2,VLOOKUP((1000-G157),ScoringTable!G$2:I$95,3)))</f>
        <v>0</v>
      </c>
      <c r="K157" s="112" t="str">
        <f>IF(OR(E157="",G157=""),"",IF(RIGHT(E157,1)="G",_xlfn.XLOOKUP(G157,Data!$D$10:$L$10,Data!$D$9:$L$9,"",1,1),_xlfn.XLOOKUP(G157,Data!$D$3:$L$3,Data!$D$2:$L$2,"",1,1)))</f>
        <v/>
      </c>
      <c r="L157" s="160" t="str" cm="1">
        <f t="array" ref="L157">IFERROR(_xlfn.IFNA(
                      _xlfn.IFS(
                      G157="", "",
                      AND(E157="U12B",G157&lt;=Data!$M$3), "U12 Boys record",
                      AND(E157="U12G",G157&lt;=Data!$M$10), "U12 Girls record"
                       ),""), "")</f>
        <v/>
      </c>
      <c r="M157" s="18" cm="1">
        <f t="array" ref="M157">_xlfn.IFS($G157="",0, AND(NOT(ISNUMBER($G157)),LOWER($G157)&lt;&gt;"dnf"),"Not a valid time",OR(LOWER($G157)="dnf",$G157&gt;ScoringTable!$M$161),1,RIGHT($E157,1)="B",_xlfn.XLOOKUP($G157,ScoringTable!$M$2:$M$161,ScoringTable!$L$2:$L$161,,1),TRUE,_xlfn.XLOOKUP($G157,ScoringTable!$S$2:$S$161,ScoringTable!$R$2:$R$161,,1))</f>
        <v>0</v>
      </c>
    </row>
    <row r="158" spans="1:13" s="7" customFormat="1" ht="16.05" customHeight="1">
      <c r="A158" s="243" t="s">
        <v>85</v>
      </c>
      <c r="B158" s="114" t="str">
        <f>IF(ISNA(VLOOKUP($F158,Declarations!B$6:C$185,2,FALSE)),"",IF(VLOOKUP($F158,Declarations!B$6:C$185,2,FALSE)="","NOT DECLARED",IF(ISNA(_xlfn.TEXTBEFORE(VLOOKUP($F158,Declarations!B$6:C$185,2,FALSE)," ")),VLOOKUP($F158,Declarations!B$6:C$185,2,FALSE),_xlfn.TEXTBEFORE(VLOOKUP($F158,Declarations!B$6:C$185,2,FALSE)," "))))</f>
        <v/>
      </c>
      <c r="C158" s="114" t="str">
        <f>IF(ISNA(VLOOKUP($F158,Declarations!B$6:C$185,2,FALSE)),"",IF(VLOOKUP($F158,Declarations!B$6:C$185,2,FALSE)="","NOT DECLARED",IF(ISNA(_xlfn.TEXTAFTER(VLOOKUP($F158,Declarations!B$6:C$185,2,FALSE)," ")),VLOOKUP($F158,Declarations!B$6:C$185,2,FALSE),_xlfn.TEXTAFTER(VLOOKUP($F158,Declarations!B$6:C$185,2,FALSE)," "))))</f>
        <v/>
      </c>
      <c r="D158" s="114" t="str">
        <f>IF(ISNA(VLOOKUP($F158,Declarations!$B$6:$F$185,5,FALSE)),"",IF(VLOOKUP($F158,Declarations!$B$6:$F$185,5,FALSE)="","NOT DECLARED",VLOOKUP($F158,Declarations!$B$6:$F$185,5,FALSE)))</f>
        <v/>
      </c>
      <c r="E158" s="112" t="str">
        <f>IF(ISNA(VLOOKUP($F158,Declarations!$B$6:$D$185,3,FALSE)),"",IF(VLOOKUP($F158,Declarations!$B$6:$D$185,3,FALSE)="","NOT DECLARED",VLOOKUP($F158,Declarations!$B$6:$D$185,3,FALSE)&amp;LEFT(VLOOKUP($F158,Declarations!$B$6:$E$185,4,FALSE))))</f>
        <v/>
      </c>
      <c r="F158" s="58"/>
      <c r="G158" s="122"/>
      <c r="H158" s="122"/>
      <c r="I158" s="114" t="str">
        <f>IF(ISNA(VLOOKUP(F158,Declarations!B$6:C$185,2,FALSE)),"",IF(VLOOKUP(F158,Declarations!B$6:C$185,2,FALSE)="","NOT DECLARED",VLOOKUP(F158,Declarations!B$6:C$185,2,FALSE)))</f>
        <v/>
      </c>
      <c r="J158" s="112">
        <f>IF(LOWER(G158)="dnf",1,IF(G158&lt;ScoringTable!B$3,ScoringTable!I$2,VLOOKUP((1000-G158),ScoringTable!G$2:I$95,3)))</f>
        <v>0</v>
      </c>
      <c r="K158" s="112" t="str">
        <f>IF(OR(E158="",G158=""),"",IF(RIGHT(E158,1)="G",_xlfn.XLOOKUP(G158,Data!$D$10:$L$10,Data!$D$9:$L$9,"",1,1),_xlfn.XLOOKUP(G158,Data!$D$3:$L$3,Data!$D$2:$L$2,"",1,1)))</f>
        <v/>
      </c>
      <c r="L158" s="160" t="str" cm="1">
        <f t="array" ref="L158">IFERROR(_xlfn.IFNA(
                      _xlfn.IFS(
                      G158="", "",
                      AND(E158="U12B",G158&lt;=Data!$M$3), "U12 Boys record",
                      AND(E158="U12G",G158&lt;=Data!$M$10), "U12 Girls record"
                       ),""), "")</f>
        <v/>
      </c>
      <c r="M158" s="18" cm="1">
        <f t="array" ref="M158">_xlfn.IFS($G158="",0, AND(NOT(ISNUMBER($G158)),LOWER($G158)&lt;&gt;"dnf"),"Not a valid time",OR(LOWER($G158)="dnf",$G158&gt;ScoringTable!$M$161),1,RIGHT($E158,1)="B",_xlfn.XLOOKUP($G158,ScoringTable!$M$2:$M$161,ScoringTable!$L$2:$L$161,,1),TRUE,_xlfn.XLOOKUP($G158,ScoringTable!$S$2:$S$161,ScoringTable!$R$2:$R$161,,1))</f>
        <v>0</v>
      </c>
    </row>
    <row r="159" spans="1:13" s="7" customFormat="1" ht="16.05" customHeight="1">
      <c r="A159" s="243" t="s">
        <v>85</v>
      </c>
      <c r="B159" s="114" t="str">
        <f>IF(ISNA(VLOOKUP($F159,Declarations!B$6:C$185,2,FALSE)),"",IF(VLOOKUP($F159,Declarations!B$6:C$185,2,FALSE)="","NOT DECLARED",IF(ISNA(_xlfn.TEXTBEFORE(VLOOKUP($F159,Declarations!B$6:C$185,2,FALSE)," ")),VLOOKUP($F159,Declarations!B$6:C$185,2,FALSE),_xlfn.TEXTBEFORE(VLOOKUP($F159,Declarations!B$6:C$185,2,FALSE)," "))))</f>
        <v/>
      </c>
      <c r="C159" s="114" t="str">
        <f>IF(ISNA(VLOOKUP($F159,Declarations!B$6:C$185,2,FALSE)),"",IF(VLOOKUP($F159,Declarations!B$6:C$185,2,FALSE)="","NOT DECLARED",IF(ISNA(_xlfn.TEXTAFTER(VLOOKUP($F159,Declarations!B$6:C$185,2,FALSE)," ")),VLOOKUP($F159,Declarations!B$6:C$185,2,FALSE),_xlfn.TEXTAFTER(VLOOKUP($F159,Declarations!B$6:C$185,2,FALSE)," "))))</f>
        <v/>
      </c>
      <c r="D159" s="114" t="str">
        <f>IF(ISNA(VLOOKUP($F159,Declarations!$B$6:$F$185,5,FALSE)),"",IF(VLOOKUP($F159,Declarations!$B$6:$F$185,5,FALSE)="","NOT DECLARED",VLOOKUP($F159,Declarations!$B$6:$F$185,5,FALSE)))</f>
        <v/>
      </c>
      <c r="E159" s="112" t="str">
        <f>IF(ISNA(VLOOKUP($F159,Declarations!$B$6:$D$185,3,FALSE)),"",IF(VLOOKUP($F159,Declarations!$B$6:$D$185,3,FALSE)="","NOT DECLARED",VLOOKUP($F159,Declarations!$B$6:$D$185,3,FALSE)&amp;LEFT(VLOOKUP($F159,Declarations!$B$6:$E$185,4,FALSE))))</f>
        <v/>
      </c>
      <c r="F159" s="58"/>
      <c r="G159" s="122"/>
      <c r="H159" s="122"/>
      <c r="I159" s="114" t="str">
        <f>IF(ISNA(VLOOKUP(F159,Declarations!B$6:C$185,2,FALSE)),"",IF(VLOOKUP(F159,Declarations!B$6:C$185,2,FALSE)="","NOT DECLARED",VLOOKUP(F159,Declarations!B$6:C$185,2,FALSE)))</f>
        <v/>
      </c>
      <c r="J159" s="112">
        <f>IF(LOWER(G159)="dnf",1,IF(G159&lt;ScoringTable!B$3,ScoringTable!I$2,VLOOKUP((1000-G159),ScoringTable!G$2:I$95,3)))</f>
        <v>0</v>
      </c>
      <c r="K159" s="112" t="str">
        <f>IF(OR(E159="",G159=""),"",IF(RIGHT(E159,1)="G",_xlfn.XLOOKUP(G159,Data!$D$10:$L$10,Data!$D$9:$L$9,"",1,1),_xlfn.XLOOKUP(G159,Data!$D$3:$L$3,Data!$D$2:$L$2,"",1,1)))</f>
        <v/>
      </c>
      <c r="L159" s="160" t="str" cm="1">
        <f t="array" ref="L159">IFERROR(_xlfn.IFNA(
                      _xlfn.IFS(
                      G159="", "",
                      AND(E159="U12B",G159&lt;=Data!$M$3), "U12 Boys record",
                      AND(E159="U12G",G159&lt;=Data!$M$10), "U12 Girls record"
                       ),""), "")</f>
        <v/>
      </c>
      <c r="M159" s="18" cm="1">
        <f t="array" ref="M159">_xlfn.IFS($G159="",0, AND(NOT(ISNUMBER($G159)),LOWER($G159)&lt;&gt;"dnf"),"Not a valid time",OR(LOWER($G159)="dnf",$G159&gt;ScoringTable!$M$161),1,RIGHT($E159,1)="B",_xlfn.XLOOKUP($G159,ScoringTable!$M$2:$M$161,ScoringTable!$L$2:$L$161,,1),TRUE,_xlfn.XLOOKUP($G159,ScoringTable!$S$2:$S$161,ScoringTable!$R$2:$R$161,,1))</f>
        <v>0</v>
      </c>
    </row>
    <row r="160" spans="1:13" s="7" customFormat="1" ht="16.05" customHeight="1">
      <c r="A160" s="243" t="s">
        <v>85</v>
      </c>
      <c r="B160" s="114" t="str">
        <f>IF(ISNA(VLOOKUP($F160,Declarations!B$6:C$185,2,FALSE)),"",IF(VLOOKUP($F160,Declarations!B$6:C$185,2,FALSE)="","NOT DECLARED",IF(ISNA(_xlfn.TEXTBEFORE(VLOOKUP($F160,Declarations!B$6:C$185,2,FALSE)," ")),VLOOKUP($F160,Declarations!B$6:C$185,2,FALSE),_xlfn.TEXTBEFORE(VLOOKUP($F160,Declarations!B$6:C$185,2,FALSE)," "))))</f>
        <v/>
      </c>
      <c r="C160" s="114" t="str">
        <f>IF(ISNA(VLOOKUP($F160,Declarations!B$6:C$185,2,FALSE)),"",IF(VLOOKUP($F160,Declarations!B$6:C$185,2,FALSE)="","NOT DECLARED",IF(ISNA(_xlfn.TEXTAFTER(VLOOKUP($F160,Declarations!B$6:C$185,2,FALSE)," ")),VLOOKUP($F160,Declarations!B$6:C$185,2,FALSE),_xlfn.TEXTAFTER(VLOOKUP($F160,Declarations!B$6:C$185,2,FALSE)," "))))</f>
        <v/>
      </c>
      <c r="D160" s="114" t="str">
        <f>IF(ISNA(VLOOKUP($F160,Declarations!$B$6:$F$185,5,FALSE)),"",IF(VLOOKUP($F160,Declarations!$B$6:$F$185,5,FALSE)="","NOT DECLARED",VLOOKUP($F160,Declarations!$B$6:$F$185,5,FALSE)))</f>
        <v/>
      </c>
      <c r="E160" s="112" t="str">
        <f>IF(ISNA(VLOOKUP($F160,Declarations!$B$6:$D$185,3,FALSE)),"",IF(VLOOKUP($F160,Declarations!$B$6:$D$185,3,FALSE)="","NOT DECLARED",VLOOKUP($F160,Declarations!$B$6:$D$185,3,FALSE)&amp;LEFT(VLOOKUP($F160,Declarations!$B$6:$E$185,4,FALSE))))</f>
        <v/>
      </c>
      <c r="F160" s="58"/>
      <c r="G160" s="122"/>
      <c r="H160" s="122"/>
      <c r="I160" s="114" t="str">
        <f>IF(ISNA(VLOOKUP(F160,Declarations!B$6:C$185,2,FALSE)),"",IF(VLOOKUP(F160,Declarations!B$6:C$185,2,FALSE)="","NOT DECLARED",VLOOKUP(F160,Declarations!B$6:C$185,2,FALSE)))</f>
        <v/>
      </c>
      <c r="J160" s="112">
        <f>IF(LOWER(G160)="dnf",1,IF(G160&lt;ScoringTable!B$3,ScoringTable!I$2,VLOOKUP((1000-G160),ScoringTable!G$2:I$95,3)))</f>
        <v>0</v>
      </c>
      <c r="K160" s="112" t="str">
        <f>IF(OR(E160="",G160=""),"",IF(RIGHT(E160,1)="G",_xlfn.XLOOKUP(G160,Data!$D$10:$L$10,Data!$D$9:$L$9,"",1,1),_xlfn.XLOOKUP(G160,Data!$D$3:$L$3,Data!$D$2:$L$2,"",1,1)))</f>
        <v/>
      </c>
      <c r="L160" s="160" t="str" cm="1">
        <f t="array" ref="L160">IFERROR(_xlfn.IFNA(
                      _xlfn.IFS(
                      G160="", "",
                      AND(E160="U12B",G160&lt;=Data!$M$3), "U12 Boys record",
                      AND(E160="U12G",G160&lt;=Data!$M$10), "U12 Girls record"
                       ),""), "")</f>
        <v/>
      </c>
      <c r="M160" s="18" cm="1">
        <f t="array" ref="M160">_xlfn.IFS($G160="",0, AND(NOT(ISNUMBER($G160)),LOWER($G160)&lt;&gt;"dnf"),"Not a valid time",OR(LOWER($G160)="dnf",$G160&gt;ScoringTable!$M$161),1,RIGHT($E160,1)="B",_xlfn.XLOOKUP($G160,ScoringTable!$M$2:$M$161,ScoringTable!$L$2:$L$161,,1),TRUE,_xlfn.XLOOKUP($G160,ScoringTable!$S$2:$S$161,ScoringTable!$R$2:$R$161,,1))</f>
        <v>0</v>
      </c>
    </row>
    <row r="161" spans="1:13" s="7" customFormat="1" ht="16.05" customHeight="1">
      <c r="A161" s="243" t="s">
        <v>85</v>
      </c>
      <c r="B161" s="114" t="str">
        <f>IF(ISNA(VLOOKUP($F161,Declarations!B$6:C$185,2,FALSE)),"",IF(VLOOKUP($F161,Declarations!B$6:C$185,2,FALSE)="","NOT DECLARED",IF(ISNA(_xlfn.TEXTBEFORE(VLOOKUP($F161,Declarations!B$6:C$185,2,FALSE)," ")),VLOOKUP($F161,Declarations!B$6:C$185,2,FALSE),_xlfn.TEXTBEFORE(VLOOKUP($F161,Declarations!B$6:C$185,2,FALSE)," "))))</f>
        <v/>
      </c>
      <c r="C161" s="114" t="str">
        <f>IF(ISNA(VLOOKUP($F161,Declarations!B$6:C$185,2,FALSE)),"",IF(VLOOKUP($F161,Declarations!B$6:C$185,2,FALSE)="","NOT DECLARED",IF(ISNA(_xlfn.TEXTAFTER(VLOOKUP($F161,Declarations!B$6:C$185,2,FALSE)," ")),VLOOKUP($F161,Declarations!B$6:C$185,2,FALSE),_xlfn.TEXTAFTER(VLOOKUP($F161,Declarations!B$6:C$185,2,FALSE)," "))))</f>
        <v/>
      </c>
      <c r="D161" s="114" t="str">
        <f>IF(ISNA(VLOOKUP($F161,Declarations!$B$6:$F$185,5,FALSE)),"",IF(VLOOKUP($F161,Declarations!$B$6:$F$185,5,FALSE)="","NOT DECLARED",VLOOKUP($F161,Declarations!$B$6:$F$185,5,FALSE)))</f>
        <v/>
      </c>
      <c r="E161" s="112" t="str">
        <f>IF(ISNA(VLOOKUP($F161,Declarations!$B$6:$D$185,3,FALSE)),"",IF(VLOOKUP($F161,Declarations!$B$6:$D$185,3,FALSE)="","NOT DECLARED",VLOOKUP($F161,Declarations!$B$6:$D$185,3,FALSE)&amp;LEFT(VLOOKUP($F161,Declarations!$B$6:$E$185,4,FALSE))))</f>
        <v/>
      </c>
      <c r="F161" s="58"/>
      <c r="G161" s="122"/>
      <c r="H161" s="122"/>
      <c r="I161" s="114" t="str">
        <f>IF(ISNA(VLOOKUP(F161,Declarations!B$6:C$185,2,FALSE)),"",IF(VLOOKUP(F161,Declarations!B$6:C$185,2,FALSE)="","NOT DECLARED",VLOOKUP(F161,Declarations!B$6:C$185,2,FALSE)))</f>
        <v/>
      </c>
      <c r="J161" s="112">
        <f>IF(LOWER(G161)="dnf",1,IF(G161&lt;ScoringTable!B$3,ScoringTable!I$2,VLOOKUP((1000-G161),ScoringTable!G$2:I$95,3)))</f>
        <v>0</v>
      </c>
      <c r="K161" s="112" t="str">
        <f>IF(OR(E161="",G161=""),"",IF(RIGHT(E161,1)="G",_xlfn.XLOOKUP(G161,Data!$D$10:$L$10,Data!$D$9:$L$9,"",1,1),_xlfn.XLOOKUP(G161,Data!$D$3:$L$3,Data!$D$2:$L$2,"",1,1)))</f>
        <v/>
      </c>
      <c r="L161" s="160" t="str" cm="1">
        <f t="array" ref="L161">IFERROR(_xlfn.IFNA(
                      _xlfn.IFS(
                      G161="", "",
                      AND(E161="U12B",G161&lt;=Data!$M$3), "U12 Boys record",
                      AND(E161="U12G",G161&lt;=Data!$M$10), "U12 Girls record"
                       ),""), "")</f>
        <v/>
      </c>
      <c r="M161" s="18" cm="1">
        <f t="array" ref="M161">_xlfn.IFS($G161="",0, AND(NOT(ISNUMBER($G161)),LOWER($G161)&lt;&gt;"dnf"),"Not a valid time",OR(LOWER($G161)="dnf",$G161&gt;ScoringTable!$M$161),1,RIGHT($E161,1)="B",_xlfn.XLOOKUP($G161,ScoringTable!$M$2:$M$161,ScoringTable!$L$2:$L$161,,1),TRUE,_xlfn.XLOOKUP($G161,ScoringTable!$S$2:$S$161,ScoringTable!$R$2:$R$161,,1))</f>
        <v>0</v>
      </c>
    </row>
    <row r="162" spans="1:13" s="7" customFormat="1" ht="16.05" customHeight="1">
      <c r="A162" s="243" t="s">
        <v>85</v>
      </c>
      <c r="B162" s="114" t="str">
        <f>IF(ISNA(VLOOKUP($F162,Declarations!B$6:C$185,2,FALSE)),"",IF(VLOOKUP($F162,Declarations!B$6:C$185,2,FALSE)="","NOT DECLARED",IF(ISNA(_xlfn.TEXTBEFORE(VLOOKUP($F162,Declarations!B$6:C$185,2,FALSE)," ")),VLOOKUP($F162,Declarations!B$6:C$185,2,FALSE),_xlfn.TEXTBEFORE(VLOOKUP($F162,Declarations!B$6:C$185,2,FALSE)," "))))</f>
        <v/>
      </c>
      <c r="C162" s="114" t="str">
        <f>IF(ISNA(VLOOKUP($F162,Declarations!B$6:C$185,2,FALSE)),"",IF(VLOOKUP($F162,Declarations!B$6:C$185,2,FALSE)="","NOT DECLARED",IF(ISNA(_xlfn.TEXTAFTER(VLOOKUP($F162,Declarations!B$6:C$185,2,FALSE)," ")),VLOOKUP($F162,Declarations!B$6:C$185,2,FALSE),_xlfn.TEXTAFTER(VLOOKUP($F162,Declarations!B$6:C$185,2,FALSE)," "))))</f>
        <v/>
      </c>
      <c r="D162" s="114" t="str">
        <f>IF(ISNA(VLOOKUP($F162,Declarations!$B$6:$F$185,5,FALSE)),"",IF(VLOOKUP($F162,Declarations!$B$6:$F$185,5,FALSE)="","NOT DECLARED",VLOOKUP($F162,Declarations!$B$6:$F$185,5,FALSE)))</f>
        <v/>
      </c>
      <c r="E162" s="112" t="str">
        <f>IF(ISNA(VLOOKUP($F162,Declarations!$B$6:$D$185,3,FALSE)),"",IF(VLOOKUP($F162,Declarations!$B$6:$D$185,3,FALSE)="","NOT DECLARED",VLOOKUP($F162,Declarations!$B$6:$D$185,3,FALSE)&amp;LEFT(VLOOKUP($F162,Declarations!$B$6:$E$185,4,FALSE))))</f>
        <v/>
      </c>
      <c r="F162" s="58"/>
      <c r="G162" s="122"/>
      <c r="H162" s="122"/>
      <c r="I162" s="114" t="str">
        <f>IF(ISNA(VLOOKUP(F162,Declarations!B$6:C$185,2,FALSE)),"",IF(VLOOKUP(F162,Declarations!B$6:C$185,2,FALSE)="","NOT DECLARED",VLOOKUP(F162,Declarations!B$6:C$185,2,FALSE)))</f>
        <v/>
      </c>
      <c r="J162" s="112">
        <f>IF(LOWER(G162)="dnf",1,IF(G162&lt;ScoringTable!B$3,ScoringTable!I$2,VLOOKUP((1000-G162),ScoringTable!G$2:I$95,3)))</f>
        <v>0</v>
      </c>
      <c r="K162" s="112" t="str">
        <f>IF(OR(E162="",G162=""),"",IF(RIGHT(E162,1)="G",_xlfn.XLOOKUP(G162,Data!$D$10:$L$10,Data!$D$9:$L$9,"",1,1),_xlfn.XLOOKUP(G162,Data!$D$3:$L$3,Data!$D$2:$L$2,"",1,1)))</f>
        <v/>
      </c>
      <c r="L162" s="160" t="str" cm="1">
        <f t="array" ref="L162">IFERROR(_xlfn.IFNA(
                      _xlfn.IFS(
                      G162="", "",
                      AND(E162="U12B",G162&lt;=Data!$M$3), "U12 Boys record",
                      AND(E162="U12G",G162&lt;=Data!$M$10), "U12 Girls record"
                       ),""), "")</f>
        <v/>
      </c>
      <c r="M162" s="18" cm="1">
        <f t="array" ref="M162">_xlfn.IFS($G162="",0, AND(NOT(ISNUMBER($G162)),LOWER($G162)&lt;&gt;"dnf"),"Not a valid time",OR(LOWER($G162)="dnf",$G162&gt;ScoringTable!$M$161),1,RIGHT($E162,1)="B",_xlfn.XLOOKUP($G162,ScoringTable!$M$2:$M$161,ScoringTable!$L$2:$L$161,,1),TRUE,_xlfn.XLOOKUP($G162,ScoringTable!$S$2:$S$161,ScoringTable!$R$2:$R$161,,1))</f>
        <v>0</v>
      </c>
    </row>
    <row r="163" spans="1:13" s="7" customFormat="1" ht="16.05" customHeight="1">
      <c r="A163" s="243" t="s">
        <v>85</v>
      </c>
      <c r="B163" s="114" t="str">
        <f>IF(ISNA(VLOOKUP($F163,Declarations!B$6:C$185,2,FALSE)),"",IF(VLOOKUP($F163,Declarations!B$6:C$185,2,FALSE)="","NOT DECLARED",IF(ISNA(_xlfn.TEXTBEFORE(VLOOKUP($F163,Declarations!B$6:C$185,2,FALSE)," ")),VLOOKUP($F163,Declarations!B$6:C$185,2,FALSE),_xlfn.TEXTBEFORE(VLOOKUP($F163,Declarations!B$6:C$185,2,FALSE)," "))))</f>
        <v/>
      </c>
      <c r="C163" s="114" t="str">
        <f>IF(ISNA(VLOOKUP($F163,Declarations!B$6:C$185,2,FALSE)),"",IF(VLOOKUP($F163,Declarations!B$6:C$185,2,FALSE)="","NOT DECLARED",IF(ISNA(_xlfn.TEXTAFTER(VLOOKUP($F163,Declarations!B$6:C$185,2,FALSE)," ")),VLOOKUP($F163,Declarations!B$6:C$185,2,FALSE),_xlfn.TEXTAFTER(VLOOKUP($F163,Declarations!B$6:C$185,2,FALSE)," "))))</f>
        <v/>
      </c>
      <c r="D163" s="114" t="str">
        <f>IF(ISNA(VLOOKUP($F163,Declarations!$B$6:$F$185,5,FALSE)),"",IF(VLOOKUP($F163,Declarations!$B$6:$F$185,5,FALSE)="","NOT DECLARED",VLOOKUP($F163,Declarations!$B$6:$F$185,5,FALSE)))</f>
        <v/>
      </c>
      <c r="E163" s="112" t="str">
        <f>IF(ISNA(VLOOKUP($F163,Declarations!$B$6:$D$185,3,FALSE)),"",IF(VLOOKUP($F163,Declarations!$B$6:$D$185,3,FALSE)="","NOT DECLARED",VLOOKUP($F163,Declarations!$B$6:$D$185,3,FALSE)&amp;LEFT(VLOOKUP($F163,Declarations!$B$6:$E$185,4,FALSE))))</f>
        <v/>
      </c>
      <c r="F163" s="58"/>
      <c r="G163" s="122"/>
      <c r="H163" s="122"/>
      <c r="I163" s="114" t="str">
        <f>IF(ISNA(VLOOKUP(F163,Declarations!B$6:C$185,2,FALSE)),"",IF(VLOOKUP(F163,Declarations!B$6:C$185,2,FALSE)="","NOT DECLARED",VLOOKUP(F163,Declarations!B$6:C$185,2,FALSE)))</f>
        <v/>
      </c>
      <c r="J163" s="112">
        <f>IF(LOWER(G163)="dnf",1,IF(G163&lt;ScoringTable!B$3,ScoringTable!I$2,VLOOKUP((1000-G163),ScoringTable!G$2:I$95,3)))</f>
        <v>0</v>
      </c>
      <c r="K163" s="112" t="str">
        <f>IF(OR(E163="",G163=""),"",IF(RIGHT(E163,1)="G",_xlfn.XLOOKUP(G163,Data!$D$10:$L$10,Data!$D$9:$L$9,"",1,1),_xlfn.XLOOKUP(G163,Data!$D$3:$L$3,Data!$D$2:$L$2,"",1,1)))</f>
        <v/>
      </c>
      <c r="L163" s="160" t="str" cm="1">
        <f t="array" ref="L163">IFERROR(_xlfn.IFNA(
                      _xlfn.IFS(
                      G163="", "",
                      AND(E163="U12B",G163&lt;=Data!$M$3), "U12 Boys record",
                      AND(E163="U12G",G163&lt;=Data!$M$10), "U12 Girls record"
                       ),""), "")</f>
        <v/>
      </c>
      <c r="M163" s="18" cm="1">
        <f t="array" ref="M163">_xlfn.IFS($G163="",0, AND(NOT(ISNUMBER($G163)),LOWER($G163)&lt;&gt;"dnf"),"Not a valid time",OR(LOWER($G163)="dnf",$G163&gt;ScoringTable!$M$161),1,RIGHT($E163,1)="B",_xlfn.XLOOKUP($G163,ScoringTable!$M$2:$M$161,ScoringTable!$L$2:$L$161,,1),TRUE,_xlfn.XLOOKUP($G163,ScoringTable!$S$2:$S$161,ScoringTable!$R$2:$R$161,,1))</f>
        <v>0</v>
      </c>
    </row>
    <row r="164" spans="1:13" s="7" customFormat="1" ht="16.05" customHeight="1">
      <c r="A164" s="243" t="s">
        <v>85</v>
      </c>
      <c r="B164" s="114" t="str">
        <f>IF(ISNA(VLOOKUP($F164,Declarations!B$6:C$185,2,FALSE)),"",IF(VLOOKUP($F164,Declarations!B$6:C$185,2,FALSE)="","NOT DECLARED",IF(ISNA(_xlfn.TEXTBEFORE(VLOOKUP($F164,Declarations!B$6:C$185,2,FALSE)," ")),VLOOKUP($F164,Declarations!B$6:C$185,2,FALSE),_xlfn.TEXTBEFORE(VLOOKUP($F164,Declarations!B$6:C$185,2,FALSE)," "))))</f>
        <v/>
      </c>
      <c r="C164" s="114" t="str">
        <f>IF(ISNA(VLOOKUP($F164,Declarations!B$6:C$185,2,FALSE)),"",IF(VLOOKUP($F164,Declarations!B$6:C$185,2,FALSE)="","NOT DECLARED",IF(ISNA(_xlfn.TEXTAFTER(VLOOKUP($F164,Declarations!B$6:C$185,2,FALSE)," ")),VLOOKUP($F164,Declarations!B$6:C$185,2,FALSE),_xlfn.TEXTAFTER(VLOOKUP($F164,Declarations!B$6:C$185,2,FALSE)," "))))</f>
        <v/>
      </c>
      <c r="D164" s="114" t="str">
        <f>IF(ISNA(VLOOKUP($F164,Declarations!$B$6:$F$185,5,FALSE)),"",IF(VLOOKUP($F164,Declarations!$B$6:$F$185,5,FALSE)="","NOT DECLARED",VLOOKUP($F164,Declarations!$B$6:$F$185,5,FALSE)))</f>
        <v/>
      </c>
      <c r="E164" s="112" t="str">
        <f>IF(ISNA(VLOOKUP($F164,Declarations!$B$6:$D$185,3,FALSE)),"",IF(VLOOKUP($F164,Declarations!$B$6:$D$185,3,FALSE)="","NOT DECLARED",VLOOKUP($F164,Declarations!$B$6:$D$185,3,FALSE)&amp;LEFT(VLOOKUP($F164,Declarations!$B$6:$E$185,4,FALSE))))</f>
        <v/>
      </c>
      <c r="F164" s="58"/>
      <c r="G164" s="122"/>
      <c r="H164" s="122"/>
      <c r="I164" s="114" t="str">
        <f>IF(ISNA(VLOOKUP(F164,Declarations!B$6:C$185,2,FALSE)),"",IF(VLOOKUP(F164,Declarations!B$6:C$185,2,FALSE)="","NOT DECLARED",VLOOKUP(F164,Declarations!B$6:C$185,2,FALSE)))</f>
        <v/>
      </c>
      <c r="J164" s="112">
        <f>IF(LOWER(G164)="dnf",1,IF(G164&lt;ScoringTable!B$3,ScoringTable!I$2,VLOOKUP((1000-G164),ScoringTable!G$2:I$95,3)))</f>
        <v>0</v>
      </c>
      <c r="K164" s="112" t="str">
        <f>IF(OR(E164="",G164=""),"",IF(RIGHT(E164,1)="G",_xlfn.XLOOKUP(G164,Data!$D$10:$L$10,Data!$D$9:$L$9,"",1,1),_xlfn.XLOOKUP(G164,Data!$D$3:$L$3,Data!$D$2:$L$2,"",1,1)))</f>
        <v/>
      </c>
      <c r="L164" s="160" t="str" cm="1">
        <f t="array" ref="L164">IFERROR(_xlfn.IFNA(
                      _xlfn.IFS(
                      G164="", "",
                      AND(E164="U12B",G164&lt;=Data!$M$3), "U12 Boys record",
                      AND(E164="U12G",G164&lt;=Data!$M$10), "U12 Girls record"
                       ),""), "")</f>
        <v/>
      </c>
      <c r="M164" s="18" cm="1">
        <f t="array" ref="M164">_xlfn.IFS($G164="",0, AND(NOT(ISNUMBER($G164)),LOWER($G164)&lt;&gt;"dnf"),"Not a valid time",OR(LOWER($G164)="dnf",$G164&gt;ScoringTable!$M$161),1,RIGHT($E164,1)="B",_xlfn.XLOOKUP($G164,ScoringTable!$M$2:$M$161,ScoringTable!$L$2:$L$161,,1),TRUE,_xlfn.XLOOKUP($G164,ScoringTable!$S$2:$S$161,ScoringTable!$R$2:$R$161,,1))</f>
        <v>0</v>
      </c>
    </row>
    <row r="165" spans="1:13" s="7" customFormat="1" ht="16.05" customHeight="1">
      <c r="A165" s="243" t="s">
        <v>85</v>
      </c>
      <c r="B165" s="114" t="str">
        <f>IF(ISNA(VLOOKUP($F165,Declarations!B$6:C$185,2,FALSE)),"",IF(VLOOKUP($F165,Declarations!B$6:C$185,2,FALSE)="","NOT DECLARED",IF(ISNA(_xlfn.TEXTBEFORE(VLOOKUP($F165,Declarations!B$6:C$185,2,FALSE)," ")),VLOOKUP($F165,Declarations!B$6:C$185,2,FALSE),_xlfn.TEXTBEFORE(VLOOKUP($F165,Declarations!B$6:C$185,2,FALSE)," "))))</f>
        <v/>
      </c>
      <c r="C165" s="114" t="str">
        <f>IF(ISNA(VLOOKUP($F165,Declarations!B$6:C$185,2,FALSE)),"",IF(VLOOKUP($F165,Declarations!B$6:C$185,2,FALSE)="","NOT DECLARED",IF(ISNA(_xlfn.TEXTAFTER(VLOOKUP($F165,Declarations!B$6:C$185,2,FALSE)," ")),VLOOKUP($F165,Declarations!B$6:C$185,2,FALSE),_xlfn.TEXTAFTER(VLOOKUP($F165,Declarations!B$6:C$185,2,FALSE)," "))))</f>
        <v/>
      </c>
      <c r="D165" s="114" t="str">
        <f>IF(ISNA(VLOOKUP($F165,Declarations!$B$6:$F$185,5,FALSE)),"",IF(VLOOKUP($F165,Declarations!$B$6:$F$185,5,FALSE)="","NOT DECLARED",VLOOKUP($F165,Declarations!$B$6:$F$185,5,FALSE)))</f>
        <v/>
      </c>
      <c r="E165" s="112" t="str">
        <f>IF(ISNA(VLOOKUP($F165,Declarations!$B$6:$D$185,3,FALSE)),"",IF(VLOOKUP($F165,Declarations!$B$6:$D$185,3,FALSE)="","NOT DECLARED",VLOOKUP($F165,Declarations!$B$6:$D$185,3,FALSE)&amp;LEFT(VLOOKUP($F165,Declarations!$B$6:$E$185,4,FALSE))))</f>
        <v/>
      </c>
      <c r="F165" s="58"/>
      <c r="G165" s="122"/>
      <c r="H165" s="122"/>
      <c r="I165" s="114" t="str">
        <f>IF(ISNA(VLOOKUP(F165,Declarations!B$6:C$185,2,FALSE)),"",IF(VLOOKUP(F165,Declarations!B$6:C$185,2,FALSE)="","NOT DECLARED",VLOOKUP(F165,Declarations!B$6:C$185,2,FALSE)))</f>
        <v/>
      </c>
      <c r="J165" s="112">
        <f>IF(LOWER(G165)="dnf",1,IF(G165&lt;ScoringTable!B$3,ScoringTable!I$2,VLOOKUP((1000-G165),ScoringTable!G$2:I$95,3)))</f>
        <v>0</v>
      </c>
      <c r="K165" s="112" t="str">
        <f>IF(OR(E165="",G165=""),"",IF(RIGHT(E165,1)="G",_xlfn.XLOOKUP(G165,Data!$D$10:$L$10,Data!$D$9:$L$9,"",1,1),_xlfn.XLOOKUP(G165,Data!$D$3:$L$3,Data!$D$2:$L$2,"",1,1)))</f>
        <v/>
      </c>
      <c r="L165" s="160" t="str" cm="1">
        <f t="array" ref="L165">IFERROR(_xlfn.IFNA(
                      _xlfn.IFS(
                      G165="", "",
                      AND(E165="U12B",G165&lt;=Data!$M$3), "U12 Boys record",
                      AND(E165="U12G",G165&lt;=Data!$M$10), "U12 Girls record"
                       ),""), "")</f>
        <v/>
      </c>
      <c r="M165" s="18" cm="1">
        <f t="array" ref="M165">_xlfn.IFS($G165="",0, AND(NOT(ISNUMBER($G165)),LOWER($G165)&lt;&gt;"dnf"),"Not a valid time",OR(LOWER($G165)="dnf",$G165&gt;ScoringTable!$M$161),1,RIGHT($E165,1)="B",_xlfn.XLOOKUP($G165,ScoringTable!$M$2:$M$161,ScoringTable!$L$2:$L$161,,1),TRUE,_xlfn.XLOOKUP($G165,ScoringTable!$S$2:$S$161,ScoringTable!$R$2:$R$161,,1))</f>
        <v>0</v>
      </c>
    </row>
    <row r="166" spans="1:13" s="7" customFormat="1" ht="16.05" customHeight="1">
      <c r="A166" s="243" t="s">
        <v>85</v>
      </c>
      <c r="B166" s="114" t="str">
        <f>IF(ISNA(VLOOKUP($F166,Declarations!B$6:C$185,2,FALSE)),"",IF(VLOOKUP($F166,Declarations!B$6:C$185,2,FALSE)="","NOT DECLARED",IF(ISNA(_xlfn.TEXTBEFORE(VLOOKUP($F166,Declarations!B$6:C$185,2,FALSE)," ")),VLOOKUP($F166,Declarations!B$6:C$185,2,FALSE),_xlfn.TEXTBEFORE(VLOOKUP($F166,Declarations!B$6:C$185,2,FALSE)," "))))</f>
        <v/>
      </c>
      <c r="C166" s="114" t="str">
        <f>IF(ISNA(VLOOKUP($F166,Declarations!B$6:C$185,2,FALSE)),"",IF(VLOOKUP($F166,Declarations!B$6:C$185,2,FALSE)="","NOT DECLARED",IF(ISNA(_xlfn.TEXTAFTER(VLOOKUP($F166,Declarations!B$6:C$185,2,FALSE)," ")),VLOOKUP($F166,Declarations!B$6:C$185,2,FALSE),_xlfn.TEXTAFTER(VLOOKUP($F166,Declarations!B$6:C$185,2,FALSE)," "))))</f>
        <v/>
      </c>
      <c r="D166" s="114" t="str">
        <f>IF(ISNA(VLOOKUP($F166,Declarations!$B$6:$F$185,5,FALSE)),"",IF(VLOOKUP($F166,Declarations!$B$6:$F$185,5,FALSE)="","NOT DECLARED",VLOOKUP($F166,Declarations!$B$6:$F$185,5,FALSE)))</f>
        <v/>
      </c>
      <c r="E166" s="112" t="str">
        <f>IF(ISNA(VLOOKUP($F166,Declarations!$B$6:$D$185,3,FALSE)),"",IF(VLOOKUP($F166,Declarations!$B$6:$D$185,3,FALSE)="","NOT DECLARED",VLOOKUP($F166,Declarations!$B$6:$D$185,3,FALSE)&amp;LEFT(VLOOKUP($F166,Declarations!$B$6:$E$185,4,FALSE))))</f>
        <v/>
      </c>
      <c r="F166" s="58"/>
      <c r="G166" s="122"/>
      <c r="H166" s="122"/>
      <c r="I166" s="114" t="str">
        <f>IF(ISNA(VLOOKUP(F166,Declarations!B$6:C$185,2,FALSE)),"",IF(VLOOKUP(F166,Declarations!B$6:C$185,2,FALSE)="","NOT DECLARED",VLOOKUP(F166,Declarations!B$6:C$185,2,FALSE)))</f>
        <v/>
      </c>
      <c r="J166" s="112">
        <f>IF(LOWER(G166)="dnf",1,IF(G166&lt;ScoringTable!B$3,ScoringTable!I$2,VLOOKUP((1000-G166),ScoringTable!G$2:I$95,3)))</f>
        <v>0</v>
      </c>
      <c r="K166" s="112" t="str">
        <f>IF(OR(E166="",G166=""),"",IF(RIGHT(E166,1)="G",_xlfn.XLOOKUP(G166,Data!$D$10:$L$10,Data!$D$9:$L$9,"",1,1),_xlfn.XLOOKUP(G166,Data!$D$3:$L$3,Data!$D$2:$L$2,"",1,1)))</f>
        <v/>
      </c>
      <c r="L166" s="160" t="str" cm="1">
        <f t="array" ref="L166">IFERROR(_xlfn.IFNA(
                      _xlfn.IFS(
                      G166="", "",
                      AND(E166="U12B",G166&lt;=Data!$M$3), "U12 Boys record",
                      AND(E166="U12G",G166&lt;=Data!$M$10), "U12 Girls record"
                       ),""), "")</f>
        <v/>
      </c>
      <c r="M166" s="18" cm="1">
        <f t="array" ref="M166">_xlfn.IFS($G166="",0, AND(NOT(ISNUMBER($G166)),LOWER($G166)&lt;&gt;"dnf"),"Not a valid time",OR(LOWER($G166)="dnf",$G166&gt;ScoringTable!$M$161),1,RIGHT($E166,1)="B",_xlfn.XLOOKUP($G166,ScoringTable!$M$2:$M$161,ScoringTable!$L$2:$L$161,,1),TRUE,_xlfn.XLOOKUP($G166,ScoringTable!$S$2:$S$161,ScoringTable!$R$2:$R$161,,1))</f>
        <v>0</v>
      </c>
    </row>
    <row r="167" spans="1:13" s="7" customFormat="1" ht="16.05" customHeight="1">
      <c r="A167" s="243" t="s">
        <v>85</v>
      </c>
      <c r="B167" s="114" t="str">
        <f>IF(ISNA(VLOOKUP($F167,Declarations!B$6:C$185,2,FALSE)),"",IF(VLOOKUP($F167,Declarations!B$6:C$185,2,FALSE)="","NOT DECLARED",IF(ISNA(_xlfn.TEXTBEFORE(VLOOKUP($F167,Declarations!B$6:C$185,2,FALSE)," ")),VLOOKUP($F167,Declarations!B$6:C$185,2,FALSE),_xlfn.TEXTBEFORE(VLOOKUP($F167,Declarations!B$6:C$185,2,FALSE)," "))))</f>
        <v/>
      </c>
      <c r="C167" s="114" t="str">
        <f>IF(ISNA(VLOOKUP($F167,Declarations!B$6:C$185,2,FALSE)),"",IF(VLOOKUP($F167,Declarations!B$6:C$185,2,FALSE)="","NOT DECLARED",IF(ISNA(_xlfn.TEXTAFTER(VLOOKUP($F167,Declarations!B$6:C$185,2,FALSE)," ")),VLOOKUP($F167,Declarations!B$6:C$185,2,FALSE),_xlfn.TEXTAFTER(VLOOKUP($F167,Declarations!B$6:C$185,2,FALSE)," "))))</f>
        <v/>
      </c>
      <c r="D167" s="114" t="str">
        <f>IF(ISNA(VLOOKUP($F167,Declarations!$B$6:$F$185,5,FALSE)),"",IF(VLOOKUP($F167,Declarations!$B$6:$F$185,5,FALSE)="","NOT DECLARED",VLOOKUP($F167,Declarations!$B$6:$F$185,5,FALSE)))</f>
        <v/>
      </c>
      <c r="E167" s="112" t="str">
        <f>IF(ISNA(VLOOKUP($F167,Declarations!$B$6:$D$185,3,FALSE)),"",IF(VLOOKUP($F167,Declarations!$B$6:$D$185,3,FALSE)="","NOT DECLARED",VLOOKUP($F167,Declarations!$B$6:$D$185,3,FALSE)&amp;LEFT(VLOOKUP($F167,Declarations!$B$6:$E$185,4,FALSE))))</f>
        <v/>
      </c>
      <c r="F167" s="58"/>
      <c r="G167" s="122"/>
      <c r="H167" s="122"/>
      <c r="I167" s="114" t="str">
        <f>IF(ISNA(VLOOKUP(F167,Declarations!B$6:C$185,2,FALSE)),"",IF(VLOOKUP(F167,Declarations!B$6:C$185,2,FALSE)="","NOT DECLARED",VLOOKUP(F167,Declarations!B$6:C$185,2,FALSE)))</f>
        <v/>
      </c>
      <c r="J167" s="112">
        <f>IF(LOWER(G167)="dnf",1,IF(G167&lt;ScoringTable!B$3,ScoringTable!I$2,VLOOKUP((1000-G167),ScoringTable!G$2:I$95,3)))</f>
        <v>0</v>
      </c>
      <c r="K167" s="112" t="str">
        <f>IF(OR(E167="",G167=""),"",IF(RIGHT(E167,1)="G",_xlfn.XLOOKUP(G167,Data!$D$10:$L$10,Data!$D$9:$L$9,"",1,1),_xlfn.XLOOKUP(G167,Data!$D$3:$L$3,Data!$D$2:$L$2,"",1,1)))</f>
        <v/>
      </c>
      <c r="L167" s="160" t="str" cm="1">
        <f t="array" ref="L167">IFERROR(_xlfn.IFNA(
                      _xlfn.IFS(
                      G167="", "",
                      AND(E167="U12B",G167&lt;=Data!$M$3), "U12 Boys record",
                      AND(E167="U12G",G167&lt;=Data!$M$10), "U12 Girls record"
                       ),""), "")</f>
        <v/>
      </c>
      <c r="M167" s="18" cm="1">
        <f t="array" ref="M167">_xlfn.IFS($G167="",0, AND(NOT(ISNUMBER($G167)),LOWER($G167)&lt;&gt;"dnf"),"Not a valid time",OR(LOWER($G167)="dnf",$G167&gt;ScoringTable!$M$161),1,RIGHT($E167,1)="B",_xlfn.XLOOKUP($G167,ScoringTable!$M$2:$M$161,ScoringTable!$L$2:$L$161,,1),TRUE,_xlfn.XLOOKUP($G167,ScoringTable!$S$2:$S$161,ScoringTable!$R$2:$R$161,,1))</f>
        <v>0</v>
      </c>
    </row>
    <row r="168" spans="1:13" s="7" customFormat="1" ht="16.05" customHeight="1">
      <c r="A168" s="243" t="s">
        <v>85</v>
      </c>
      <c r="B168" s="114" t="str">
        <f>IF(ISNA(VLOOKUP($F168,Declarations!B$6:C$185,2,FALSE)),"",IF(VLOOKUP($F168,Declarations!B$6:C$185,2,FALSE)="","NOT DECLARED",IF(ISNA(_xlfn.TEXTBEFORE(VLOOKUP($F168,Declarations!B$6:C$185,2,FALSE)," ")),VLOOKUP($F168,Declarations!B$6:C$185,2,FALSE),_xlfn.TEXTBEFORE(VLOOKUP($F168,Declarations!B$6:C$185,2,FALSE)," "))))</f>
        <v/>
      </c>
      <c r="C168" s="114" t="str">
        <f>IF(ISNA(VLOOKUP($F168,Declarations!B$6:C$185,2,FALSE)),"",IF(VLOOKUP($F168,Declarations!B$6:C$185,2,FALSE)="","NOT DECLARED",IF(ISNA(_xlfn.TEXTAFTER(VLOOKUP($F168,Declarations!B$6:C$185,2,FALSE)," ")),VLOOKUP($F168,Declarations!B$6:C$185,2,FALSE),_xlfn.TEXTAFTER(VLOOKUP($F168,Declarations!B$6:C$185,2,FALSE)," "))))</f>
        <v/>
      </c>
      <c r="D168" s="114" t="str">
        <f>IF(ISNA(VLOOKUP($F168,Declarations!$B$6:$F$185,5,FALSE)),"",IF(VLOOKUP($F168,Declarations!$B$6:$F$185,5,FALSE)="","NOT DECLARED",VLOOKUP($F168,Declarations!$B$6:$F$185,5,FALSE)))</f>
        <v/>
      </c>
      <c r="E168" s="112" t="str">
        <f>IF(ISNA(VLOOKUP($F168,Declarations!$B$6:$D$185,3,FALSE)),"",IF(VLOOKUP($F168,Declarations!$B$6:$D$185,3,FALSE)="","NOT DECLARED",VLOOKUP($F168,Declarations!$B$6:$D$185,3,FALSE)&amp;LEFT(VLOOKUP($F168,Declarations!$B$6:$E$185,4,FALSE))))</f>
        <v/>
      </c>
      <c r="F168" s="58"/>
      <c r="G168" s="122"/>
      <c r="H168" s="122"/>
      <c r="I168" s="114" t="str">
        <f>IF(ISNA(VLOOKUP(F168,Declarations!B$6:C$185,2,FALSE)),"",IF(VLOOKUP(F168,Declarations!B$6:C$185,2,FALSE)="","NOT DECLARED",VLOOKUP(F168,Declarations!B$6:C$185,2,FALSE)))</f>
        <v/>
      </c>
      <c r="J168" s="112">
        <f>IF(LOWER(G168)="dnf",1,IF(G168&lt;ScoringTable!B$3,ScoringTable!I$2,VLOOKUP((1000-G168),ScoringTable!G$2:I$95,3)))</f>
        <v>0</v>
      </c>
      <c r="K168" s="112" t="str">
        <f>IF(OR(E168="",G168=""),"",IF(RIGHT(E168,1)="G",_xlfn.XLOOKUP(G168,Data!$D$10:$L$10,Data!$D$9:$L$9,"",1,1),_xlfn.XLOOKUP(G168,Data!$D$3:$L$3,Data!$D$2:$L$2,"",1,1)))</f>
        <v/>
      </c>
      <c r="L168" s="160" t="str" cm="1">
        <f t="array" ref="L168">IFERROR(_xlfn.IFNA(
                      _xlfn.IFS(
                      G168="", "",
                      AND(E168="U12B",G168&lt;=Data!$M$3), "U12 Boys record",
                      AND(E168="U12G",G168&lt;=Data!$M$10), "U12 Girls record"
                       ),""), "")</f>
        <v/>
      </c>
      <c r="M168" s="18" cm="1">
        <f t="array" ref="M168">_xlfn.IFS($G168="",0, AND(NOT(ISNUMBER($G168)),LOWER($G168)&lt;&gt;"dnf"),"Not a valid time",OR(LOWER($G168)="dnf",$G168&gt;ScoringTable!$M$161),1,RIGHT($E168,1)="B",_xlfn.XLOOKUP($G168,ScoringTable!$M$2:$M$161,ScoringTable!$L$2:$L$161,,1),TRUE,_xlfn.XLOOKUP($G168,ScoringTable!$S$2:$S$161,ScoringTable!$R$2:$R$161,,1))</f>
        <v>0</v>
      </c>
    </row>
    <row r="169" spans="1:13" s="7" customFormat="1" ht="16.05" customHeight="1">
      <c r="A169" s="243" t="s">
        <v>85</v>
      </c>
      <c r="B169" s="114" t="str">
        <f>IF(ISNA(VLOOKUP($F169,Declarations!B$6:C$185,2,FALSE)),"",IF(VLOOKUP($F169,Declarations!B$6:C$185,2,FALSE)="","NOT DECLARED",IF(ISNA(_xlfn.TEXTBEFORE(VLOOKUP($F169,Declarations!B$6:C$185,2,FALSE)," ")),VLOOKUP($F169,Declarations!B$6:C$185,2,FALSE),_xlfn.TEXTBEFORE(VLOOKUP($F169,Declarations!B$6:C$185,2,FALSE)," "))))</f>
        <v/>
      </c>
      <c r="C169" s="114" t="str">
        <f>IF(ISNA(VLOOKUP($F169,Declarations!B$6:C$185,2,FALSE)),"",IF(VLOOKUP($F169,Declarations!B$6:C$185,2,FALSE)="","NOT DECLARED",IF(ISNA(_xlfn.TEXTAFTER(VLOOKUP($F169,Declarations!B$6:C$185,2,FALSE)," ")),VLOOKUP($F169,Declarations!B$6:C$185,2,FALSE),_xlfn.TEXTAFTER(VLOOKUP($F169,Declarations!B$6:C$185,2,FALSE)," "))))</f>
        <v/>
      </c>
      <c r="D169" s="114" t="str">
        <f>IF(ISNA(VLOOKUP($F169,Declarations!$B$6:$F$185,5,FALSE)),"",IF(VLOOKUP($F169,Declarations!$B$6:$F$185,5,FALSE)="","NOT DECLARED",VLOOKUP($F169,Declarations!$B$6:$F$185,5,FALSE)))</f>
        <v/>
      </c>
      <c r="E169" s="112" t="str">
        <f>IF(ISNA(VLOOKUP($F169,Declarations!$B$6:$D$185,3,FALSE)),"",IF(VLOOKUP($F169,Declarations!$B$6:$D$185,3,FALSE)="","NOT DECLARED",VLOOKUP($F169,Declarations!$B$6:$D$185,3,FALSE)&amp;LEFT(VLOOKUP($F169,Declarations!$B$6:$E$185,4,FALSE))))</f>
        <v/>
      </c>
      <c r="F169" s="58"/>
      <c r="G169" s="122"/>
      <c r="H169" s="122"/>
      <c r="I169" s="114" t="str">
        <f>IF(ISNA(VLOOKUP(F169,Declarations!B$6:C$185,2,FALSE)),"",IF(VLOOKUP(F169,Declarations!B$6:C$185,2,FALSE)="","NOT DECLARED",VLOOKUP(F169,Declarations!B$6:C$185,2,FALSE)))</f>
        <v/>
      </c>
      <c r="J169" s="112">
        <f>IF(LOWER(G169)="dnf",1,IF(G169&lt;ScoringTable!B$3,ScoringTable!I$2,VLOOKUP((1000-G169),ScoringTable!G$2:I$95,3)))</f>
        <v>0</v>
      </c>
      <c r="K169" s="112" t="str">
        <f>IF(OR(E169="",G169=""),"",IF(RIGHT(E169,1)="G",_xlfn.XLOOKUP(G169,Data!$D$10:$L$10,Data!$D$9:$L$9,"",1,1),_xlfn.XLOOKUP(G169,Data!$D$3:$L$3,Data!$D$2:$L$2,"",1,1)))</f>
        <v/>
      </c>
      <c r="L169" s="160" t="str" cm="1">
        <f t="array" ref="L169">IFERROR(_xlfn.IFNA(
                      _xlfn.IFS(
                      G169="", "",
                      AND(E169="U12B",G169&lt;=Data!$M$3), "U12 Boys record",
                      AND(E169="U12G",G169&lt;=Data!$M$10), "U12 Girls record"
                       ),""), "")</f>
        <v/>
      </c>
      <c r="M169" s="18" cm="1">
        <f t="array" ref="M169">_xlfn.IFS($G169="",0, AND(NOT(ISNUMBER($G169)),LOWER($G169)&lt;&gt;"dnf"),"Not a valid time",OR(LOWER($G169)="dnf",$G169&gt;ScoringTable!$M$161),1,RIGHT($E169,1)="B",_xlfn.XLOOKUP($G169,ScoringTable!$M$2:$M$161,ScoringTable!$L$2:$L$161,,1),TRUE,_xlfn.XLOOKUP($G169,ScoringTable!$S$2:$S$161,ScoringTable!$R$2:$R$161,,1))</f>
        <v>0</v>
      </c>
    </row>
    <row r="170" spans="1:13" s="7" customFormat="1" ht="16.05" customHeight="1">
      <c r="A170" s="243" t="s">
        <v>85</v>
      </c>
      <c r="B170" s="114" t="str">
        <f>IF(ISNA(VLOOKUP($F170,Declarations!B$6:C$185,2,FALSE)),"",IF(VLOOKUP($F170,Declarations!B$6:C$185,2,FALSE)="","NOT DECLARED",IF(ISNA(_xlfn.TEXTBEFORE(VLOOKUP($F170,Declarations!B$6:C$185,2,FALSE)," ")),VLOOKUP($F170,Declarations!B$6:C$185,2,FALSE),_xlfn.TEXTBEFORE(VLOOKUP($F170,Declarations!B$6:C$185,2,FALSE)," "))))</f>
        <v/>
      </c>
      <c r="C170" s="114" t="str">
        <f>IF(ISNA(VLOOKUP($F170,Declarations!B$6:C$185,2,FALSE)),"",IF(VLOOKUP($F170,Declarations!B$6:C$185,2,FALSE)="","NOT DECLARED",IF(ISNA(_xlfn.TEXTAFTER(VLOOKUP($F170,Declarations!B$6:C$185,2,FALSE)," ")),VLOOKUP($F170,Declarations!B$6:C$185,2,FALSE),_xlfn.TEXTAFTER(VLOOKUP($F170,Declarations!B$6:C$185,2,FALSE)," "))))</f>
        <v/>
      </c>
      <c r="D170" s="114" t="str">
        <f>IF(ISNA(VLOOKUP($F170,Declarations!$B$6:$F$185,5,FALSE)),"",IF(VLOOKUP($F170,Declarations!$B$6:$F$185,5,FALSE)="","NOT DECLARED",VLOOKUP($F170,Declarations!$B$6:$F$185,5,FALSE)))</f>
        <v/>
      </c>
      <c r="E170" s="112" t="str">
        <f>IF(ISNA(VLOOKUP($F170,Declarations!$B$6:$D$185,3,FALSE)),"",IF(VLOOKUP($F170,Declarations!$B$6:$D$185,3,FALSE)="","NOT DECLARED",VLOOKUP($F170,Declarations!$B$6:$D$185,3,FALSE)&amp;LEFT(VLOOKUP($F170,Declarations!$B$6:$E$185,4,FALSE))))</f>
        <v/>
      </c>
      <c r="F170" s="58"/>
      <c r="G170" s="122"/>
      <c r="H170" s="122"/>
      <c r="I170" s="114" t="str">
        <f>IF(ISNA(VLOOKUP(F170,Declarations!B$6:C$185,2,FALSE)),"",IF(VLOOKUP(F170,Declarations!B$6:C$185,2,FALSE)="","NOT DECLARED",VLOOKUP(F170,Declarations!B$6:C$185,2,FALSE)))</f>
        <v/>
      </c>
      <c r="J170" s="112">
        <f>IF(LOWER(G170)="dnf",1,IF(G170&lt;ScoringTable!B$3,ScoringTable!I$2,VLOOKUP((1000-G170),ScoringTable!G$2:I$95,3)))</f>
        <v>0</v>
      </c>
      <c r="K170" s="112" t="str">
        <f>IF(OR(E170="",G170=""),"",IF(RIGHT(E170,1)="G",_xlfn.XLOOKUP(G170,Data!$D$10:$L$10,Data!$D$9:$L$9,"",1,1),_xlfn.XLOOKUP(G170,Data!$D$3:$L$3,Data!$D$2:$L$2,"",1,1)))</f>
        <v/>
      </c>
      <c r="L170" s="160" t="str" cm="1">
        <f t="array" ref="L170">IFERROR(_xlfn.IFNA(
                      _xlfn.IFS(
                      G170="", "",
                      AND(E170="U12B",G170&lt;=Data!$M$3), "U12 Boys record",
                      AND(E170="U12G",G170&lt;=Data!$M$10), "U12 Girls record"
                       ),""), "")</f>
        <v/>
      </c>
      <c r="M170" s="18" cm="1">
        <f t="array" ref="M170">_xlfn.IFS($G170="",0, AND(NOT(ISNUMBER($G170)),LOWER($G170)&lt;&gt;"dnf"),"Not a valid time",OR(LOWER($G170)="dnf",$G170&gt;ScoringTable!$M$161),1,RIGHT($E170,1)="B",_xlfn.XLOOKUP($G170,ScoringTable!$M$2:$M$161,ScoringTable!$L$2:$L$161,,1),TRUE,_xlfn.XLOOKUP($G170,ScoringTable!$S$2:$S$161,ScoringTable!$R$2:$R$161,,1))</f>
        <v>0</v>
      </c>
    </row>
    <row r="171" spans="1:13" s="7" customFormat="1" ht="16.05" customHeight="1">
      <c r="A171" s="243" t="s">
        <v>85</v>
      </c>
      <c r="B171" s="114" t="str">
        <f>IF(ISNA(VLOOKUP($F171,Declarations!B$6:C$185,2,FALSE)),"",IF(VLOOKUP($F171,Declarations!B$6:C$185,2,FALSE)="","NOT DECLARED",IF(ISNA(_xlfn.TEXTBEFORE(VLOOKUP($F171,Declarations!B$6:C$185,2,FALSE)," ")),VLOOKUP($F171,Declarations!B$6:C$185,2,FALSE),_xlfn.TEXTBEFORE(VLOOKUP($F171,Declarations!B$6:C$185,2,FALSE)," "))))</f>
        <v/>
      </c>
      <c r="C171" s="114" t="str">
        <f>IF(ISNA(VLOOKUP($F171,Declarations!B$6:C$185,2,FALSE)),"",IF(VLOOKUP($F171,Declarations!B$6:C$185,2,FALSE)="","NOT DECLARED",IF(ISNA(_xlfn.TEXTAFTER(VLOOKUP($F171,Declarations!B$6:C$185,2,FALSE)," ")),VLOOKUP($F171,Declarations!B$6:C$185,2,FALSE),_xlfn.TEXTAFTER(VLOOKUP($F171,Declarations!B$6:C$185,2,FALSE)," "))))</f>
        <v/>
      </c>
      <c r="D171" s="114" t="str">
        <f>IF(ISNA(VLOOKUP($F171,Declarations!$B$6:$F$185,5,FALSE)),"",IF(VLOOKUP($F171,Declarations!$B$6:$F$185,5,FALSE)="","NOT DECLARED",VLOOKUP($F171,Declarations!$B$6:$F$185,5,FALSE)))</f>
        <v/>
      </c>
      <c r="E171" s="112" t="str">
        <f>IF(ISNA(VLOOKUP($F171,Declarations!$B$6:$D$185,3,FALSE)),"",IF(VLOOKUP($F171,Declarations!$B$6:$D$185,3,FALSE)="","NOT DECLARED",VLOOKUP($F171,Declarations!$B$6:$D$185,3,FALSE)&amp;LEFT(VLOOKUP($F171,Declarations!$B$6:$E$185,4,FALSE))))</f>
        <v/>
      </c>
      <c r="F171" s="58"/>
      <c r="G171" s="122"/>
      <c r="H171" s="122"/>
      <c r="I171" s="114" t="str">
        <f>IF(ISNA(VLOOKUP(F171,Declarations!B$6:C$185,2,FALSE)),"",IF(VLOOKUP(F171,Declarations!B$6:C$185,2,FALSE)="","NOT DECLARED",VLOOKUP(F171,Declarations!B$6:C$185,2,FALSE)))</f>
        <v/>
      </c>
      <c r="J171" s="112">
        <f>IF(LOWER(G171)="dnf",1,IF(G171&lt;ScoringTable!B$3,ScoringTable!I$2,VLOOKUP((1000-G171),ScoringTable!G$2:I$95,3)))</f>
        <v>0</v>
      </c>
      <c r="K171" s="112" t="str">
        <f>IF(OR(E171="",G171=""),"",IF(RIGHT(E171,1)="G",_xlfn.XLOOKUP(G171,Data!$D$10:$L$10,Data!$D$9:$L$9,"",1,1),_xlfn.XLOOKUP(G171,Data!$D$3:$L$3,Data!$D$2:$L$2,"",1,1)))</f>
        <v/>
      </c>
      <c r="L171" s="160" t="str" cm="1">
        <f t="array" ref="L171">IFERROR(_xlfn.IFNA(
                      _xlfn.IFS(
                      G171="", "",
                      AND(E171="U12B",G171&lt;=Data!$M$3), "U12 Boys record",
                      AND(E171="U12G",G171&lt;=Data!$M$10), "U12 Girls record"
                       ),""), "")</f>
        <v/>
      </c>
      <c r="M171" s="18" cm="1">
        <f t="array" ref="M171">_xlfn.IFS($G171="",0, AND(NOT(ISNUMBER($G171)),LOWER($G171)&lt;&gt;"dnf"),"Not a valid time",OR(LOWER($G171)="dnf",$G171&gt;ScoringTable!$M$161),1,RIGHT($E171,1)="B",_xlfn.XLOOKUP($G171,ScoringTable!$M$2:$M$161,ScoringTable!$L$2:$L$161,,1),TRUE,_xlfn.XLOOKUP($G171,ScoringTable!$S$2:$S$161,ScoringTable!$R$2:$R$161,,1))</f>
        <v>0</v>
      </c>
    </row>
    <row r="172" spans="1:13" s="7" customFormat="1" ht="16.05" customHeight="1">
      <c r="A172" s="243" t="s">
        <v>85</v>
      </c>
      <c r="B172" s="114" t="str">
        <f>IF(ISNA(VLOOKUP($F172,Declarations!B$6:C$185,2,FALSE)),"",IF(VLOOKUP($F172,Declarations!B$6:C$185,2,FALSE)="","NOT DECLARED",IF(ISNA(_xlfn.TEXTBEFORE(VLOOKUP($F172,Declarations!B$6:C$185,2,FALSE)," ")),VLOOKUP($F172,Declarations!B$6:C$185,2,FALSE),_xlfn.TEXTBEFORE(VLOOKUP($F172,Declarations!B$6:C$185,2,FALSE)," "))))</f>
        <v/>
      </c>
      <c r="C172" s="114" t="str">
        <f>IF(ISNA(VLOOKUP($F172,Declarations!B$6:C$185,2,FALSE)),"",IF(VLOOKUP($F172,Declarations!B$6:C$185,2,FALSE)="","NOT DECLARED",IF(ISNA(_xlfn.TEXTAFTER(VLOOKUP($F172,Declarations!B$6:C$185,2,FALSE)," ")),VLOOKUP($F172,Declarations!B$6:C$185,2,FALSE),_xlfn.TEXTAFTER(VLOOKUP($F172,Declarations!B$6:C$185,2,FALSE)," "))))</f>
        <v/>
      </c>
      <c r="D172" s="114" t="str">
        <f>IF(ISNA(VLOOKUP($F172,Declarations!$B$6:$F$185,5,FALSE)),"",IF(VLOOKUP($F172,Declarations!$B$6:$F$185,5,FALSE)="","NOT DECLARED",VLOOKUP($F172,Declarations!$B$6:$F$185,5,FALSE)))</f>
        <v/>
      </c>
      <c r="E172" s="112" t="str">
        <f>IF(ISNA(VLOOKUP($F172,Declarations!$B$6:$D$185,3,FALSE)),"",IF(VLOOKUP($F172,Declarations!$B$6:$D$185,3,FALSE)="","NOT DECLARED",VLOOKUP($F172,Declarations!$B$6:$D$185,3,FALSE)&amp;LEFT(VLOOKUP($F172,Declarations!$B$6:$E$185,4,FALSE))))</f>
        <v/>
      </c>
      <c r="F172" s="58"/>
      <c r="G172" s="122"/>
      <c r="H172" s="122"/>
      <c r="I172" s="114" t="str">
        <f>IF(ISNA(VLOOKUP(F172,Declarations!B$6:C$185,2,FALSE)),"",IF(VLOOKUP(F172,Declarations!B$6:C$185,2,FALSE)="","NOT DECLARED",VLOOKUP(F172,Declarations!B$6:C$185,2,FALSE)))</f>
        <v/>
      </c>
      <c r="J172" s="112">
        <f>IF(LOWER(G172)="dnf",1,IF(G172&lt;ScoringTable!B$3,ScoringTable!I$2,VLOOKUP((1000-G172),ScoringTable!G$2:I$95,3)))</f>
        <v>0</v>
      </c>
      <c r="K172" s="112" t="str">
        <f>IF(OR(E172="",G172=""),"",IF(RIGHT(E172,1)="G",_xlfn.XLOOKUP(G172,Data!$D$10:$L$10,Data!$D$9:$L$9,"",1,1),_xlfn.XLOOKUP(G172,Data!$D$3:$L$3,Data!$D$2:$L$2,"",1,1)))</f>
        <v/>
      </c>
      <c r="L172" s="160" t="str" cm="1">
        <f t="array" ref="L172">IFERROR(_xlfn.IFNA(
                      _xlfn.IFS(
                      G172="", "",
                      AND(E172="U12B",G172&lt;=Data!$M$3), "U12 Boys record",
                      AND(E172="U12G",G172&lt;=Data!$M$10), "U12 Girls record"
                       ),""), "")</f>
        <v/>
      </c>
      <c r="M172" s="18" cm="1">
        <f t="array" ref="M172">_xlfn.IFS($G172="",0, AND(NOT(ISNUMBER($G172)),LOWER($G172)&lt;&gt;"dnf"),"Not a valid time",OR(LOWER($G172)="dnf",$G172&gt;ScoringTable!$M$161),1,RIGHT($E172,1)="B",_xlfn.XLOOKUP($G172,ScoringTable!$M$2:$M$161,ScoringTable!$L$2:$L$161,,1),TRUE,_xlfn.XLOOKUP($G172,ScoringTable!$S$2:$S$161,ScoringTable!$R$2:$R$161,,1))</f>
        <v>0</v>
      </c>
    </row>
    <row r="173" spans="1:13" s="7" customFormat="1" ht="16.05" customHeight="1">
      <c r="A173" s="243" t="s">
        <v>85</v>
      </c>
      <c r="B173" s="114" t="str">
        <f>IF(ISNA(VLOOKUP($F173,Declarations!B$6:C$185,2,FALSE)),"",IF(VLOOKUP($F173,Declarations!B$6:C$185,2,FALSE)="","NOT DECLARED",IF(ISNA(_xlfn.TEXTBEFORE(VLOOKUP($F173,Declarations!B$6:C$185,2,FALSE)," ")),VLOOKUP($F173,Declarations!B$6:C$185,2,FALSE),_xlfn.TEXTBEFORE(VLOOKUP($F173,Declarations!B$6:C$185,2,FALSE)," "))))</f>
        <v/>
      </c>
      <c r="C173" s="114" t="str">
        <f>IF(ISNA(VLOOKUP($F173,Declarations!B$6:C$185,2,FALSE)),"",IF(VLOOKUP($F173,Declarations!B$6:C$185,2,FALSE)="","NOT DECLARED",IF(ISNA(_xlfn.TEXTAFTER(VLOOKUP($F173,Declarations!B$6:C$185,2,FALSE)," ")),VLOOKUP($F173,Declarations!B$6:C$185,2,FALSE),_xlfn.TEXTAFTER(VLOOKUP($F173,Declarations!B$6:C$185,2,FALSE)," "))))</f>
        <v/>
      </c>
      <c r="D173" s="114" t="str">
        <f>IF(ISNA(VLOOKUP($F173,Declarations!$B$6:$F$185,5,FALSE)),"",IF(VLOOKUP($F173,Declarations!$B$6:$F$185,5,FALSE)="","NOT DECLARED",VLOOKUP($F173,Declarations!$B$6:$F$185,5,FALSE)))</f>
        <v/>
      </c>
      <c r="E173" s="112" t="str">
        <f>IF(ISNA(VLOOKUP($F173,Declarations!$B$6:$D$185,3,FALSE)),"",IF(VLOOKUP($F173,Declarations!$B$6:$D$185,3,FALSE)="","NOT DECLARED",VLOOKUP($F173,Declarations!$B$6:$D$185,3,FALSE)&amp;LEFT(VLOOKUP($F173,Declarations!$B$6:$E$185,4,FALSE))))</f>
        <v/>
      </c>
      <c r="F173" s="58"/>
      <c r="G173" s="122"/>
      <c r="H173" s="122"/>
      <c r="I173" s="114" t="str">
        <f>IF(ISNA(VLOOKUP(F173,Declarations!B$6:C$185,2,FALSE)),"",IF(VLOOKUP(F173,Declarations!B$6:C$185,2,FALSE)="","NOT DECLARED",VLOOKUP(F173,Declarations!B$6:C$185,2,FALSE)))</f>
        <v/>
      </c>
      <c r="J173" s="112">
        <f>IF(LOWER(G173)="dnf",1,IF(G173&lt;ScoringTable!B$3,ScoringTable!I$2,VLOOKUP((1000-G173),ScoringTable!G$2:I$95,3)))</f>
        <v>0</v>
      </c>
      <c r="K173" s="112" t="str">
        <f>IF(OR(E173="",G173=""),"",IF(RIGHT(E173,1)="G",_xlfn.XLOOKUP(G173,Data!$D$10:$L$10,Data!$D$9:$L$9,"",1,1),_xlfn.XLOOKUP(G173,Data!$D$3:$L$3,Data!$D$2:$L$2,"",1,1)))</f>
        <v/>
      </c>
      <c r="L173" s="160" t="str" cm="1">
        <f t="array" ref="L173">IFERROR(_xlfn.IFNA(
                      _xlfn.IFS(
                      G173="", "",
                      AND(E173="U12B",G173&lt;=Data!$M$3), "U12 Boys record",
                      AND(E173="U12G",G173&lt;=Data!$M$10), "U12 Girls record"
                       ),""), "")</f>
        <v/>
      </c>
      <c r="M173" s="18" cm="1">
        <f t="array" ref="M173">_xlfn.IFS($G173="",0, AND(NOT(ISNUMBER($G173)),LOWER($G173)&lt;&gt;"dnf"),"Not a valid time",OR(LOWER($G173)="dnf",$G173&gt;ScoringTable!$M$161),1,RIGHT($E173,1)="B",_xlfn.XLOOKUP($G173,ScoringTable!$M$2:$M$161,ScoringTable!$L$2:$L$161,,1),TRUE,_xlfn.XLOOKUP($G173,ScoringTable!$S$2:$S$161,ScoringTable!$R$2:$R$161,,1))</f>
        <v>0</v>
      </c>
    </row>
    <row r="174" spans="1:13" s="7" customFormat="1" ht="16.05" customHeight="1">
      <c r="A174" s="243" t="s">
        <v>85</v>
      </c>
      <c r="B174" s="114" t="str">
        <f>IF(ISNA(VLOOKUP($F174,Declarations!B$6:C$185,2,FALSE)),"",IF(VLOOKUP($F174,Declarations!B$6:C$185,2,FALSE)="","NOT DECLARED",IF(ISNA(_xlfn.TEXTBEFORE(VLOOKUP($F174,Declarations!B$6:C$185,2,FALSE)," ")),VLOOKUP($F174,Declarations!B$6:C$185,2,FALSE),_xlfn.TEXTBEFORE(VLOOKUP($F174,Declarations!B$6:C$185,2,FALSE)," "))))</f>
        <v/>
      </c>
      <c r="C174" s="114" t="str">
        <f>IF(ISNA(VLOOKUP($F174,Declarations!B$6:C$185,2,FALSE)),"",IF(VLOOKUP($F174,Declarations!B$6:C$185,2,FALSE)="","NOT DECLARED",IF(ISNA(_xlfn.TEXTAFTER(VLOOKUP($F174,Declarations!B$6:C$185,2,FALSE)," ")),VLOOKUP($F174,Declarations!B$6:C$185,2,FALSE),_xlfn.TEXTAFTER(VLOOKUP($F174,Declarations!B$6:C$185,2,FALSE)," "))))</f>
        <v/>
      </c>
      <c r="D174" s="114" t="str">
        <f>IF(ISNA(VLOOKUP($F174,Declarations!$B$6:$F$185,5,FALSE)),"",IF(VLOOKUP($F174,Declarations!$B$6:$F$185,5,FALSE)="","NOT DECLARED",VLOOKUP($F174,Declarations!$B$6:$F$185,5,FALSE)))</f>
        <v/>
      </c>
      <c r="E174" s="112" t="str">
        <f>IF(ISNA(VLOOKUP($F174,Declarations!$B$6:$D$185,3,FALSE)),"",IF(VLOOKUP($F174,Declarations!$B$6:$D$185,3,FALSE)="","NOT DECLARED",VLOOKUP($F174,Declarations!$B$6:$D$185,3,FALSE)&amp;LEFT(VLOOKUP($F174,Declarations!$B$6:$E$185,4,FALSE))))</f>
        <v/>
      </c>
      <c r="F174" s="58"/>
      <c r="G174" s="122"/>
      <c r="H174" s="122"/>
      <c r="I174" s="114" t="str">
        <f>IF(ISNA(VLOOKUP(F174,Declarations!B$6:C$185,2,FALSE)),"",IF(VLOOKUP(F174,Declarations!B$6:C$185,2,FALSE)="","NOT DECLARED",VLOOKUP(F174,Declarations!B$6:C$185,2,FALSE)))</f>
        <v/>
      </c>
      <c r="J174" s="112">
        <f>IF(LOWER(G174)="dnf",1,IF(G174&lt;ScoringTable!B$3,ScoringTable!I$2,VLOOKUP((1000-G174),ScoringTable!G$2:I$95,3)))</f>
        <v>0</v>
      </c>
      <c r="K174" s="112" t="str">
        <f>IF(OR(E174="",G174=""),"",IF(RIGHT(E174,1)="G",_xlfn.XLOOKUP(G174,Data!$D$10:$L$10,Data!$D$9:$L$9,"",1,1),_xlfn.XLOOKUP(G174,Data!$D$3:$L$3,Data!$D$2:$L$2,"",1,1)))</f>
        <v/>
      </c>
      <c r="L174" s="160" t="str" cm="1">
        <f t="array" ref="L174">IFERROR(_xlfn.IFNA(
                      _xlfn.IFS(
                      G174="", "",
                      AND(E174="U12B",G174&lt;=Data!$M$3), "U12 Boys record",
                      AND(E174="U12G",G174&lt;=Data!$M$10), "U12 Girls record"
                       ),""), "")</f>
        <v/>
      </c>
      <c r="M174" s="18" cm="1">
        <f t="array" ref="M174">_xlfn.IFS($G174="",0, AND(NOT(ISNUMBER($G174)),LOWER($G174)&lt;&gt;"dnf"),"Not a valid time",OR(LOWER($G174)="dnf",$G174&gt;ScoringTable!$M$161),1,RIGHT($E174,1)="B",_xlfn.XLOOKUP($G174,ScoringTable!$M$2:$M$161,ScoringTable!$L$2:$L$161,,1),TRUE,_xlfn.XLOOKUP($G174,ScoringTable!$S$2:$S$161,ScoringTable!$R$2:$R$161,,1))</f>
        <v>0</v>
      </c>
    </row>
    <row r="175" spans="1:13" s="7" customFormat="1" ht="16.05" customHeight="1">
      <c r="A175" s="243" t="s">
        <v>85</v>
      </c>
      <c r="B175" s="114" t="str">
        <f>IF(ISNA(VLOOKUP($F175,Declarations!B$6:C$185,2,FALSE)),"",IF(VLOOKUP($F175,Declarations!B$6:C$185,2,FALSE)="","NOT DECLARED",IF(ISNA(_xlfn.TEXTBEFORE(VLOOKUP($F175,Declarations!B$6:C$185,2,FALSE)," ")),VLOOKUP($F175,Declarations!B$6:C$185,2,FALSE),_xlfn.TEXTBEFORE(VLOOKUP($F175,Declarations!B$6:C$185,2,FALSE)," "))))</f>
        <v/>
      </c>
      <c r="C175" s="114" t="str">
        <f>IF(ISNA(VLOOKUP($F175,Declarations!B$6:C$185,2,FALSE)),"",IF(VLOOKUP($F175,Declarations!B$6:C$185,2,FALSE)="","NOT DECLARED",IF(ISNA(_xlfn.TEXTAFTER(VLOOKUP($F175,Declarations!B$6:C$185,2,FALSE)," ")),VLOOKUP($F175,Declarations!B$6:C$185,2,FALSE),_xlfn.TEXTAFTER(VLOOKUP($F175,Declarations!B$6:C$185,2,FALSE)," "))))</f>
        <v/>
      </c>
      <c r="D175" s="114" t="str">
        <f>IF(ISNA(VLOOKUP($F175,Declarations!$B$6:$F$185,5,FALSE)),"",IF(VLOOKUP($F175,Declarations!$B$6:$F$185,5,FALSE)="","NOT DECLARED",VLOOKUP($F175,Declarations!$B$6:$F$185,5,FALSE)))</f>
        <v/>
      </c>
      <c r="E175" s="112" t="str">
        <f>IF(ISNA(VLOOKUP($F175,Declarations!$B$6:$D$185,3,FALSE)),"",IF(VLOOKUP($F175,Declarations!$B$6:$D$185,3,FALSE)="","NOT DECLARED",VLOOKUP($F175,Declarations!$B$6:$D$185,3,FALSE)&amp;LEFT(VLOOKUP($F175,Declarations!$B$6:$E$185,4,FALSE))))</f>
        <v/>
      </c>
      <c r="F175" s="58"/>
      <c r="G175" s="122"/>
      <c r="H175" s="122"/>
      <c r="I175" s="114" t="str">
        <f>IF(ISNA(VLOOKUP(F175,Declarations!B$6:C$185,2,FALSE)),"",IF(VLOOKUP(F175,Declarations!B$6:C$185,2,FALSE)="","NOT DECLARED",VLOOKUP(F175,Declarations!B$6:C$185,2,FALSE)))</f>
        <v/>
      </c>
      <c r="J175" s="112">
        <f>IF(LOWER(G175)="dnf",1,IF(G175&lt;ScoringTable!B$3,ScoringTable!I$2,VLOOKUP((1000-G175),ScoringTable!G$2:I$95,3)))</f>
        <v>0</v>
      </c>
      <c r="K175" s="112" t="str">
        <f>IF(OR(E175="",G175=""),"",IF(RIGHT(E175,1)="G",_xlfn.XLOOKUP(G175,Data!$D$10:$L$10,Data!$D$9:$L$9,"",1,1),_xlfn.XLOOKUP(G175,Data!$D$3:$L$3,Data!$D$2:$L$2,"",1,1)))</f>
        <v/>
      </c>
      <c r="L175" s="160" t="str" cm="1">
        <f t="array" ref="L175">IFERROR(_xlfn.IFNA(
                      _xlfn.IFS(
                      G175="", "",
                      AND(E175="U12B",G175&lt;=Data!$M$3), "U12 Boys record",
                      AND(E175="U12G",G175&lt;=Data!$M$10), "U12 Girls record"
                       ),""), "")</f>
        <v/>
      </c>
      <c r="M175" s="18" cm="1">
        <f t="array" ref="M175">_xlfn.IFS($G175="",0, AND(NOT(ISNUMBER($G175)),LOWER($G175)&lt;&gt;"dnf"),"Not a valid time",OR(LOWER($G175)="dnf",$G175&gt;ScoringTable!$M$161),1,RIGHT($E175,1)="B",_xlfn.XLOOKUP($G175,ScoringTable!$M$2:$M$161,ScoringTable!$L$2:$L$161,,1),TRUE,_xlfn.XLOOKUP($G175,ScoringTable!$S$2:$S$161,ScoringTable!$R$2:$R$161,,1))</f>
        <v>0</v>
      </c>
    </row>
    <row r="176" spans="1:13" s="7" customFormat="1" ht="16.05" customHeight="1">
      <c r="A176" s="243" t="s">
        <v>85</v>
      </c>
      <c r="B176" s="114" t="str">
        <f>IF(ISNA(VLOOKUP($F176,Declarations!B$6:C$185,2,FALSE)),"",IF(VLOOKUP($F176,Declarations!B$6:C$185,2,FALSE)="","NOT DECLARED",IF(ISNA(_xlfn.TEXTBEFORE(VLOOKUP($F176,Declarations!B$6:C$185,2,FALSE)," ")),VLOOKUP($F176,Declarations!B$6:C$185,2,FALSE),_xlfn.TEXTBEFORE(VLOOKUP($F176,Declarations!B$6:C$185,2,FALSE)," "))))</f>
        <v/>
      </c>
      <c r="C176" s="114" t="str">
        <f>IF(ISNA(VLOOKUP($F176,Declarations!B$6:C$185,2,FALSE)),"",IF(VLOOKUP($F176,Declarations!B$6:C$185,2,FALSE)="","NOT DECLARED",IF(ISNA(_xlfn.TEXTAFTER(VLOOKUP($F176,Declarations!B$6:C$185,2,FALSE)," ")),VLOOKUP($F176,Declarations!B$6:C$185,2,FALSE),_xlfn.TEXTAFTER(VLOOKUP($F176,Declarations!B$6:C$185,2,FALSE)," "))))</f>
        <v/>
      </c>
      <c r="D176" s="114" t="str">
        <f>IF(ISNA(VLOOKUP($F176,Declarations!$B$6:$F$185,5,FALSE)),"",IF(VLOOKUP($F176,Declarations!$B$6:$F$185,5,FALSE)="","NOT DECLARED",VLOOKUP($F176,Declarations!$B$6:$F$185,5,FALSE)))</f>
        <v/>
      </c>
      <c r="E176" s="112" t="str">
        <f>IF(ISNA(VLOOKUP($F176,Declarations!$B$6:$D$185,3,FALSE)),"",IF(VLOOKUP($F176,Declarations!$B$6:$D$185,3,FALSE)="","NOT DECLARED",VLOOKUP($F176,Declarations!$B$6:$D$185,3,FALSE)&amp;LEFT(VLOOKUP($F176,Declarations!$B$6:$E$185,4,FALSE))))</f>
        <v/>
      </c>
      <c r="F176" s="58"/>
      <c r="G176" s="122"/>
      <c r="H176" s="122"/>
      <c r="I176" s="114" t="str">
        <f>IF(ISNA(VLOOKUP(F176,Declarations!B$6:C$185,2,FALSE)),"",IF(VLOOKUP(F176,Declarations!B$6:C$185,2,FALSE)="","NOT DECLARED",VLOOKUP(F176,Declarations!B$6:C$185,2,FALSE)))</f>
        <v/>
      </c>
      <c r="J176" s="112">
        <f>IF(LOWER(G176)="dnf",1,IF(G176&lt;ScoringTable!B$3,ScoringTable!I$2,VLOOKUP((1000-G176),ScoringTable!G$2:I$95,3)))</f>
        <v>0</v>
      </c>
      <c r="K176" s="112" t="str">
        <f>IF(OR(E176="",G176=""),"",IF(RIGHT(E176,1)="G",_xlfn.XLOOKUP(G176,Data!$D$10:$L$10,Data!$D$9:$L$9,"",1,1),_xlfn.XLOOKUP(G176,Data!$D$3:$L$3,Data!$D$2:$L$2,"",1,1)))</f>
        <v/>
      </c>
      <c r="L176" s="160" t="str" cm="1">
        <f t="array" ref="L176">IFERROR(_xlfn.IFNA(
                      _xlfn.IFS(
                      G176="", "",
                      AND(E176="U12B",G176&lt;=Data!$M$3), "U12 Boys record",
                      AND(E176="U12G",G176&lt;=Data!$M$10), "U12 Girls record"
                       ),""), "")</f>
        <v/>
      </c>
      <c r="M176" s="18" cm="1">
        <f t="array" ref="M176">_xlfn.IFS($G176="",0, AND(NOT(ISNUMBER($G176)),LOWER($G176)&lt;&gt;"dnf"),"Not a valid time",OR(LOWER($G176)="dnf",$G176&gt;ScoringTable!$M$161),1,RIGHT($E176,1)="B",_xlfn.XLOOKUP($G176,ScoringTable!$M$2:$M$161,ScoringTable!$L$2:$L$161,,1),TRUE,_xlfn.XLOOKUP($G176,ScoringTable!$S$2:$S$161,ScoringTable!$R$2:$R$161,,1))</f>
        <v>0</v>
      </c>
    </row>
    <row r="177" spans="1:13" s="7" customFormat="1" ht="16.05" customHeight="1">
      <c r="A177" s="243" t="s">
        <v>85</v>
      </c>
      <c r="B177" s="114" t="str">
        <f>IF(ISNA(VLOOKUP($F177,Declarations!B$6:C$185,2,FALSE)),"",IF(VLOOKUP($F177,Declarations!B$6:C$185,2,FALSE)="","NOT DECLARED",IF(ISNA(_xlfn.TEXTBEFORE(VLOOKUP($F177,Declarations!B$6:C$185,2,FALSE)," ")),VLOOKUP($F177,Declarations!B$6:C$185,2,FALSE),_xlfn.TEXTBEFORE(VLOOKUP($F177,Declarations!B$6:C$185,2,FALSE)," "))))</f>
        <v/>
      </c>
      <c r="C177" s="114" t="str">
        <f>IF(ISNA(VLOOKUP($F177,Declarations!B$6:C$185,2,FALSE)),"",IF(VLOOKUP($F177,Declarations!B$6:C$185,2,FALSE)="","NOT DECLARED",IF(ISNA(_xlfn.TEXTAFTER(VLOOKUP($F177,Declarations!B$6:C$185,2,FALSE)," ")),VLOOKUP($F177,Declarations!B$6:C$185,2,FALSE),_xlfn.TEXTAFTER(VLOOKUP($F177,Declarations!B$6:C$185,2,FALSE)," "))))</f>
        <v/>
      </c>
      <c r="D177" s="114" t="str">
        <f>IF(ISNA(VLOOKUP($F177,Declarations!$B$6:$F$185,5,FALSE)),"",IF(VLOOKUP($F177,Declarations!$B$6:$F$185,5,FALSE)="","NOT DECLARED",VLOOKUP($F177,Declarations!$B$6:$F$185,5,FALSE)))</f>
        <v/>
      </c>
      <c r="E177" s="112" t="str">
        <f>IF(ISNA(VLOOKUP($F177,Declarations!$B$6:$D$185,3,FALSE)),"",IF(VLOOKUP($F177,Declarations!$B$6:$D$185,3,FALSE)="","NOT DECLARED",VLOOKUP($F177,Declarations!$B$6:$D$185,3,FALSE)&amp;LEFT(VLOOKUP($F177,Declarations!$B$6:$E$185,4,FALSE))))</f>
        <v/>
      </c>
      <c r="F177" s="58"/>
      <c r="G177" s="122"/>
      <c r="H177" s="122"/>
      <c r="I177" s="114" t="str">
        <f>IF(ISNA(VLOOKUP(F177,Declarations!B$6:C$185,2,FALSE)),"",IF(VLOOKUP(F177,Declarations!B$6:C$185,2,FALSE)="","NOT DECLARED",VLOOKUP(F177,Declarations!B$6:C$185,2,FALSE)))</f>
        <v/>
      </c>
      <c r="J177" s="112">
        <f>IF(LOWER(G177)="dnf",1,IF(G177&lt;ScoringTable!B$3,ScoringTable!I$2,VLOOKUP((1000-G177),ScoringTable!G$2:I$95,3)))</f>
        <v>0</v>
      </c>
      <c r="K177" s="112" t="str">
        <f>IF(OR(E177="",G177=""),"",IF(RIGHT(E177,1)="G",_xlfn.XLOOKUP(G177,Data!$D$10:$L$10,Data!$D$9:$L$9,"",1,1),_xlfn.XLOOKUP(G177,Data!$D$3:$L$3,Data!$D$2:$L$2,"",1,1)))</f>
        <v/>
      </c>
      <c r="L177" s="160" t="str" cm="1">
        <f t="array" ref="L177">IFERROR(_xlfn.IFNA(
                      _xlfn.IFS(
                      G177="", "",
                      AND(E177="U12B",G177&lt;=Data!$M$3), "U12 Boys record",
                      AND(E177="U12G",G177&lt;=Data!$M$10), "U12 Girls record"
                       ),""), "")</f>
        <v/>
      </c>
      <c r="M177" s="18" cm="1">
        <f t="array" ref="M177">_xlfn.IFS($G177="",0, AND(NOT(ISNUMBER($G177)),LOWER($G177)&lt;&gt;"dnf"),"Not a valid time",OR(LOWER($G177)="dnf",$G177&gt;ScoringTable!$M$161),1,RIGHT($E177,1)="B",_xlfn.XLOOKUP($G177,ScoringTable!$M$2:$M$161,ScoringTable!$L$2:$L$161,,1),TRUE,_xlfn.XLOOKUP($G177,ScoringTable!$S$2:$S$161,ScoringTable!$R$2:$R$161,,1))</f>
        <v>0</v>
      </c>
    </row>
    <row r="178" spans="1:13" s="7" customFormat="1" ht="16.05" customHeight="1">
      <c r="A178" s="243" t="s">
        <v>85</v>
      </c>
      <c r="B178" s="114" t="str">
        <f>IF(ISNA(VLOOKUP($F178,Declarations!B$6:C$185,2,FALSE)),"",IF(VLOOKUP($F178,Declarations!B$6:C$185,2,FALSE)="","NOT DECLARED",IF(ISNA(_xlfn.TEXTBEFORE(VLOOKUP($F178,Declarations!B$6:C$185,2,FALSE)," ")),VLOOKUP($F178,Declarations!B$6:C$185,2,FALSE),_xlfn.TEXTBEFORE(VLOOKUP($F178,Declarations!B$6:C$185,2,FALSE)," "))))</f>
        <v/>
      </c>
      <c r="C178" s="114" t="str">
        <f>IF(ISNA(VLOOKUP($F178,Declarations!B$6:C$185,2,FALSE)),"",IF(VLOOKUP($F178,Declarations!B$6:C$185,2,FALSE)="","NOT DECLARED",IF(ISNA(_xlfn.TEXTAFTER(VLOOKUP($F178,Declarations!B$6:C$185,2,FALSE)," ")),VLOOKUP($F178,Declarations!B$6:C$185,2,FALSE),_xlfn.TEXTAFTER(VLOOKUP($F178,Declarations!B$6:C$185,2,FALSE)," "))))</f>
        <v/>
      </c>
      <c r="D178" s="114" t="str">
        <f>IF(ISNA(VLOOKUP($F178,Declarations!$B$6:$F$185,5,FALSE)),"",IF(VLOOKUP($F178,Declarations!$B$6:$F$185,5,FALSE)="","NOT DECLARED",VLOOKUP($F178,Declarations!$B$6:$F$185,5,FALSE)))</f>
        <v/>
      </c>
      <c r="E178" s="112" t="str">
        <f>IF(ISNA(VLOOKUP($F178,Declarations!$B$6:$D$185,3,FALSE)),"",IF(VLOOKUP($F178,Declarations!$B$6:$D$185,3,FALSE)="","NOT DECLARED",VLOOKUP($F178,Declarations!$B$6:$D$185,3,FALSE)&amp;LEFT(VLOOKUP($F178,Declarations!$B$6:$E$185,4,FALSE))))</f>
        <v/>
      </c>
      <c r="F178" s="58"/>
      <c r="G178" s="122"/>
      <c r="H178" s="122"/>
      <c r="I178" s="114" t="str">
        <f>IF(ISNA(VLOOKUP(F178,Declarations!B$6:C$185,2,FALSE)),"",IF(VLOOKUP(F178,Declarations!B$6:C$185,2,FALSE)="","NOT DECLARED",VLOOKUP(F178,Declarations!B$6:C$185,2,FALSE)))</f>
        <v/>
      </c>
      <c r="J178" s="112">
        <f>IF(LOWER(G178)="dnf",1,IF(G178&lt;ScoringTable!B$3,ScoringTable!I$2,VLOOKUP((1000-G178),ScoringTable!G$2:I$95,3)))</f>
        <v>0</v>
      </c>
      <c r="K178" s="112" t="str">
        <f>IF(OR(E178="",G178=""),"",IF(RIGHT(E178,1)="G",_xlfn.XLOOKUP(G178,Data!$D$10:$L$10,Data!$D$9:$L$9,"",1,1),_xlfn.XLOOKUP(G178,Data!$D$3:$L$3,Data!$D$2:$L$2,"",1,1)))</f>
        <v/>
      </c>
      <c r="L178" s="160" t="str" cm="1">
        <f t="array" ref="L178">IFERROR(_xlfn.IFNA(
                      _xlfn.IFS(
                      G178="", "",
                      AND(E178="U12B",G178&lt;=Data!$M$3), "U12 Boys record",
                      AND(E178="U12G",G178&lt;=Data!$M$10), "U12 Girls record"
                       ),""), "")</f>
        <v/>
      </c>
      <c r="M178" s="18" cm="1">
        <f t="array" ref="M178">_xlfn.IFS($G178="",0, AND(NOT(ISNUMBER($G178)),LOWER($G178)&lt;&gt;"dnf"),"Not a valid time",OR(LOWER($G178)="dnf",$G178&gt;ScoringTable!$M$161),1,RIGHT($E178,1)="B",_xlfn.XLOOKUP($G178,ScoringTable!$M$2:$M$161,ScoringTable!$L$2:$L$161,,1),TRUE,_xlfn.XLOOKUP($G178,ScoringTable!$S$2:$S$161,ScoringTable!$R$2:$R$161,,1))</f>
        <v>0</v>
      </c>
    </row>
    <row r="179" spans="1:13" s="7" customFormat="1" ht="16.05" customHeight="1">
      <c r="A179" s="243" t="s">
        <v>85</v>
      </c>
      <c r="B179" s="114" t="str">
        <f>IF(ISNA(VLOOKUP($F179,Declarations!B$6:C$185,2,FALSE)),"",IF(VLOOKUP($F179,Declarations!B$6:C$185,2,FALSE)="","NOT DECLARED",IF(ISNA(_xlfn.TEXTBEFORE(VLOOKUP($F179,Declarations!B$6:C$185,2,FALSE)," ")),VLOOKUP($F179,Declarations!B$6:C$185,2,FALSE),_xlfn.TEXTBEFORE(VLOOKUP($F179,Declarations!B$6:C$185,2,FALSE)," "))))</f>
        <v/>
      </c>
      <c r="C179" s="114" t="str">
        <f>IF(ISNA(VLOOKUP($F179,Declarations!B$6:C$185,2,FALSE)),"",IF(VLOOKUP($F179,Declarations!B$6:C$185,2,FALSE)="","NOT DECLARED",IF(ISNA(_xlfn.TEXTAFTER(VLOOKUP($F179,Declarations!B$6:C$185,2,FALSE)," ")),VLOOKUP($F179,Declarations!B$6:C$185,2,FALSE),_xlfn.TEXTAFTER(VLOOKUP($F179,Declarations!B$6:C$185,2,FALSE)," "))))</f>
        <v/>
      </c>
      <c r="D179" s="114" t="str">
        <f>IF(ISNA(VLOOKUP($F179,Declarations!$B$6:$F$185,5,FALSE)),"",IF(VLOOKUP($F179,Declarations!$B$6:$F$185,5,FALSE)="","NOT DECLARED",VLOOKUP($F179,Declarations!$B$6:$F$185,5,FALSE)))</f>
        <v/>
      </c>
      <c r="E179" s="112" t="str">
        <f>IF(ISNA(VLOOKUP($F179,Declarations!$B$6:$D$185,3,FALSE)),"",IF(VLOOKUP($F179,Declarations!$B$6:$D$185,3,FALSE)="","NOT DECLARED",VLOOKUP($F179,Declarations!$B$6:$D$185,3,FALSE)&amp;LEFT(VLOOKUP($F179,Declarations!$B$6:$E$185,4,FALSE))))</f>
        <v/>
      </c>
      <c r="F179" s="58"/>
      <c r="G179" s="122"/>
      <c r="H179" s="122"/>
      <c r="I179" s="114" t="str">
        <f>IF(ISNA(VLOOKUP(F179,Declarations!B$6:C$185,2,FALSE)),"",IF(VLOOKUP(F179,Declarations!B$6:C$185,2,FALSE)="","NOT DECLARED",VLOOKUP(F179,Declarations!B$6:C$185,2,FALSE)))</f>
        <v/>
      </c>
      <c r="J179" s="112">
        <f>IF(LOWER(G179)="dnf",1,IF(G179&lt;ScoringTable!B$3,ScoringTable!I$2,VLOOKUP((1000-G179),ScoringTable!G$2:I$95,3)))</f>
        <v>0</v>
      </c>
      <c r="K179" s="112" t="str">
        <f>IF(OR(E179="",G179=""),"",IF(RIGHT(E179,1)="G",_xlfn.XLOOKUP(G179,Data!$D$10:$L$10,Data!$D$9:$L$9,"",1,1),_xlfn.XLOOKUP(G179,Data!$D$3:$L$3,Data!$D$2:$L$2,"",1,1)))</f>
        <v/>
      </c>
      <c r="L179" s="160" t="str" cm="1">
        <f t="array" ref="L179">IFERROR(_xlfn.IFNA(
                      _xlfn.IFS(
                      G179="", "",
                      AND(E179="U12B",G179&lt;=Data!$M$3), "U12 Boys record",
                      AND(E179="U12G",G179&lt;=Data!$M$10), "U12 Girls record"
                       ),""), "")</f>
        <v/>
      </c>
      <c r="M179" s="18" cm="1">
        <f t="array" ref="M179">_xlfn.IFS($G179="",0, AND(NOT(ISNUMBER($G179)),LOWER($G179)&lt;&gt;"dnf"),"Not a valid time",OR(LOWER($G179)="dnf",$G179&gt;ScoringTable!$M$161),1,RIGHT($E179,1)="B",_xlfn.XLOOKUP($G179,ScoringTable!$M$2:$M$161,ScoringTable!$L$2:$L$161,,1),TRUE,_xlfn.XLOOKUP($G179,ScoringTable!$S$2:$S$161,ScoringTable!$R$2:$R$161,,1))</f>
        <v>0</v>
      </c>
    </row>
    <row r="180" spans="1:13" s="7" customFormat="1" ht="16.05" customHeight="1">
      <c r="A180" s="243" t="s">
        <v>85</v>
      </c>
      <c r="B180" s="114" t="str">
        <f>IF(ISNA(VLOOKUP($F180,Declarations!B$6:C$185,2,FALSE)),"",IF(VLOOKUP($F180,Declarations!B$6:C$185,2,FALSE)="","NOT DECLARED",IF(ISNA(_xlfn.TEXTBEFORE(VLOOKUP($F180,Declarations!B$6:C$185,2,FALSE)," ")),VLOOKUP($F180,Declarations!B$6:C$185,2,FALSE),_xlfn.TEXTBEFORE(VLOOKUP($F180,Declarations!B$6:C$185,2,FALSE)," "))))</f>
        <v/>
      </c>
      <c r="C180" s="114" t="str">
        <f>IF(ISNA(VLOOKUP($F180,Declarations!B$6:C$185,2,FALSE)),"",IF(VLOOKUP($F180,Declarations!B$6:C$185,2,FALSE)="","NOT DECLARED",IF(ISNA(_xlfn.TEXTAFTER(VLOOKUP($F180,Declarations!B$6:C$185,2,FALSE)," ")),VLOOKUP($F180,Declarations!B$6:C$185,2,FALSE),_xlfn.TEXTAFTER(VLOOKUP($F180,Declarations!B$6:C$185,2,FALSE)," "))))</f>
        <v/>
      </c>
      <c r="D180" s="114" t="str">
        <f>IF(ISNA(VLOOKUP($F180,Declarations!$B$6:$F$185,5,FALSE)),"",IF(VLOOKUP($F180,Declarations!$B$6:$F$185,5,FALSE)="","NOT DECLARED",VLOOKUP($F180,Declarations!$B$6:$F$185,5,FALSE)))</f>
        <v/>
      </c>
      <c r="E180" s="112" t="str">
        <f>IF(ISNA(VLOOKUP($F180,Declarations!$B$6:$D$185,3,FALSE)),"",IF(VLOOKUP($F180,Declarations!$B$6:$D$185,3,FALSE)="","NOT DECLARED",VLOOKUP($F180,Declarations!$B$6:$D$185,3,FALSE)&amp;LEFT(VLOOKUP($F180,Declarations!$B$6:$E$185,4,FALSE))))</f>
        <v/>
      </c>
      <c r="F180" s="58"/>
      <c r="G180" s="122"/>
      <c r="H180" s="122"/>
      <c r="I180" s="114" t="str">
        <f>IF(ISNA(VLOOKUP(F180,Declarations!B$6:C$185,2,FALSE)),"",IF(VLOOKUP(F180,Declarations!B$6:C$185,2,FALSE)="","NOT DECLARED",VLOOKUP(F180,Declarations!B$6:C$185,2,FALSE)))</f>
        <v/>
      </c>
      <c r="J180" s="112">
        <f>IF(LOWER(G180)="dnf",1,IF(G180&lt;ScoringTable!B$3,ScoringTable!I$2,VLOOKUP((1000-G180),ScoringTable!G$2:I$95,3)))</f>
        <v>0</v>
      </c>
      <c r="K180" s="112" t="str">
        <f>IF(OR(E180="",G180=""),"",IF(RIGHT(E180,1)="G",_xlfn.XLOOKUP(G180,Data!$D$10:$L$10,Data!$D$9:$L$9,"",1,1),_xlfn.XLOOKUP(G180,Data!$D$3:$L$3,Data!$D$2:$L$2,"",1,1)))</f>
        <v/>
      </c>
      <c r="L180" s="160" t="str" cm="1">
        <f t="array" ref="L180">IFERROR(_xlfn.IFNA(
                      _xlfn.IFS(
                      G180="", "",
                      AND(E180="U12B",G180&lt;=Data!$M$3), "U12 Boys record",
                      AND(E180="U12G",G180&lt;=Data!$M$10), "U12 Girls record"
                       ),""), "")</f>
        <v/>
      </c>
      <c r="M180" s="18" cm="1">
        <f t="array" ref="M180">_xlfn.IFS($G180="",0, AND(NOT(ISNUMBER($G180)),LOWER($G180)&lt;&gt;"dnf"),"Not a valid time",OR(LOWER($G180)="dnf",$G180&gt;ScoringTable!$M$161),1,RIGHT($E180,1)="B",_xlfn.XLOOKUP($G180,ScoringTable!$M$2:$M$161,ScoringTable!$L$2:$L$161,,1),TRUE,_xlfn.XLOOKUP($G180,ScoringTable!$S$2:$S$161,ScoringTable!$R$2:$R$161,,1))</f>
        <v>0</v>
      </c>
    </row>
    <row r="181" spans="1:13" s="7" customFormat="1" ht="16.05" customHeight="1">
      <c r="A181" s="243" t="s">
        <v>85</v>
      </c>
      <c r="B181" s="114" t="str">
        <f>IF(ISNA(VLOOKUP($F181,Declarations!B$6:C$185,2,FALSE)),"",IF(VLOOKUP($F181,Declarations!B$6:C$185,2,FALSE)="","NOT DECLARED",IF(ISNA(_xlfn.TEXTBEFORE(VLOOKUP($F181,Declarations!B$6:C$185,2,FALSE)," ")),VLOOKUP($F181,Declarations!B$6:C$185,2,FALSE),_xlfn.TEXTBEFORE(VLOOKUP($F181,Declarations!B$6:C$185,2,FALSE)," "))))</f>
        <v/>
      </c>
      <c r="C181" s="114" t="str">
        <f>IF(ISNA(VLOOKUP($F181,Declarations!B$6:C$185,2,FALSE)),"",IF(VLOOKUP($F181,Declarations!B$6:C$185,2,FALSE)="","NOT DECLARED",IF(ISNA(_xlfn.TEXTAFTER(VLOOKUP($F181,Declarations!B$6:C$185,2,FALSE)," ")),VLOOKUP($F181,Declarations!B$6:C$185,2,FALSE),_xlfn.TEXTAFTER(VLOOKUP($F181,Declarations!B$6:C$185,2,FALSE)," "))))</f>
        <v/>
      </c>
      <c r="D181" s="114" t="str">
        <f>IF(ISNA(VLOOKUP($F181,Declarations!$B$6:$F$185,5,FALSE)),"",IF(VLOOKUP($F181,Declarations!$B$6:$F$185,5,FALSE)="","NOT DECLARED",VLOOKUP($F181,Declarations!$B$6:$F$185,5,FALSE)))</f>
        <v/>
      </c>
      <c r="E181" s="112" t="str">
        <f>IF(ISNA(VLOOKUP($F181,Declarations!$B$6:$D$185,3,FALSE)),"",IF(VLOOKUP($F181,Declarations!$B$6:$D$185,3,FALSE)="","NOT DECLARED",VLOOKUP($F181,Declarations!$B$6:$D$185,3,FALSE)&amp;LEFT(VLOOKUP($F181,Declarations!$B$6:$E$185,4,FALSE))))</f>
        <v/>
      </c>
      <c r="F181" s="58"/>
      <c r="G181" s="122"/>
      <c r="H181" s="122"/>
      <c r="I181" s="114" t="str">
        <f>IF(ISNA(VLOOKUP(F181,Declarations!B$6:C$185,2,FALSE)),"",IF(VLOOKUP(F181,Declarations!B$6:C$185,2,FALSE)="","NOT DECLARED",VLOOKUP(F181,Declarations!B$6:C$185,2,FALSE)))</f>
        <v/>
      </c>
      <c r="J181" s="112">
        <f>IF(LOWER(G181)="dnf",1,IF(G181&lt;ScoringTable!B$3,ScoringTable!I$2,VLOOKUP((1000-G181),ScoringTable!G$2:I$95,3)))</f>
        <v>0</v>
      </c>
      <c r="K181" s="112" t="str">
        <f>IF(OR(E181="",G181=""),"",IF(RIGHT(E181,1)="G",_xlfn.XLOOKUP(G181,Data!$D$10:$L$10,Data!$D$9:$L$9,"",1,1),_xlfn.XLOOKUP(G181,Data!$D$3:$L$3,Data!$D$2:$L$2,"",1,1)))</f>
        <v/>
      </c>
      <c r="L181" s="160" t="str" cm="1">
        <f t="array" ref="L181">IFERROR(_xlfn.IFNA(
                      _xlfn.IFS(
                      G181="", "",
                      AND(E181="U12B",G181&lt;=Data!$M$3), "U12 Boys record",
                      AND(E181="U12G",G181&lt;=Data!$M$10), "U12 Girls record"
                       ),""), "")</f>
        <v/>
      </c>
      <c r="M181" s="18" cm="1">
        <f t="array" ref="M181">_xlfn.IFS($G181="",0, AND(NOT(ISNUMBER($G181)),LOWER($G181)&lt;&gt;"dnf"),"Not a valid time",OR(LOWER($G181)="dnf",$G181&gt;ScoringTable!$M$161),1,RIGHT($E181,1)="B",_xlfn.XLOOKUP($G181,ScoringTable!$M$2:$M$161,ScoringTable!$L$2:$L$161,,1),TRUE,_xlfn.XLOOKUP($G181,ScoringTable!$S$2:$S$161,ScoringTable!$R$2:$R$161,,1))</f>
        <v>0</v>
      </c>
    </row>
    <row r="182" spans="1:13" s="7" customFormat="1" ht="16.05" customHeight="1">
      <c r="A182" s="243" t="s">
        <v>85</v>
      </c>
      <c r="B182" s="114" t="str">
        <f>IF(ISNA(VLOOKUP($F182,Declarations!B$6:C$185,2,FALSE)),"",IF(VLOOKUP($F182,Declarations!B$6:C$185,2,FALSE)="","NOT DECLARED",IF(ISNA(_xlfn.TEXTBEFORE(VLOOKUP($F182,Declarations!B$6:C$185,2,FALSE)," ")),VLOOKUP($F182,Declarations!B$6:C$185,2,FALSE),_xlfn.TEXTBEFORE(VLOOKUP($F182,Declarations!B$6:C$185,2,FALSE)," "))))</f>
        <v/>
      </c>
      <c r="C182" s="114" t="str">
        <f>IF(ISNA(VLOOKUP($F182,Declarations!B$6:C$185,2,FALSE)),"",IF(VLOOKUP($F182,Declarations!B$6:C$185,2,FALSE)="","NOT DECLARED",IF(ISNA(_xlfn.TEXTAFTER(VLOOKUP($F182,Declarations!B$6:C$185,2,FALSE)," ")),VLOOKUP($F182,Declarations!B$6:C$185,2,FALSE),_xlfn.TEXTAFTER(VLOOKUP($F182,Declarations!B$6:C$185,2,FALSE)," "))))</f>
        <v/>
      </c>
      <c r="D182" s="114" t="str">
        <f>IF(ISNA(VLOOKUP($F182,Declarations!$B$6:$F$185,5,FALSE)),"",IF(VLOOKUP($F182,Declarations!$B$6:$F$185,5,FALSE)="","NOT DECLARED",VLOOKUP($F182,Declarations!$B$6:$F$185,5,FALSE)))</f>
        <v/>
      </c>
      <c r="E182" s="112" t="str">
        <f>IF(ISNA(VLOOKUP($F182,Declarations!$B$6:$D$185,3,FALSE)),"",IF(VLOOKUP($F182,Declarations!$B$6:$D$185,3,FALSE)="","NOT DECLARED",VLOOKUP($F182,Declarations!$B$6:$D$185,3,FALSE)&amp;LEFT(VLOOKUP($F182,Declarations!$B$6:$E$185,4,FALSE))))</f>
        <v/>
      </c>
      <c r="F182" s="58"/>
      <c r="G182" s="122"/>
      <c r="H182" s="122"/>
      <c r="I182" s="114" t="str">
        <f>IF(ISNA(VLOOKUP(F182,Declarations!B$6:C$185,2,FALSE)),"",IF(VLOOKUP(F182,Declarations!B$6:C$185,2,FALSE)="","NOT DECLARED",VLOOKUP(F182,Declarations!B$6:C$185,2,FALSE)))</f>
        <v/>
      </c>
      <c r="J182" s="112">
        <f>IF(LOWER(G182)="dnf",1,IF(G182&lt;ScoringTable!B$3,ScoringTable!I$2,VLOOKUP((1000-G182),ScoringTable!G$2:I$95,3)))</f>
        <v>0</v>
      </c>
      <c r="K182" s="112" t="str">
        <f>IF(OR(E182="",G182=""),"",IF(RIGHT(E182,1)="G",_xlfn.XLOOKUP(G182,Data!$D$10:$L$10,Data!$D$9:$L$9,"",1,1),_xlfn.XLOOKUP(G182,Data!$D$3:$L$3,Data!$D$2:$L$2,"",1,1)))</f>
        <v/>
      </c>
      <c r="L182" s="160" t="str" cm="1">
        <f t="array" ref="L182">IFERROR(_xlfn.IFNA(
                      _xlfn.IFS(
                      G182="", "",
                      AND(E182="U12B",G182&lt;=Data!$M$3), "U12 Boys record",
                      AND(E182="U12G",G182&lt;=Data!$M$10), "U12 Girls record"
                       ),""), "")</f>
        <v/>
      </c>
      <c r="M182" s="18" cm="1">
        <f t="array" ref="M182">_xlfn.IFS($G182="",0, AND(NOT(ISNUMBER($G182)),LOWER($G182)&lt;&gt;"dnf"),"Not a valid time",OR(LOWER($G182)="dnf",$G182&gt;ScoringTable!$M$161),1,RIGHT($E182,1)="B",_xlfn.XLOOKUP($G182,ScoringTable!$M$2:$M$161,ScoringTable!$L$2:$L$161,,1),TRUE,_xlfn.XLOOKUP($G182,ScoringTable!$S$2:$S$161,ScoringTable!$R$2:$R$161,,1))</f>
        <v>0</v>
      </c>
    </row>
    <row r="183" spans="1:13" s="7" customFormat="1" ht="16.05" customHeight="1">
      <c r="A183" s="243" t="s">
        <v>85</v>
      </c>
      <c r="B183" s="114" t="str">
        <f>IF(ISNA(VLOOKUP($F183,Declarations!B$6:C$185,2,FALSE)),"",IF(VLOOKUP($F183,Declarations!B$6:C$185,2,FALSE)="","NOT DECLARED",IF(ISNA(_xlfn.TEXTBEFORE(VLOOKUP($F183,Declarations!B$6:C$185,2,FALSE)," ")),VLOOKUP($F183,Declarations!B$6:C$185,2,FALSE),_xlfn.TEXTBEFORE(VLOOKUP($F183,Declarations!B$6:C$185,2,FALSE)," "))))</f>
        <v/>
      </c>
      <c r="C183" s="114" t="str">
        <f>IF(ISNA(VLOOKUP($F183,Declarations!B$6:C$185,2,FALSE)),"",IF(VLOOKUP($F183,Declarations!B$6:C$185,2,FALSE)="","NOT DECLARED",IF(ISNA(_xlfn.TEXTAFTER(VLOOKUP($F183,Declarations!B$6:C$185,2,FALSE)," ")),VLOOKUP($F183,Declarations!B$6:C$185,2,FALSE),_xlfn.TEXTAFTER(VLOOKUP($F183,Declarations!B$6:C$185,2,FALSE)," "))))</f>
        <v/>
      </c>
      <c r="D183" s="114" t="str">
        <f>IF(ISNA(VLOOKUP($F183,Declarations!$B$6:$F$185,5,FALSE)),"",IF(VLOOKUP($F183,Declarations!$B$6:$F$185,5,FALSE)="","NOT DECLARED",VLOOKUP($F183,Declarations!$B$6:$F$185,5,FALSE)))</f>
        <v/>
      </c>
      <c r="E183" s="112" t="str">
        <f>IF(ISNA(VLOOKUP($F183,Declarations!$B$6:$D$185,3,FALSE)),"",IF(VLOOKUP($F183,Declarations!$B$6:$D$185,3,FALSE)="","NOT DECLARED",VLOOKUP($F183,Declarations!$B$6:$D$185,3,FALSE)&amp;LEFT(VLOOKUP($F183,Declarations!$B$6:$E$185,4,FALSE))))</f>
        <v/>
      </c>
      <c r="F183" s="58"/>
      <c r="G183" s="122"/>
      <c r="H183" s="122"/>
      <c r="I183" s="114" t="str">
        <f>IF(ISNA(VLOOKUP(F183,Declarations!B$6:C$185,2,FALSE)),"",IF(VLOOKUP(F183,Declarations!B$6:C$185,2,FALSE)="","NOT DECLARED",VLOOKUP(F183,Declarations!B$6:C$185,2,FALSE)))</f>
        <v/>
      </c>
      <c r="J183" s="112">
        <f>IF(LOWER(G183)="dnf",1,IF(G183&lt;ScoringTable!B$3,ScoringTable!I$2,VLOOKUP((1000-G183),ScoringTable!G$2:I$95,3)))</f>
        <v>0</v>
      </c>
      <c r="K183" s="112" t="str">
        <f>IF(OR(E183="",G183=""),"",IF(RIGHT(E183,1)="G",_xlfn.XLOOKUP(G183,Data!$D$10:$L$10,Data!$D$9:$L$9,"",1,1),_xlfn.XLOOKUP(G183,Data!$D$3:$L$3,Data!$D$2:$L$2,"",1,1)))</f>
        <v/>
      </c>
      <c r="L183" s="160" t="str" cm="1">
        <f t="array" ref="L183">IFERROR(_xlfn.IFNA(
                      _xlfn.IFS(
                      G183="", "",
                      AND(E183="U12B",G183&lt;=Data!$M$3), "U12 Boys record",
                      AND(E183="U12G",G183&lt;=Data!$M$10), "U12 Girls record"
                       ),""), "")</f>
        <v/>
      </c>
      <c r="M183" s="18" cm="1">
        <f t="array" ref="M183">_xlfn.IFS($G183="",0, AND(NOT(ISNUMBER($G183)),LOWER($G183)&lt;&gt;"dnf"),"Not a valid time",OR(LOWER($G183)="dnf",$G183&gt;ScoringTable!$M$161),1,RIGHT($E183,1)="B",_xlfn.XLOOKUP($G183,ScoringTable!$M$2:$M$161,ScoringTable!$L$2:$L$161,,1),TRUE,_xlfn.XLOOKUP($G183,ScoringTable!$S$2:$S$161,ScoringTable!$R$2:$R$161,,1))</f>
        <v>0</v>
      </c>
    </row>
    <row r="184" spans="1:13" s="7" customFormat="1" ht="16.05" customHeight="1">
      <c r="A184" s="243" t="s">
        <v>85</v>
      </c>
      <c r="B184" s="114" t="str">
        <f>IF(ISNA(VLOOKUP($F184,Declarations!B$6:C$185,2,FALSE)),"",IF(VLOOKUP($F184,Declarations!B$6:C$185,2,FALSE)="","NOT DECLARED",IF(ISNA(_xlfn.TEXTBEFORE(VLOOKUP($F184,Declarations!B$6:C$185,2,FALSE)," ")),VLOOKUP($F184,Declarations!B$6:C$185,2,FALSE),_xlfn.TEXTBEFORE(VLOOKUP($F184,Declarations!B$6:C$185,2,FALSE)," "))))</f>
        <v/>
      </c>
      <c r="C184" s="114" t="str">
        <f>IF(ISNA(VLOOKUP($F184,Declarations!B$6:C$185,2,FALSE)),"",IF(VLOOKUP($F184,Declarations!B$6:C$185,2,FALSE)="","NOT DECLARED",IF(ISNA(_xlfn.TEXTAFTER(VLOOKUP($F184,Declarations!B$6:C$185,2,FALSE)," ")),VLOOKUP($F184,Declarations!B$6:C$185,2,FALSE),_xlfn.TEXTAFTER(VLOOKUP($F184,Declarations!B$6:C$185,2,FALSE)," "))))</f>
        <v/>
      </c>
      <c r="D184" s="114" t="str">
        <f>IF(ISNA(VLOOKUP($F184,Declarations!$B$6:$F$185,5,FALSE)),"",IF(VLOOKUP($F184,Declarations!$B$6:$F$185,5,FALSE)="","NOT DECLARED",VLOOKUP($F184,Declarations!$B$6:$F$185,5,FALSE)))</f>
        <v/>
      </c>
      <c r="E184" s="112" t="str">
        <f>IF(ISNA(VLOOKUP($F184,Declarations!$B$6:$D$185,3,FALSE)),"",IF(VLOOKUP($F184,Declarations!$B$6:$D$185,3,FALSE)="","NOT DECLARED",VLOOKUP($F184,Declarations!$B$6:$D$185,3,FALSE)&amp;LEFT(VLOOKUP($F184,Declarations!$B$6:$E$185,4,FALSE))))</f>
        <v/>
      </c>
      <c r="F184" s="58"/>
      <c r="G184" s="122"/>
      <c r="H184" s="122"/>
      <c r="I184" s="114" t="str">
        <f>IF(ISNA(VLOOKUP(F184,Declarations!B$6:C$185,2,FALSE)),"",IF(VLOOKUP(F184,Declarations!B$6:C$185,2,FALSE)="","NOT DECLARED",VLOOKUP(F184,Declarations!B$6:C$185,2,FALSE)))</f>
        <v/>
      </c>
      <c r="J184" s="112">
        <f>IF(LOWER(G184)="dnf",1,IF(G184&lt;ScoringTable!B$3,ScoringTable!I$2,VLOOKUP((1000-G184),ScoringTable!G$2:I$95,3)))</f>
        <v>0</v>
      </c>
      <c r="K184" s="112" t="str">
        <f>IF(OR(E184="",G184=""),"",IF(RIGHT(E184,1)="G",_xlfn.XLOOKUP(G184,Data!$D$10:$L$10,Data!$D$9:$L$9,"",1,1),_xlfn.XLOOKUP(G184,Data!$D$3:$L$3,Data!$D$2:$L$2,"",1,1)))</f>
        <v/>
      </c>
      <c r="L184" s="160" t="str" cm="1">
        <f t="array" ref="L184">IFERROR(_xlfn.IFNA(
                      _xlfn.IFS(
                      G184="", "",
                      AND(E184="U12B",G184&lt;=Data!$M$3), "U12 Boys record",
                      AND(E184="U12G",G184&lt;=Data!$M$10), "U12 Girls record"
                       ),""), "")</f>
        <v/>
      </c>
      <c r="M184" s="18" cm="1">
        <f t="array" ref="M184">_xlfn.IFS($G184="",0, AND(NOT(ISNUMBER($G184)),LOWER($G184)&lt;&gt;"dnf"),"Not a valid time",OR(LOWER($G184)="dnf",$G184&gt;ScoringTable!$M$161),1,RIGHT($E184,1)="B",_xlfn.XLOOKUP($G184,ScoringTable!$M$2:$M$161,ScoringTable!$L$2:$L$161,,1),TRUE,_xlfn.XLOOKUP($G184,ScoringTable!$S$2:$S$161,ScoringTable!$R$2:$R$161,,1))</f>
        <v>0</v>
      </c>
    </row>
    <row r="185" spans="1:13" s="7" customFormat="1" ht="16.05" customHeight="1">
      <c r="A185" s="243" t="s">
        <v>85</v>
      </c>
      <c r="B185" s="114" t="str">
        <f>IF(ISNA(VLOOKUP($F185,Declarations!B$6:C$185,2,FALSE)),"",IF(VLOOKUP($F185,Declarations!B$6:C$185,2,FALSE)="","NOT DECLARED",IF(ISNA(_xlfn.TEXTBEFORE(VLOOKUP($F185,Declarations!B$6:C$185,2,FALSE)," ")),VLOOKUP($F185,Declarations!B$6:C$185,2,FALSE),_xlfn.TEXTBEFORE(VLOOKUP($F185,Declarations!B$6:C$185,2,FALSE)," "))))</f>
        <v/>
      </c>
      <c r="C185" s="114" t="str">
        <f>IF(ISNA(VLOOKUP($F185,Declarations!B$6:C$185,2,FALSE)),"",IF(VLOOKUP($F185,Declarations!B$6:C$185,2,FALSE)="","NOT DECLARED",IF(ISNA(_xlfn.TEXTAFTER(VLOOKUP($F185,Declarations!B$6:C$185,2,FALSE)," ")),VLOOKUP($F185,Declarations!B$6:C$185,2,FALSE),_xlfn.TEXTAFTER(VLOOKUP($F185,Declarations!B$6:C$185,2,FALSE)," "))))</f>
        <v/>
      </c>
      <c r="D185" s="114" t="str">
        <f>IF(ISNA(VLOOKUP($F185,Declarations!$B$6:$F$185,5,FALSE)),"",IF(VLOOKUP($F185,Declarations!$B$6:$F$185,5,FALSE)="","NOT DECLARED",VLOOKUP($F185,Declarations!$B$6:$F$185,5,FALSE)))</f>
        <v/>
      </c>
      <c r="E185" s="112" t="str">
        <f>IF(ISNA(VLOOKUP($F185,Declarations!$B$6:$D$185,3,FALSE)),"",IF(VLOOKUP($F185,Declarations!$B$6:$D$185,3,FALSE)="","NOT DECLARED",VLOOKUP($F185,Declarations!$B$6:$D$185,3,FALSE)&amp;LEFT(VLOOKUP($F185,Declarations!$B$6:$E$185,4,FALSE))))</f>
        <v/>
      </c>
      <c r="F185" s="58"/>
      <c r="G185" s="122"/>
      <c r="H185" s="122"/>
      <c r="I185" s="114" t="str">
        <f>IF(ISNA(VLOOKUP(F185,Declarations!B$6:C$185,2,FALSE)),"",IF(VLOOKUP(F185,Declarations!B$6:C$185,2,FALSE)="","NOT DECLARED",VLOOKUP(F185,Declarations!B$6:C$185,2,FALSE)))</f>
        <v/>
      </c>
      <c r="J185" s="112">
        <f>IF(LOWER(G185)="dnf",1,IF(G185&lt;ScoringTable!B$3,ScoringTable!I$2,VLOOKUP((1000-G185),ScoringTable!G$2:I$95,3)))</f>
        <v>0</v>
      </c>
      <c r="K185" s="112" t="str">
        <f>IF(OR(E185="",G185=""),"",IF(RIGHT(E185,1)="G",_xlfn.XLOOKUP(G185,Data!$D$10:$L$10,Data!$D$9:$L$9,"",1,1),_xlfn.XLOOKUP(G185,Data!$D$3:$L$3,Data!$D$2:$L$2,"",1,1)))</f>
        <v/>
      </c>
      <c r="L185" s="160" t="str" cm="1">
        <f t="array" ref="L185">IFERROR(_xlfn.IFNA(
                      _xlfn.IFS(
                      G185="", "",
                      AND(E185="U12B",G185&lt;=Data!$M$3), "U12 Boys record",
                      AND(E185="U12G",G185&lt;=Data!$M$10), "U12 Girls record"
                       ),""), "")</f>
        <v/>
      </c>
      <c r="M185" s="18" cm="1">
        <f t="array" ref="M185">_xlfn.IFS($G185="",0, AND(NOT(ISNUMBER($G185)),LOWER($G185)&lt;&gt;"dnf"),"Not a valid time",OR(LOWER($G185)="dnf",$G185&gt;ScoringTable!$M$161),1,RIGHT($E185,1)="B",_xlfn.XLOOKUP($G185,ScoringTable!$M$2:$M$161,ScoringTable!$L$2:$L$161,,1),TRUE,_xlfn.XLOOKUP($G185,ScoringTable!$S$2:$S$161,ScoringTable!$R$2:$R$161,,1))</f>
        <v>0</v>
      </c>
    </row>
    <row r="186" spans="1:13" s="7" customFormat="1" ht="16.05" customHeight="1">
      <c r="A186" s="243" t="s">
        <v>85</v>
      </c>
      <c r="B186" s="114" t="str">
        <f>IF(ISNA(VLOOKUP($F186,Declarations!B$6:C$185,2,FALSE)),"",IF(VLOOKUP($F186,Declarations!B$6:C$185,2,FALSE)="","NOT DECLARED",IF(ISNA(_xlfn.TEXTBEFORE(VLOOKUP($F186,Declarations!B$6:C$185,2,FALSE)," ")),VLOOKUP($F186,Declarations!B$6:C$185,2,FALSE),_xlfn.TEXTBEFORE(VLOOKUP($F186,Declarations!B$6:C$185,2,FALSE)," "))))</f>
        <v/>
      </c>
      <c r="C186" s="114" t="str">
        <f>IF(ISNA(VLOOKUP($F186,Declarations!B$6:C$185,2,FALSE)),"",IF(VLOOKUP($F186,Declarations!B$6:C$185,2,FALSE)="","NOT DECLARED",IF(ISNA(_xlfn.TEXTAFTER(VLOOKUP($F186,Declarations!B$6:C$185,2,FALSE)," ")),VLOOKUP($F186,Declarations!B$6:C$185,2,FALSE),_xlfn.TEXTAFTER(VLOOKUP($F186,Declarations!B$6:C$185,2,FALSE)," "))))</f>
        <v/>
      </c>
      <c r="D186" s="114" t="str">
        <f>IF(ISNA(VLOOKUP($F186,Declarations!$B$6:$F$185,5,FALSE)),"",IF(VLOOKUP($F186,Declarations!$B$6:$F$185,5,FALSE)="","NOT DECLARED",VLOOKUP($F186,Declarations!$B$6:$F$185,5,FALSE)))</f>
        <v/>
      </c>
      <c r="E186" s="112" t="str">
        <f>IF(ISNA(VLOOKUP($F186,Declarations!$B$6:$D$185,3,FALSE)),"",IF(VLOOKUP($F186,Declarations!$B$6:$D$185,3,FALSE)="","NOT DECLARED",VLOOKUP($F186,Declarations!$B$6:$D$185,3,FALSE)&amp;LEFT(VLOOKUP($F186,Declarations!$B$6:$E$185,4,FALSE))))</f>
        <v/>
      </c>
      <c r="F186" s="58"/>
      <c r="G186" s="122"/>
      <c r="H186" s="122"/>
      <c r="I186" s="114" t="str">
        <f>IF(ISNA(VLOOKUP(F186,Declarations!B$6:C$185,2,FALSE)),"",IF(VLOOKUP(F186,Declarations!B$6:C$185,2,FALSE)="","NOT DECLARED",VLOOKUP(F186,Declarations!B$6:C$185,2,FALSE)))</f>
        <v/>
      </c>
      <c r="J186" s="112">
        <f>IF(LOWER(G186)="dnf",1,IF(G186&lt;ScoringTable!B$3,ScoringTable!I$2,VLOOKUP((1000-G186),ScoringTable!G$2:I$95,3)))</f>
        <v>0</v>
      </c>
      <c r="K186" s="112" t="str">
        <f>IF(OR(E186="",G186=""),"",IF(RIGHT(E186,1)="G",_xlfn.XLOOKUP(G186,Data!$D$10:$L$10,Data!$D$9:$L$9,"",1,1),_xlfn.XLOOKUP(G186,Data!$D$3:$L$3,Data!$D$2:$L$2,"",1,1)))</f>
        <v/>
      </c>
      <c r="L186" s="160" t="str" cm="1">
        <f t="array" ref="L186">IFERROR(_xlfn.IFNA(
                      _xlfn.IFS(
                      G186="", "",
                      AND(E186="U12B",G186&lt;=Data!$M$3), "U12 Boys record",
                      AND(E186="U12G",G186&lt;=Data!$M$10), "U12 Girls record"
                       ),""), "")</f>
        <v/>
      </c>
      <c r="M186" s="18" cm="1">
        <f t="array" ref="M186">_xlfn.IFS($G186="",0, AND(NOT(ISNUMBER($G186)),LOWER($G186)&lt;&gt;"dnf"),"Not a valid time",OR(LOWER($G186)="dnf",$G186&gt;ScoringTable!$M$161),1,RIGHT($E186,1)="B",_xlfn.XLOOKUP($G186,ScoringTable!$M$2:$M$161,ScoringTable!$L$2:$L$161,,1),TRUE,_xlfn.XLOOKUP($G186,ScoringTable!$S$2:$S$161,ScoringTable!$R$2:$R$161,,1))</f>
        <v>0</v>
      </c>
    </row>
    <row r="187" spans="1:13" s="7" customFormat="1" ht="16.05" customHeight="1">
      <c r="A187" s="243" t="s">
        <v>85</v>
      </c>
      <c r="B187" s="114" t="str">
        <f>IF(ISNA(VLOOKUP($F187,Declarations!B$6:C$185,2,FALSE)),"",IF(VLOOKUP($F187,Declarations!B$6:C$185,2,FALSE)="","NOT DECLARED",IF(ISNA(_xlfn.TEXTBEFORE(VLOOKUP($F187,Declarations!B$6:C$185,2,FALSE)," ")),VLOOKUP($F187,Declarations!B$6:C$185,2,FALSE),_xlfn.TEXTBEFORE(VLOOKUP($F187,Declarations!B$6:C$185,2,FALSE)," "))))</f>
        <v/>
      </c>
      <c r="C187" s="114" t="str">
        <f>IF(ISNA(VLOOKUP($F187,Declarations!B$6:C$185,2,FALSE)),"",IF(VLOOKUP($F187,Declarations!B$6:C$185,2,FALSE)="","NOT DECLARED",IF(ISNA(_xlfn.TEXTAFTER(VLOOKUP($F187,Declarations!B$6:C$185,2,FALSE)," ")),VLOOKUP($F187,Declarations!B$6:C$185,2,FALSE),_xlfn.TEXTAFTER(VLOOKUP($F187,Declarations!B$6:C$185,2,FALSE)," "))))</f>
        <v/>
      </c>
      <c r="D187" s="114" t="str">
        <f>IF(ISNA(VLOOKUP($F187,Declarations!$B$6:$F$185,5,FALSE)),"",IF(VLOOKUP($F187,Declarations!$B$6:$F$185,5,FALSE)="","NOT DECLARED",VLOOKUP($F187,Declarations!$B$6:$F$185,5,FALSE)))</f>
        <v/>
      </c>
      <c r="E187" s="112" t="str">
        <f>IF(ISNA(VLOOKUP($F187,Declarations!$B$6:$D$185,3,FALSE)),"",IF(VLOOKUP($F187,Declarations!$B$6:$D$185,3,FALSE)="","NOT DECLARED",VLOOKUP($F187,Declarations!$B$6:$D$185,3,FALSE)&amp;LEFT(VLOOKUP($F187,Declarations!$B$6:$E$185,4,FALSE))))</f>
        <v/>
      </c>
      <c r="F187" s="58"/>
      <c r="G187" s="122"/>
      <c r="H187" s="122"/>
      <c r="I187" s="114" t="str">
        <f>IF(ISNA(VLOOKUP(F187,Declarations!B$6:C$185,2,FALSE)),"",IF(VLOOKUP(F187,Declarations!B$6:C$185,2,FALSE)="","NOT DECLARED",VLOOKUP(F187,Declarations!B$6:C$185,2,FALSE)))</f>
        <v/>
      </c>
      <c r="J187" s="112">
        <f>IF(LOWER(G187)="dnf",1,IF(G187&lt;ScoringTable!B$3,ScoringTable!I$2,VLOOKUP((1000-G187),ScoringTable!G$2:I$95,3)))</f>
        <v>0</v>
      </c>
      <c r="K187" s="112" t="str">
        <f>IF(OR(E187="",G187=""),"",IF(RIGHT(E187,1)="G",_xlfn.XLOOKUP(G187,Data!$D$10:$L$10,Data!$D$9:$L$9,"",1,1),_xlfn.XLOOKUP(G187,Data!$D$3:$L$3,Data!$D$2:$L$2,"",1,1)))</f>
        <v/>
      </c>
      <c r="L187" s="160" t="str" cm="1">
        <f t="array" ref="L187">IFERROR(_xlfn.IFNA(
                      _xlfn.IFS(
                      G187="", "",
                      AND(E187="U12B",G187&lt;=Data!$M$3), "U12 Boys record",
                      AND(E187="U12G",G187&lt;=Data!$M$10), "U12 Girls record"
                       ),""), "")</f>
        <v/>
      </c>
      <c r="M187" s="18" cm="1">
        <f t="array" ref="M187">_xlfn.IFS($G187="",0, AND(NOT(ISNUMBER($G187)),LOWER($G187)&lt;&gt;"dnf"),"Not a valid time",OR(LOWER($G187)="dnf",$G187&gt;ScoringTable!$M$161),1,RIGHT($E187,1)="B",_xlfn.XLOOKUP($G187,ScoringTable!$M$2:$M$161,ScoringTable!$L$2:$L$161,,1),TRUE,_xlfn.XLOOKUP($G187,ScoringTable!$S$2:$S$161,ScoringTable!$R$2:$R$161,,1))</f>
        <v>0</v>
      </c>
    </row>
    <row r="188" spans="1:13" s="7" customFormat="1" ht="16.05" customHeight="1">
      <c r="A188" s="243" t="s">
        <v>85</v>
      </c>
      <c r="B188" s="114" t="str">
        <f>IF(ISNA(VLOOKUP($F188,Declarations!B$6:C$185,2,FALSE)),"",IF(VLOOKUP($F188,Declarations!B$6:C$185,2,FALSE)="","NOT DECLARED",IF(ISNA(_xlfn.TEXTBEFORE(VLOOKUP($F188,Declarations!B$6:C$185,2,FALSE)," ")),VLOOKUP($F188,Declarations!B$6:C$185,2,FALSE),_xlfn.TEXTBEFORE(VLOOKUP($F188,Declarations!B$6:C$185,2,FALSE)," "))))</f>
        <v/>
      </c>
      <c r="C188" s="114" t="str">
        <f>IF(ISNA(VLOOKUP($F188,Declarations!B$6:C$185,2,FALSE)),"",IF(VLOOKUP($F188,Declarations!B$6:C$185,2,FALSE)="","NOT DECLARED",IF(ISNA(_xlfn.TEXTAFTER(VLOOKUP($F188,Declarations!B$6:C$185,2,FALSE)," ")),VLOOKUP($F188,Declarations!B$6:C$185,2,FALSE),_xlfn.TEXTAFTER(VLOOKUP($F188,Declarations!B$6:C$185,2,FALSE)," "))))</f>
        <v/>
      </c>
      <c r="D188" s="114" t="str">
        <f>IF(ISNA(VLOOKUP($F188,Declarations!$B$6:$F$185,5,FALSE)),"",IF(VLOOKUP($F188,Declarations!$B$6:$F$185,5,FALSE)="","NOT DECLARED",VLOOKUP($F188,Declarations!$B$6:$F$185,5,FALSE)))</f>
        <v/>
      </c>
      <c r="E188" s="112" t="str">
        <f>IF(ISNA(VLOOKUP($F188,Declarations!$B$6:$D$185,3,FALSE)),"",IF(VLOOKUP($F188,Declarations!$B$6:$D$185,3,FALSE)="","NOT DECLARED",VLOOKUP($F188,Declarations!$B$6:$D$185,3,FALSE)&amp;LEFT(VLOOKUP($F188,Declarations!$B$6:$E$185,4,FALSE))))</f>
        <v/>
      </c>
      <c r="F188" s="58"/>
      <c r="G188" s="122"/>
      <c r="H188" s="122"/>
      <c r="I188" s="114" t="str">
        <f>IF(ISNA(VLOOKUP(F188,Declarations!B$6:C$185,2,FALSE)),"",IF(VLOOKUP(F188,Declarations!B$6:C$185,2,FALSE)="","NOT DECLARED",VLOOKUP(F188,Declarations!B$6:C$185,2,FALSE)))</f>
        <v/>
      </c>
      <c r="J188" s="112">
        <f>IF(LOWER(G188)="dnf",1,IF(G188&lt;ScoringTable!B$3,ScoringTable!I$2,VLOOKUP((1000-G188),ScoringTable!G$2:I$95,3)))</f>
        <v>0</v>
      </c>
      <c r="K188" s="112" t="str">
        <f>IF(OR(E188="",G188=""),"",IF(RIGHT(E188,1)="G",_xlfn.XLOOKUP(G188,Data!$D$10:$L$10,Data!$D$9:$L$9,"",1,1),_xlfn.XLOOKUP(G188,Data!$D$3:$L$3,Data!$D$2:$L$2,"",1,1)))</f>
        <v/>
      </c>
      <c r="L188" s="160" t="str" cm="1">
        <f t="array" ref="L188">IFERROR(_xlfn.IFNA(
                      _xlfn.IFS(
                      G188="", "",
                      AND(E188="U12B",G188&lt;=Data!$M$3), "U12 Boys record",
                      AND(E188="U12G",G188&lt;=Data!$M$10), "U12 Girls record"
                       ),""), "")</f>
        <v/>
      </c>
      <c r="M188" s="18" cm="1">
        <f t="array" ref="M188">_xlfn.IFS($G188="",0, AND(NOT(ISNUMBER($G188)),LOWER($G188)&lt;&gt;"dnf"),"Not a valid time",OR(LOWER($G188)="dnf",$G188&gt;ScoringTable!$M$161),1,RIGHT($E188,1)="B",_xlfn.XLOOKUP($G188,ScoringTable!$M$2:$M$161,ScoringTable!$L$2:$L$161,,1),TRUE,_xlfn.XLOOKUP($G188,ScoringTable!$S$2:$S$161,ScoringTable!$R$2:$R$161,,1))</f>
        <v>0</v>
      </c>
    </row>
    <row r="189" spans="1:13" s="7" customFormat="1" ht="16.05" customHeight="1">
      <c r="A189" s="243" t="s">
        <v>85</v>
      </c>
      <c r="B189" s="114" t="str">
        <f>IF(ISNA(VLOOKUP($F189,Declarations!B$6:C$185,2,FALSE)),"",IF(VLOOKUP($F189,Declarations!B$6:C$185,2,FALSE)="","NOT DECLARED",IF(ISNA(_xlfn.TEXTBEFORE(VLOOKUP($F189,Declarations!B$6:C$185,2,FALSE)," ")),VLOOKUP($F189,Declarations!B$6:C$185,2,FALSE),_xlfn.TEXTBEFORE(VLOOKUP($F189,Declarations!B$6:C$185,2,FALSE)," "))))</f>
        <v/>
      </c>
      <c r="C189" s="114" t="str">
        <f>IF(ISNA(VLOOKUP($F189,Declarations!B$6:C$185,2,FALSE)),"",IF(VLOOKUP($F189,Declarations!B$6:C$185,2,FALSE)="","NOT DECLARED",IF(ISNA(_xlfn.TEXTAFTER(VLOOKUP($F189,Declarations!B$6:C$185,2,FALSE)," ")),VLOOKUP($F189,Declarations!B$6:C$185,2,FALSE),_xlfn.TEXTAFTER(VLOOKUP($F189,Declarations!B$6:C$185,2,FALSE)," "))))</f>
        <v/>
      </c>
      <c r="D189" s="114" t="str">
        <f>IF(ISNA(VLOOKUP($F189,Declarations!$B$6:$F$185,5,FALSE)),"",IF(VLOOKUP($F189,Declarations!$B$6:$F$185,5,FALSE)="","NOT DECLARED",VLOOKUP($F189,Declarations!$B$6:$F$185,5,FALSE)))</f>
        <v/>
      </c>
      <c r="E189" s="112" t="str">
        <f>IF(ISNA(VLOOKUP($F189,Declarations!$B$6:$D$185,3,FALSE)),"",IF(VLOOKUP($F189,Declarations!$B$6:$D$185,3,FALSE)="","NOT DECLARED",VLOOKUP($F189,Declarations!$B$6:$D$185,3,FALSE)&amp;LEFT(VLOOKUP($F189,Declarations!$B$6:$E$185,4,FALSE))))</f>
        <v/>
      </c>
      <c r="F189" s="58"/>
      <c r="G189" s="122"/>
      <c r="H189" s="122"/>
      <c r="I189" s="114" t="str">
        <f>IF(ISNA(VLOOKUP(F189,Declarations!B$6:C$185,2,FALSE)),"",IF(VLOOKUP(F189,Declarations!B$6:C$185,2,FALSE)="","NOT DECLARED",VLOOKUP(F189,Declarations!B$6:C$185,2,FALSE)))</f>
        <v/>
      </c>
      <c r="J189" s="112">
        <f>IF(LOWER(G189)="dnf",1,IF(G189&lt;ScoringTable!B$3,ScoringTable!I$2,VLOOKUP((1000-G189),ScoringTable!G$2:I$95,3)))</f>
        <v>0</v>
      </c>
      <c r="K189" s="112" t="str">
        <f>IF(OR(E189="",G189=""),"",IF(RIGHT(E189,1)="G",_xlfn.XLOOKUP(G189,Data!$D$10:$L$10,Data!$D$9:$L$9,"",1,1),_xlfn.XLOOKUP(G189,Data!$D$3:$L$3,Data!$D$2:$L$2,"",1,1)))</f>
        <v/>
      </c>
      <c r="L189" s="160" t="str" cm="1">
        <f t="array" ref="L189">IFERROR(_xlfn.IFNA(
                      _xlfn.IFS(
                      G189="", "",
                      AND(E189="U12B",G189&lt;=Data!$M$3), "U12 Boys record",
                      AND(E189="U12G",G189&lt;=Data!$M$10), "U12 Girls record"
                       ),""), "")</f>
        <v/>
      </c>
      <c r="M189" s="18" cm="1">
        <f t="array" ref="M189">_xlfn.IFS($G189="",0, AND(NOT(ISNUMBER($G189)),LOWER($G189)&lt;&gt;"dnf"),"Not a valid time",OR(LOWER($G189)="dnf",$G189&gt;ScoringTable!$M$161),1,RIGHT($E189,1)="B",_xlfn.XLOOKUP($G189,ScoringTable!$M$2:$M$161,ScoringTable!$L$2:$L$161,,1),TRUE,_xlfn.XLOOKUP($G189,ScoringTable!$S$2:$S$161,ScoringTable!$R$2:$R$161,,1))</f>
        <v>0</v>
      </c>
    </row>
    <row r="190" spans="1:13" s="7" customFormat="1" ht="16.05" customHeight="1">
      <c r="A190" s="243" t="s">
        <v>85</v>
      </c>
      <c r="B190" s="114" t="str">
        <f>IF(ISNA(VLOOKUP($F190,Declarations!B$6:C$185,2,FALSE)),"",IF(VLOOKUP($F190,Declarations!B$6:C$185,2,FALSE)="","NOT DECLARED",IF(ISNA(_xlfn.TEXTBEFORE(VLOOKUP($F190,Declarations!B$6:C$185,2,FALSE)," ")),VLOOKUP($F190,Declarations!B$6:C$185,2,FALSE),_xlfn.TEXTBEFORE(VLOOKUP($F190,Declarations!B$6:C$185,2,FALSE)," "))))</f>
        <v/>
      </c>
      <c r="C190" s="114" t="str">
        <f>IF(ISNA(VLOOKUP($F190,Declarations!B$6:C$185,2,FALSE)),"",IF(VLOOKUP($F190,Declarations!B$6:C$185,2,FALSE)="","NOT DECLARED",IF(ISNA(_xlfn.TEXTAFTER(VLOOKUP($F190,Declarations!B$6:C$185,2,FALSE)," ")),VLOOKUP($F190,Declarations!B$6:C$185,2,FALSE),_xlfn.TEXTAFTER(VLOOKUP($F190,Declarations!B$6:C$185,2,FALSE)," "))))</f>
        <v/>
      </c>
      <c r="D190" s="114" t="str">
        <f>IF(ISNA(VLOOKUP($F190,Declarations!$B$6:$F$185,5,FALSE)),"",IF(VLOOKUP($F190,Declarations!$B$6:$F$185,5,FALSE)="","NOT DECLARED",VLOOKUP($F190,Declarations!$B$6:$F$185,5,FALSE)))</f>
        <v/>
      </c>
      <c r="E190" s="112" t="str">
        <f>IF(ISNA(VLOOKUP($F190,Declarations!$B$6:$D$185,3,FALSE)),"",IF(VLOOKUP($F190,Declarations!$B$6:$D$185,3,FALSE)="","NOT DECLARED",VLOOKUP($F190,Declarations!$B$6:$D$185,3,FALSE)&amp;LEFT(VLOOKUP($F190,Declarations!$B$6:$E$185,4,FALSE))))</f>
        <v/>
      </c>
      <c r="F190" s="58"/>
      <c r="G190" s="122"/>
      <c r="H190" s="122"/>
      <c r="I190" s="114" t="str">
        <f>IF(ISNA(VLOOKUP(F190,Declarations!B$6:C$185,2,FALSE)),"",IF(VLOOKUP(F190,Declarations!B$6:C$185,2,FALSE)="","NOT DECLARED",VLOOKUP(F190,Declarations!B$6:C$185,2,FALSE)))</f>
        <v/>
      </c>
      <c r="J190" s="112">
        <f>IF(LOWER(G190)="dnf",1,IF(G190&lt;ScoringTable!B$3,ScoringTable!I$2,VLOOKUP((1000-G190),ScoringTable!G$2:I$95,3)))</f>
        <v>0</v>
      </c>
      <c r="K190" s="112" t="str">
        <f>IF(OR(E190="",G190=""),"",IF(RIGHT(E190,1)="G",_xlfn.XLOOKUP(G190,Data!$D$10:$L$10,Data!$D$9:$L$9,"",1,1),_xlfn.XLOOKUP(G190,Data!$D$3:$L$3,Data!$D$2:$L$2,"",1,1)))</f>
        <v/>
      </c>
      <c r="L190" s="160" t="str" cm="1">
        <f t="array" ref="L190">IFERROR(_xlfn.IFNA(
                      _xlfn.IFS(
                      G190="", "",
                      AND(E190="U12B",G190&lt;=Data!$M$3), "U12 Boys record",
                      AND(E190="U12G",G190&lt;=Data!$M$10), "U12 Girls record"
                       ),""), "")</f>
        <v/>
      </c>
      <c r="M190" s="18" cm="1">
        <f t="array" ref="M190">_xlfn.IFS($G190="",0, AND(NOT(ISNUMBER($G190)),LOWER($G190)&lt;&gt;"dnf"),"Not a valid time",OR(LOWER($G190)="dnf",$G190&gt;ScoringTable!$M$161),1,RIGHT($E190,1)="B",_xlfn.XLOOKUP($G190,ScoringTable!$M$2:$M$161,ScoringTable!$L$2:$L$161,,1),TRUE,_xlfn.XLOOKUP($G190,ScoringTable!$S$2:$S$161,ScoringTable!$R$2:$R$161,,1))</f>
        <v>0</v>
      </c>
    </row>
    <row r="191" spans="1:13" s="7" customFormat="1" ht="16.05" customHeight="1">
      <c r="A191" s="243" t="s">
        <v>85</v>
      </c>
      <c r="B191" s="114" t="str">
        <f>IF(ISNA(VLOOKUP($F191,Declarations!B$6:C$185,2,FALSE)),"",IF(VLOOKUP($F191,Declarations!B$6:C$185,2,FALSE)="","NOT DECLARED",IF(ISNA(_xlfn.TEXTBEFORE(VLOOKUP($F191,Declarations!B$6:C$185,2,FALSE)," ")),VLOOKUP($F191,Declarations!B$6:C$185,2,FALSE),_xlfn.TEXTBEFORE(VLOOKUP($F191,Declarations!B$6:C$185,2,FALSE)," "))))</f>
        <v/>
      </c>
      <c r="C191" s="114" t="str">
        <f>IF(ISNA(VLOOKUP($F191,Declarations!B$6:C$185,2,FALSE)),"",IF(VLOOKUP($F191,Declarations!B$6:C$185,2,FALSE)="","NOT DECLARED",IF(ISNA(_xlfn.TEXTAFTER(VLOOKUP($F191,Declarations!B$6:C$185,2,FALSE)," ")),VLOOKUP($F191,Declarations!B$6:C$185,2,FALSE),_xlfn.TEXTAFTER(VLOOKUP($F191,Declarations!B$6:C$185,2,FALSE)," "))))</f>
        <v/>
      </c>
      <c r="D191" s="114" t="str">
        <f>IF(ISNA(VLOOKUP($F191,Declarations!$B$6:$F$185,5,FALSE)),"",IF(VLOOKUP($F191,Declarations!$B$6:$F$185,5,FALSE)="","NOT DECLARED",VLOOKUP($F191,Declarations!$B$6:$F$185,5,FALSE)))</f>
        <v/>
      </c>
      <c r="E191" s="112" t="str">
        <f>IF(ISNA(VLOOKUP($F191,Declarations!$B$6:$D$185,3,FALSE)),"",IF(VLOOKUP($F191,Declarations!$B$6:$D$185,3,FALSE)="","NOT DECLARED",VLOOKUP($F191,Declarations!$B$6:$D$185,3,FALSE)&amp;LEFT(VLOOKUP($F191,Declarations!$B$6:$E$185,4,FALSE))))</f>
        <v/>
      </c>
      <c r="F191" s="58"/>
      <c r="G191" s="122"/>
      <c r="H191" s="122"/>
      <c r="I191" s="114" t="str">
        <f>IF(ISNA(VLOOKUP(F191,Declarations!B$6:C$185,2,FALSE)),"",IF(VLOOKUP(F191,Declarations!B$6:C$185,2,FALSE)="","NOT DECLARED",VLOOKUP(F191,Declarations!B$6:C$185,2,FALSE)))</f>
        <v/>
      </c>
      <c r="J191" s="112">
        <f>IF(LOWER(G191)="dnf",1,IF(G191&lt;ScoringTable!B$3,ScoringTable!I$2,VLOOKUP((1000-G191),ScoringTable!G$2:I$95,3)))</f>
        <v>0</v>
      </c>
      <c r="K191" s="112" t="str">
        <f>IF(OR(E191="",G191=""),"",IF(RIGHT(E191,1)="G",_xlfn.XLOOKUP(G191,Data!$D$10:$L$10,Data!$D$9:$L$9,"",1,1),_xlfn.XLOOKUP(G191,Data!$D$3:$L$3,Data!$D$2:$L$2,"",1,1)))</f>
        <v/>
      </c>
      <c r="L191" s="160" t="str" cm="1">
        <f t="array" ref="L191">IFERROR(_xlfn.IFNA(
                      _xlfn.IFS(
                      G191="", "",
                      AND(E191="U12B",G191&lt;=Data!$M$3), "U12 Boys record",
                      AND(E191="U12G",G191&lt;=Data!$M$10), "U12 Girls record"
                       ),""), "")</f>
        <v/>
      </c>
      <c r="M191" s="18" cm="1">
        <f t="array" ref="M191">_xlfn.IFS($G191="",0, AND(NOT(ISNUMBER($G191)),LOWER($G191)&lt;&gt;"dnf"),"Not a valid time",OR(LOWER($G191)="dnf",$G191&gt;ScoringTable!$M$161),1,RIGHT($E191,1)="B",_xlfn.XLOOKUP($G191,ScoringTable!$M$2:$M$161,ScoringTable!$L$2:$L$161,,1),TRUE,_xlfn.XLOOKUP($G191,ScoringTable!$S$2:$S$161,ScoringTable!$R$2:$R$161,,1))</f>
        <v>0</v>
      </c>
    </row>
    <row r="192" spans="1:13" s="7" customFormat="1" ht="16.05" customHeight="1">
      <c r="A192" s="243" t="s">
        <v>85</v>
      </c>
      <c r="B192" s="114" t="str">
        <f>IF(ISNA(VLOOKUP($F192,Declarations!B$6:C$185,2,FALSE)),"",IF(VLOOKUP($F192,Declarations!B$6:C$185,2,FALSE)="","NOT DECLARED",IF(ISNA(_xlfn.TEXTBEFORE(VLOOKUP($F192,Declarations!B$6:C$185,2,FALSE)," ")),VLOOKUP($F192,Declarations!B$6:C$185,2,FALSE),_xlfn.TEXTBEFORE(VLOOKUP($F192,Declarations!B$6:C$185,2,FALSE)," "))))</f>
        <v/>
      </c>
      <c r="C192" s="114" t="str">
        <f>IF(ISNA(VLOOKUP($F192,Declarations!B$6:C$185,2,FALSE)),"",IF(VLOOKUP($F192,Declarations!B$6:C$185,2,FALSE)="","NOT DECLARED",IF(ISNA(_xlfn.TEXTAFTER(VLOOKUP($F192,Declarations!B$6:C$185,2,FALSE)," ")),VLOOKUP($F192,Declarations!B$6:C$185,2,FALSE),_xlfn.TEXTAFTER(VLOOKUP($F192,Declarations!B$6:C$185,2,FALSE)," "))))</f>
        <v/>
      </c>
      <c r="D192" s="114" t="str">
        <f>IF(ISNA(VLOOKUP($F192,Declarations!$B$6:$F$185,5,FALSE)),"",IF(VLOOKUP($F192,Declarations!$B$6:$F$185,5,FALSE)="","NOT DECLARED",VLOOKUP($F192,Declarations!$B$6:$F$185,5,FALSE)))</f>
        <v/>
      </c>
      <c r="E192" s="112" t="str">
        <f>IF(ISNA(VLOOKUP($F192,Declarations!$B$6:$D$185,3,FALSE)),"",IF(VLOOKUP($F192,Declarations!$B$6:$D$185,3,FALSE)="","NOT DECLARED",VLOOKUP($F192,Declarations!$B$6:$D$185,3,FALSE)&amp;LEFT(VLOOKUP($F192,Declarations!$B$6:$E$185,4,FALSE))))</f>
        <v/>
      </c>
      <c r="F192" s="58"/>
      <c r="G192" s="122"/>
      <c r="H192" s="122"/>
      <c r="I192" s="114" t="str">
        <f>IF(ISNA(VLOOKUP(F192,Declarations!B$6:C$185,2,FALSE)),"",IF(VLOOKUP(F192,Declarations!B$6:C$185,2,FALSE)="","NOT DECLARED",VLOOKUP(F192,Declarations!B$6:C$185,2,FALSE)))</f>
        <v/>
      </c>
      <c r="J192" s="112">
        <f>IF(LOWER(G192)="dnf",1,IF(G192&lt;ScoringTable!B$3,ScoringTable!I$2,VLOOKUP((1000-G192),ScoringTable!G$2:I$95,3)))</f>
        <v>0</v>
      </c>
      <c r="K192" s="112" t="str">
        <f>IF(OR(E192="",G192=""),"",IF(RIGHT(E192,1)="G",_xlfn.XLOOKUP(G192,Data!$D$10:$L$10,Data!$D$9:$L$9,"",1,1),_xlfn.XLOOKUP(G192,Data!$D$3:$L$3,Data!$D$2:$L$2,"",1,1)))</f>
        <v/>
      </c>
      <c r="L192" s="160" t="str" cm="1">
        <f t="array" ref="L192">IFERROR(_xlfn.IFNA(
                      _xlfn.IFS(
                      G192="", "",
                      AND(E192="U12B",G192&lt;=Data!$M$3), "U12 Boys record",
                      AND(E192="U12G",G192&lt;=Data!$M$10), "U12 Girls record"
                       ),""), "")</f>
        <v/>
      </c>
      <c r="M192" s="18" cm="1">
        <f t="array" ref="M192">_xlfn.IFS($G192="",0, AND(NOT(ISNUMBER($G192)),LOWER($G192)&lt;&gt;"dnf"),"Not a valid time",OR(LOWER($G192)="dnf",$G192&gt;ScoringTable!$M$161),1,RIGHT($E192,1)="B",_xlfn.XLOOKUP($G192,ScoringTable!$M$2:$M$161,ScoringTable!$L$2:$L$161,,1),TRUE,_xlfn.XLOOKUP($G192,ScoringTable!$S$2:$S$161,ScoringTable!$R$2:$R$161,,1))</f>
        <v>0</v>
      </c>
    </row>
    <row r="193" spans="1:13" s="7" customFormat="1" ht="16.05" customHeight="1">
      <c r="A193" s="243" t="s">
        <v>85</v>
      </c>
      <c r="B193" s="114" t="str">
        <f>IF(ISNA(VLOOKUP($F193,Declarations!B$6:C$185,2,FALSE)),"",IF(VLOOKUP($F193,Declarations!B$6:C$185,2,FALSE)="","NOT DECLARED",IF(ISNA(_xlfn.TEXTBEFORE(VLOOKUP($F193,Declarations!B$6:C$185,2,FALSE)," ")),VLOOKUP($F193,Declarations!B$6:C$185,2,FALSE),_xlfn.TEXTBEFORE(VLOOKUP($F193,Declarations!B$6:C$185,2,FALSE)," "))))</f>
        <v/>
      </c>
      <c r="C193" s="114" t="str">
        <f>IF(ISNA(VLOOKUP($F193,Declarations!B$6:C$185,2,FALSE)),"",IF(VLOOKUP($F193,Declarations!B$6:C$185,2,FALSE)="","NOT DECLARED",IF(ISNA(_xlfn.TEXTAFTER(VLOOKUP($F193,Declarations!B$6:C$185,2,FALSE)," ")),VLOOKUP($F193,Declarations!B$6:C$185,2,FALSE),_xlfn.TEXTAFTER(VLOOKUP($F193,Declarations!B$6:C$185,2,FALSE)," "))))</f>
        <v/>
      </c>
      <c r="D193" s="114" t="str">
        <f>IF(ISNA(VLOOKUP($F193,Declarations!$B$6:$F$185,5,FALSE)),"",IF(VLOOKUP($F193,Declarations!$B$6:$F$185,5,FALSE)="","NOT DECLARED",VLOOKUP($F193,Declarations!$B$6:$F$185,5,FALSE)))</f>
        <v/>
      </c>
      <c r="E193" s="112" t="str">
        <f>IF(ISNA(VLOOKUP($F193,Declarations!$B$6:$D$185,3,FALSE)),"",IF(VLOOKUP($F193,Declarations!$B$6:$D$185,3,FALSE)="","NOT DECLARED",VLOOKUP($F193,Declarations!$B$6:$D$185,3,FALSE)&amp;LEFT(VLOOKUP($F193,Declarations!$B$6:$E$185,4,FALSE))))</f>
        <v/>
      </c>
      <c r="F193" s="58"/>
      <c r="G193" s="122"/>
      <c r="H193" s="122"/>
      <c r="I193" s="114" t="str">
        <f>IF(ISNA(VLOOKUP(F193,Declarations!B$6:C$185,2,FALSE)),"",IF(VLOOKUP(F193,Declarations!B$6:C$185,2,FALSE)="","NOT DECLARED",VLOOKUP(F193,Declarations!B$6:C$185,2,FALSE)))</f>
        <v/>
      </c>
      <c r="J193" s="112">
        <f>IF(LOWER(G193)="dnf",1,IF(G193&lt;ScoringTable!B$3,ScoringTable!I$2,VLOOKUP((1000-G193),ScoringTable!G$2:I$95,3)))</f>
        <v>0</v>
      </c>
      <c r="K193" s="112" t="str">
        <f>IF(OR(E193="",G193=""),"",IF(RIGHT(E193,1)="G",_xlfn.XLOOKUP(G193,Data!$D$10:$L$10,Data!$D$9:$L$9,"",1,1),_xlfn.XLOOKUP(G193,Data!$D$3:$L$3,Data!$D$2:$L$2,"",1,1)))</f>
        <v/>
      </c>
      <c r="L193" s="160" t="str" cm="1">
        <f t="array" ref="L193">IFERROR(_xlfn.IFNA(
                      _xlfn.IFS(
                      G193="", "",
                      AND(E193="U12B",G193&lt;=Data!$M$3), "U12 Boys record",
                      AND(E193="U12G",G193&lt;=Data!$M$10), "U12 Girls record"
                       ),""), "")</f>
        <v/>
      </c>
      <c r="M193" s="18" cm="1">
        <f t="array" ref="M193">_xlfn.IFS($G193="",0, AND(NOT(ISNUMBER($G193)),LOWER($G193)&lt;&gt;"dnf"),"Not a valid time",OR(LOWER($G193)="dnf",$G193&gt;ScoringTable!$M$161),1,RIGHT($E193,1)="B",_xlfn.XLOOKUP($G193,ScoringTable!$M$2:$M$161,ScoringTable!$L$2:$L$161,,1),TRUE,_xlfn.XLOOKUP($G193,ScoringTable!$S$2:$S$161,ScoringTable!$R$2:$R$161,,1))</f>
        <v>0</v>
      </c>
    </row>
    <row r="194" spans="1:13" s="7" customFormat="1" ht="16.05" customHeight="1">
      <c r="A194" s="243" t="s">
        <v>85</v>
      </c>
      <c r="B194" s="114" t="str">
        <f>IF(ISNA(VLOOKUP($F194,Declarations!B$6:C$185,2,FALSE)),"",IF(VLOOKUP($F194,Declarations!B$6:C$185,2,FALSE)="","NOT DECLARED",IF(ISNA(_xlfn.TEXTBEFORE(VLOOKUP($F194,Declarations!B$6:C$185,2,FALSE)," ")),VLOOKUP($F194,Declarations!B$6:C$185,2,FALSE),_xlfn.TEXTBEFORE(VLOOKUP($F194,Declarations!B$6:C$185,2,FALSE)," "))))</f>
        <v/>
      </c>
      <c r="C194" s="114" t="str">
        <f>IF(ISNA(VLOOKUP($F194,Declarations!B$6:C$185,2,FALSE)),"",IF(VLOOKUP($F194,Declarations!B$6:C$185,2,FALSE)="","NOT DECLARED",IF(ISNA(_xlfn.TEXTAFTER(VLOOKUP($F194,Declarations!B$6:C$185,2,FALSE)," ")),VLOOKUP($F194,Declarations!B$6:C$185,2,FALSE),_xlfn.TEXTAFTER(VLOOKUP($F194,Declarations!B$6:C$185,2,FALSE)," "))))</f>
        <v/>
      </c>
      <c r="D194" s="114" t="str">
        <f>IF(ISNA(VLOOKUP($F194,Declarations!$B$6:$F$185,5,FALSE)),"",IF(VLOOKUP($F194,Declarations!$B$6:$F$185,5,FALSE)="","NOT DECLARED",VLOOKUP($F194,Declarations!$B$6:$F$185,5,FALSE)))</f>
        <v/>
      </c>
      <c r="E194" s="112" t="str">
        <f>IF(ISNA(VLOOKUP($F194,Declarations!$B$6:$D$185,3,FALSE)),"",IF(VLOOKUP($F194,Declarations!$B$6:$D$185,3,FALSE)="","NOT DECLARED",VLOOKUP($F194,Declarations!$B$6:$D$185,3,FALSE)&amp;LEFT(VLOOKUP($F194,Declarations!$B$6:$E$185,4,FALSE))))</f>
        <v/>
      </c>
      <c r="F194" s="58"/>
      <c r="G194" s="122"/>
      <c r="H194" s="122"/>
      <c r="I194" s="114" t="str">
        <f>IF(ISNA(VLOOKUP(F194,Declarations!B$6:C$185,2,FALSE)),"",IF(VLOOKUP(F194,Declarations!B$6:C$185,2,FALSE)="","NOT DECLARED",VLOOKUP(F194,Declarations!B$6:C$185,2,FALSE)))</f>
        <v/>
      </c>
      <c r="J194" s="112">
        <f>IF(LOWER(G194)="dnf",1,IF(G194&lt;ScoringTable!B$3,ScoringTable!I$2,VLOOKUP((1000-G194),ScoringTable!G$2:I$95,3)))</f>
        <v>0</v>
      </c>
      <c r="K194" s="112" t="str">
        <f>IF(OR(E194="",G194=""),"",IF(RIGHT(E194,1)="G",_xlfn.XLOOKUP(G194,Data!$D$10:$L$10,Data!$D$9:$L$9,"",1,1),_xlfn.XLOOKUP(G194,Data!$D$3:$L$3,Data!$D$2:$L$2,"",1,1)))</f>
        <v/>
      </c>
      <c r="L194" s="160" t="str" cm="1">
        <f t="array" ref="L194">IFERROR(_xlfn.IFNA(
                      _xlfn.IFS(
                      G194="", "",
                      AND(E194="U12B",G194&lt;=Data!$M$3), "U12 Boys record",
                      AND(E194="U12G",G194&lt;=Data!$M$10), "U12 Girls record"
                       ),""), "")</f>
        <v/>
      </c>
      <c r="M194" s="18" cm="1">
        <f t="array" ref="M194">_xlfn.IFS($G194="",0, AND(NOT(ISNUMBER($G194)),LOWER($G194)&lt;&gt;"dnf"),"Not a valid time",OR(LOWER($G194)="dnf",$G194&gt;ScoringTable!$M$161),1,RIGHT($E194,1)="B",_xlfn.XLOOKUP($G194,ScoringTable!$M$2:$M$161,ScoringTable!$L$2:$L$161,,1),TRUE,_xlfn.XLOOKUP($G194,ScoringTable!$S$2:$S$161,ScoringTable!$R$2:$R$161,,1))</f>
        <v>0</v>
      </c>
    </row>
    <row r="195" spans="1:13" s="7" customFormat="1" ht="16.05" customHeight="1">
      <c r="A195" s="243" t="s">
        <v>85</v>
      </c>
      <c r="B195" s="114" t="str">
        <f>IF(ISNA(VLOOKUP($F195,Declarations!B$6:C$185,2,FALSE)),"",IF(VLOOKUP($F195,Declarations!B$6:C$185,2,FALSE)="","NOT DECLARED",IF(ISNA(_xlfn.TEXTBEFORE(VLOOKUP($F195,Declarations!B$6:C$185,2,FALSE)," ")),VLOOKUP($F195,Declarations!B$6:C$185,2,FALSE),_xlfn.TEXTBEFORE(VLOOKUP($F195,Declarations!B$6:C$185,2,FALSE)," "))))</f>
        <v/>
      </c>
      <c r="C195" s="114" t="str">
        <f>IF(ISNA(VLOOKUP($F195,Declarations!B$6:C$185,2,FALSE)),"",IF(VLOOKUP($F195,Declarations!B$6:C$185,2,FALSE)="","NOT DECLARED",IF(ISNA(_xlfn.TEXTAFTER(VLOOKUP($F195,Declarations!B$6:C$185,2,FALSE)," ")),VLOOKUP($F195,Declarations!B$6:C$185,2,FALSE),_xlfn.TEXTAFTER(VLOOKUP($F195,Declarations!B$6:C$185,2,FALSE)," "))))</f>
        <v/>
      </c>
      <c r="D195" s="114" t="str">
        <f>IF(ISNA(VLOOKUP($F195,Declarations!$B$6:$F$185,5,FALSE)),"",IF(VLOOKUP($F195,Declarations!$B$6:$F$185,5,FALSE)="","NOT DECLARED",VLOOKUP($F195,Declarations!$B$6:$F$185,5,FALSE)))</f>
        <v/>
      </c>
      <c r="E195" s="112" t="str">
        <f>IF(ISNA(VLOOKUP($F195,Declarations!$B$6:$D$185,3,FALSE)),"",IF(VLOOKUP($F195,Declarations!$B$6:$D$185,3,FALSE)="","NOT DECLARED",VLOOKUP($F195,Declarations!$B$6:$D$185,3,FALSE)&amp;LEFT(VLOOKUP($F195,Declarations!$B$6:$E$185,4,FALSE))))</f>
        <v/>
      </c>
      <c r="F195" s="58"/>
      <c r="G195" s="122"/>
      <c r="H195" s="122"/>
      <c r="I195" s="114" t="str">
        <f>IF(ISNA(VLOOKUP(F195,Declarations!B$6:C$185,2,FALSE)),"",IF(VLOOKUP(F195,Declarations!B$6:C$185,2,FALSE)="","NOT DECLARED",VLOOKUP(F195,Declarations!B$6:C$185,2,FALSE)))</f>
        <v/>
      </c>
      <c r="J195" s="112">
        <f>IF(LOWER(G195)="dnf",1,IF(G195&lt;ScoringTable!B$3,ScoringTable!I$2,VLOOKUP((1000-G195),ScoringTable!G$2:I$95,3)))</f>
        <v>0</v>
      </c>
      <c r="K195" s="112" t="str">
        <f>IF(OR(E195="",G195=""),"",IF(RIGHT(E195,1)="G",_xlfn.XLOOKUP(G195,Data!$D$10:$L$10,Data!$D$9:$L$9,"",1,1),_xlfn.XLOOKUP(G195,Data!$D$3:$L$3,Data!$D$2:$L$2,"",1,1)))</f>
        <v/>
      </c>
      <c r="L195" s="160" t="str" cm="1">
        <f t="array" ref="L195">IFERROR(_xlfn.IFNA(
                      _xlfn.IFS(
                      G195="", "",
                      AND(E195="U12B",G195&lt;=Data!$M$3), "U12 Boys record",
                      AND(E195="U12G",G195&lt;=Data!$M$10), "U12 Girls record"
                       ),""), "")</f>
        <v/>
      </c>
      <c r="M195" s="18" cm="1">
        <f t="array" ref="M195">_xlfn.IFS($G195="",0, AND(NOT(ISNUMBER($G195)),LOWER($G195)&lt;&gt;"dnf"),"Not a valid time",OR(LOWER($G195)="dnf",$G195&gt;ScoringTable!$M$161),1,RIGHT($E195,1)="B",_xlfn.XLOOKUP($G195,ScoringTable!$M$2:$M$161,ScoringTable!$L$2:$L$161,,1),TRUE,_xlfn.XLOOKUP($G195,ScoringTable!$S$2:$S$161,ScoringTable!$R$2:$R$161,,1))</f>
        <v>0</v>
      </c>
    </row>
    <row r="196" spans="1:13" s="7" customFormat="1" ht="16.05" customHeight="1">
      <c r="A196" s="243" t="s">
        <v>85</v>
      </c>
      <c r="B196" s="114" t="str">
        <f>IF(ISNA(VLOOKUP($F196,Declarations!B$6:C$185,2,FALSE)),"",IF(VLOOKUP($F196,Declarations!B$6:C$185,2,FALSE)="","NOT DECLARED",IF(ISNA(_xlfn.TEXTBEFORE(VLOOKUP($F196,Declarations!B$6:C$185,2,FALSE)," ")),VLOOKUP($F196,Declarations!B$6:C$185,2,FALSE),_xlfn.TEXTBEFORE(VLOOKUP($F196,Declarations!B$6:C$185,2,FALSE)," "))))</f>
        <v/>
      </c>
      <c r="C196" s="114" t="str">
        <f>IF(ISNA(VLOOKUP($F196,Declarations!B$6:C$185,2,FALSE)),"",IF(VLOOKUP($F196,Declarations!B$6:C$185,2,FALSE)="","NOT DECLARED",IF(ISNA(_xlfn.TEXTAFTER(VLOOKUP($F196,Declarations!B$6:C$185,2,FALSE)," ")),VLOOKUP($F196,Declarations!B$6:C$185,2,FALSE),_xlfn.TEXTAFTER(VLOOKUP($F196,Declarations!B$6:C$185,2,FALSE)," "))))</f>
        <v/>
      </c>
      <c r="D196" s="114" t="str">
        <f>IF(ISNA(VLOOKUP($F196,Declarations!$B$6:$F$185,5,FALSE)),"",IF(VLOOKUP($F196,Declarations!$B$6:$F$185,5,FALSE)="","NOT DECLARED",VLOOKUP($F196,Declarations!$B$6:$F$185,5,FALSE)))</f>
        <v/>
      </c>
      <c r="E196" s="112" t="str">
        <f>IF(ISNA(VLOOKUP($F196,Declarations!$B$6:$D$185,3,FALSE)),"",IF(VLOOKUP($F196,Declarations!$B$6:$D$185,3,FALSE)="","NOT DECLARED",VLOOKUP($F196,Declarations!$B$6:$D$185,3,FALSE)&amp;LEFT(VLOOKUP($F196,Declarations!$B$6:$E$185,4,FALSE))))</f>
        <v/>
      </c>
      <c r="F196" s="58"/>
      <c r="G196" s="122"/>
      <c r="H196" s="122"/>
      <c r="I196" s="114" t="str">
        <f>IF(ISNA(VLOOKUP(F196,Declarations!B$6:C$185,2,FALSE)),"",IF(VLOOKUP(F196,Declarations!B$6:C$185,2,FALSE)="","NOT DECLARED",VLOOKUP(F196,Declarations!B$6:C$185,2,FALSE)))</f>
        <v/>
      </c>
      <c r="J196" s="112">
        <f>IF(LOWER(G196)="dnf",1,IF(G196&lt;ScoringTable!B$3,ScoringTable!I$2,VLOOKUP((1000-G196),ScoringTable!G$2:I$95,3)))</f>
        <v>0</v>
      </c>
      <c r="K196" s="112" t="str">
        <f>IF(OR(E196="",G196=""),"",IF(RIGHT(E196,1)="G",_xlfn.XLOOKUP(G196,Data!$D$10:$L$10,Data!$D$9:$L$9,"",1,1),_xlfn.XLOOKUP(G196,Data!$D$3:$L$3,Data!$D$2:$L$2,"",1,1)))</f>
        <v/>
      </c>
      <c r="L196" s="160" t="str" cm="1">
        <f t="array" ref="L196">IFERROR(_xlfn.IFNA(
                      _xlfn.IFS(
                      G196="", "",
                      AND(E196="U12B",G196&lt;=Data!$M$3), "U12 Boys record",
                      AND(E196="U12G",G196&lt;=Data!$M$10), "U12 Girls record"
                       ),""), "")</f>
        <v/>
      </c>
      <c r="M196" s="18" cm="1">
        <f t="array" ref="M196">_xlfn.IFS($G196="",0, AND(NOT(ISNUMBER($G196)),LOWER($G196)&lt;&gt;"dnf"),"Not a valid time",OR(LOWER($G196)="dnf",$G196&gt;ScoringTable!$M$161),1,RIGHT($E196,1)="B",_xlfn.XLOOKUP($G196,ScoringTable!$M$2:$M$161,ScoringTable!$L$2:$L$161,,1),TRUE,_xlfn.XLOOKUP($G196,ScoringTable!$S$2:$S$161,ScoringTable!$R$2:$R$161,,1))</f>
        <v>0</v>
      </c>
    </row>
    <row r="197" spans="1:13" s="7" customFormat="1" ht="16.05" customHeight="1">
      <c r="A197" s="243" t="s">
        <v>85</v>
      </c>
      <c r="B197" s="114" t="str">
        <f>IF(ISNA(VLOOKUP($F197,Declarations!B$6:C$185,2,FALSE)),"",IF(VLOOKUP($F197,Declarations!B$6:C$185,2,FALSE)="","NOT DECLARED",IF(ISNA(_xlfn.TEXTBEFORE(VLOOKUP($F197,Declarations!B$6:C$185,2,FALSE)," ")),VLOOKUP($F197,Declarations!B$6:C$185,2,FALSE),_xlfn.TEXTBEFORE(VLOOKUP($F197,Declarations!B$6:C$185,2,FALSE)," "))))</f>
        <v/>
      </c>
      <c r="C197" s="114" t="str">
        <f>IF(ISNA(VLOOKUP($F197,Declarations!B$6:C$185,2,FALSE)),"",IF(VLOOKUP($F197,Declarations!B$6:C$185,2,FALSE)="","NOT DECLARED",IF(ISNA(_xlfn.TEXTAFTER(VLOOKUP($F197,Declarations!B$6:C$185,2,FALSE)," ")),VLOOKUP($F197,Declarations!B$6:C$185,2,FALSE),_xlfn.TEXTAFTER(VLOOKUP($F197,Declarations!B$6:C$185,2,FALSE)," "))))</f>
        <v/>
      </c>
      <c r="D197" s="114" t="str">
        <f>IF(ISNA(VLOOKUP($F197,Declarations!$B$6:$F$185,5,FALSE)),"",IF(VLOOKUP($F197,Declarations!$B$6:$F$185,5,FALSE)="","NOT DECLARED",VLOOKUP($F197,Declarations!$B$6:$F$185,5,FALSE)))</f>
        <v/>
      </c>
      <c r="E197" s="112" t="str">
        <f>IF(ISNA(VLOOKUP($F197,Declarations!$B$6:$D$185,3,FALSE)),"",IF(VLOOKUP($F197,Declarations!$B$6:$D$185,3,FALSE)="","NOT DECLARED",VLOOKUP($F197,Declarations!$B$6:$D$185,3,FALSE)&amp;LEFT(VLOOKUP($F197,Declarations!$B$6:$E$185,4,FALSE))))</f>
        <v/>
      </c>
      <c r="F197" s="58"/>
      <c r="G197" s="122"/>
      <c r="H197" s="122"/>
      <c r="I197" s="114" t="str">
        <f>IF(ISNA(VLOOKUP(F197,Declarations!B$6:C$185,2,FALSE)),"",IF(VLOOKUP(F197,Declarations!B$6:C$185,2,FALSE)="","NOT DECLARED",VLOOKUP(F197,Declarations!B$6:C$185,2,FALSE)))</f>
        <v/>
      </c>
      <c r="J197" s="112">
        <f>IF(LOWER(G197)="dnf",1,IF(G197&lt;ScoringTable!B$3,ScoringTable!I$2,VLOOKUP((1000-G197),ScoringTable!G$2:I$95,3)))</f>
        <v>0</v>
      </c>
      <c r="K197" s="112" t="str">
        <f>IF(OR(E197="",G197=""),"",IF(RIGHT(E197,1)="G",_xlfn.XLOOKUP(G197,Data!$D$10:$L$10,Data!$D$9:$L$9,"",1,1),_xlfn.XLOOKUP(G197,Data!$D$3:$L$3,Data!$D$2:$L$2,"",1,1)))</f>
        <v/>
      </c>
      <c r="L197" s="160" t="str" cm="1">
        <f t="array" ref="L197">IFERROR(_xlfn.IFNA(
                      _xlfn.IFS(
                      G197="", "",
                      AND(E197="U12B",G197&lt;=Data!$M$3), "U12 Boys record",
                      AND(E197="U12G",G197&lt;=Data!$M$10), "U12 Girls record"
                       ),""), "")</f>
        <v/>
      </c>
      <c r="M197" s="18" cm="1">
        <f t="array" ref="M197">_xlfn.IFS($G197="",0, AND(NOT(ISNUMBER($G197)),LOWER($G197)&lt;&gt;"dnf"),"Not a valid time",OR(LOWER($G197)="dnf",$G197&gt;ScoringTable!$M$161),1,RIGHT($E197,1)="B",_xlfn.XLOOKUP($G197,ScoringTable!$M$2:$M$161,ScoringTable!$L$2:$L$161,,1),TRUE,_xlfn.XLOOKUP($G197,ScoringTable!$S$2:$S$161,ScoringTable!$R$2:$R$161,,1))</f>
        <v>0</v>
      </c>
    </row>
    <row r="198" spans="1:13" s="7" customFormat="1" ht="16.05" customHeight="1">
      <c r="A198" s="243" t="s">
        <v>85</v>
      </c>
      <c r="B198" s="114" t="str">
        <f>IF(ISNA(VLOOKUP($F198,Declarations!B$6:C$185,2,FALSE)),"",IF(VLOOKUP($F198,Declarations!B$6:C$185,2,FALSE)="","NOT DECLARED",IF(ISNA(_xlfn.TEXTBEFORE(VLOOKUP($F198,Declarations!B$6:C$185,2,FALSE)," ")),VLOOKUP($F198,Declarations!B$6:C$185,2,FALSE),_xlfn.TEXTBEFORE(VLOOKUP($F198,Declarations!B$6:C$185,2,FALSE)," "))))</f>
        <v/>
      </c>
      <c r="C198" s="114" t="str">
        <f>IF(ISNA(VLOOKUP($F198,Declarations!B$6:C$185,2,FALSE)),"",IF(VLOOKUP($F198,Declarations!B$6:C$185,2,FALSE)="","NOT DECLARED",IF(ISNA(_xlfn.TEXTAFTER(VLOOKUP($F198,Declarations!B$6:C$185,2,FALSE)," ")),VLOOKUP($F198,Declarations!B$6:C$185,2,FALSE),_xlfn.TEXTAFTER(VLOOKUP($F198,Declarations!B$6:C$185,2,FALSE)," "))))</f>
        <v/>
      </c>
      <c r="D198" s="114" t="str">
        <f>IF(ISNA(VLOOKUP($F198,Declarations!$B$6:$F$185,5,FALSE)),"",IF(VLOOKUP($F198,Declarations!$B$6:$F$185,5,FALSE)="","NOT DECLARED",VLOOKUP($F198,Declarations!$B$6:$F$185,5,FALSE)))</f>
        <v/>
      </c>
      <c r="E198" s="112" t="str">
        <f>IF(ISNA(VLOOKUP($F198,Declarations!$B$6:$D$185,3,FALSE)),"",IF(VLOOKUP($F198,Declarations!$B$6:$D$185,3,FALSE)="","NOT DECLARED",VLOOKUP($F198,Declarations!$B$6:$D$185,3,FALSE)&amp;LEFT(VLOOKUP($F198,Declarations!$B$6:$E$185,4,FALSE))))</f>
        <v/>
      </c>
      <c r="F198" s="58"/>
      <c r="G198" s="122"/>
      <c r="H198" s="122"/>
      <c r="I198" s="114" t="str">
        <f>IF(ISNA(VLOOKUP(F198,Declarations!B$6:C$185,2,FALSE)),"",IF(VLOOKUP(F198,Declarations!B$6:C$185,2,FALSE)="","NOT DECLARED",VLOOKUP(F198,Declarations!B$6:C$185,2,FALSE)))</f>
        <v/>
      </c>
      <c r="J198" s="112">
        <f>IF(LOWER(G198)="dnf",1,IF(G198&lt;ScoringTable!B$3,ScoringTable!I$2,VLOOKUP((1000-G198),ScoringTable!G$2:I$95,3)))</f>
        <v>0</v>
      </c>
      <c r="K198" s="112" t="str">
        <f>IF(OR(E198="",G198=""),"",IF(RIGHT(E198,1)="G",_xlfn.XLOOKUP(G198,Data!$D$10:$L$10,Data!$D$9:$L$9,"",1,1),_xlfn.XLOOKUP(G198,Data!$D$3:$L$3,Data!$D$2:$L$2,"",1,1)))</f>
        <v/>
      </c>
      <c r="L198" s="160" t="str" cm="1">
        <f t="array" ref="L198">IFERROR(_xlfn.IFNA(
                      _xlfn.IFS(
                      G198="", "",
                      AND(E198="U12B",G198&lt;=Data!$M$3), "U12 Boys record",
                      AND(E198="U12G",G198&lt;=Data!$M$10), "U12 Girls record"
                       ),""), "")</f>
        <v/>
      </c>
      <c r="M198" s="18" cm="1">
        <f t="array" ref="M198">_xlfn.IFS($G198="",0, AND(NOT(ISNUMBER($G198)),LOWER($G198)&lt;&gt;"dnf"),"Not a valid time",OR(LOWER($G198)="dnf",$G198&gt;ScoringTable!$M$161),1,RIGHT($E198,1)="B",_xlfn.XLOOKUP($G198,ScoringTable!$M$2:$M$161,ScoringTable!$L$2:$L$161,,1),TRUE,_xlfn.XLOOKUP($G198,ScoringTable!$S$2:$S$161,ScoringTable!$R$2:$R$161,,1))</f>
        <v>0</v>
      </c>
    </row>
    <row r="199" spans="1:13" s="7" customFormat="1" ht="16.05" customHeight="1">
      <c r="A199" s="243" t="s">
        <v>85</v>
      </c>
      <c r="B199" s="114" t="str">
        <f>IF(ISNA(VLOOKUP($F199,Declarations!B$6:C$185,2,FALSE)),"",IF(VLOOKUP($F199,Declarations!B$6:C$185,2,FALSE)="","NOT DECLARED",IF(ISNA(_xlfn.TEXTBEFORE(VLOOKUP($F199,Declarations!B$6:C$185,2,FALSE)," ")),VLOOKUP($F199,Declarations!B$6:C$185,2,FALSE),_xlfn.TEXTBEFORE(VLOOKUP($F199,Declarations!B$6:C$185,2,FALSE)," "))))</f>
        <v/>
      </c>
      <c r="C199" s="114" t="str">
        <f>IF(ISNA(VLOOKUP($F199,Declarations!B$6:C$185,2,FALSE)),"",IF(VLOOKUP($F199,Declarations!B$6:C$185,2,FALSE)="","NOT DECLARED",IF(ISNA(_xlfn.TEXTAFTER(VLOOKUP($F199,Declarations!B$6:C$185,2,FALSE)," ")),VLOOKUP($F199,Declarations!B$6:C$185,2,FALSE),_xlfn.TEXTAFTER(VLOOKUP($F199,Declarations!B$6:C$185,2,FALSE)," "))))</f>
        <v/>
      </c>
      <c r="D199" s="114" t="str">
        <f>IF(ISNA(VLOOKUP($F199,Declarations!$B$6:$F$185,5,FALSE)),"",IF(VLOOKUP($F199,Declarations!$B$6:$F$185,5,FALSE)="","NOT DECLARED",VLOOKUP($F199,Declarations!$B$6:$F$185,5,FALSE)))</f>
        <v/>
      </c>
      <c r="E199" s="112" t="str">
        <f>IF(ISNA(VLOOKUP($F199,Declarations!$B$6:$D$185,3,FALSE)),"",IF(VLOOKUP($F199,Declarations!$B$6:$D$185,3,FALSE)="","NOT DECLARED",VLOOKUP($F199,Declarations!$B$6:$D$185,3,FALSE)&amp;LEFT(VLOOKUP($F199,Declarations!$B$6:$E$185,4,FALSE))))</f>
        <v/>
      </c>
      <c r="F199" s="58"/>
      <c r="G199" s="122"/>
      <c r="H199" s="122"/>
      <c r="I199" s="114" t="str">
        <f>IF(ISNA(VLOOKUP(F199,Declarations!B$6:C$185,2,FALSE)),"",IF(VLOOKUP(F199,Declarations!B$6:C$185,2,FALSE)="","NOT DECLARED",VLOOKUP(F199,Declarations!B$6:C$185,2,FALSE)))</f>
        <v/>
      </c>
      <c r="J199" s="112">
        <f>IF(LOWER(G199)="dnf",1,IF(G199&lt;ScoringTable!B$3,ScoringTable!I$2,VLOOKUP((1000-G199),ScoringTable!G$2:I$95,3)))</f>
        <v>0</v>
      </c>
      <c r="K199" s="112" t="str">
        <f>IF(OR(E199="",G199=""),"",IF(RIGHT(E199,1)="G",_xlfn.XLOOKUP(G199,Data!$D$10:$L$10,Data!$D$9:$L$9,"",1,1),_xlfn.XLOOKUP(G199,Data!$D$3:$L$3,Data!$D$2:$L$2,"",1,1)))</f>
        <v/>
      </c>
      <c r="L199" s="160" t="str" cm="1">
        <f t="array" ref="L199">IFERROR(_xlfn.IFNA(
                      _xlfn.IFS(
                      G199="", "",
                      AND(E199="U12B",G199&lt;=Data!$M$3), "U12 Boys record",
                      AND(E199="U12G",G199&lt;=Data!$M$10), "U12 Girls record"
                       ),""), "")</f>
        <v/>
      </c>
      <c r="M199" s="18" cm="1">
        <f t="array" ref="M199">_xlfn.IFS($G199="",0, AND(NOT(ISNUMBER($G199)),LOWER($G199)&lt;&gt;"dnf"),"Not a valid time",OR(LOWER($G199)="dnf",$G199&gt;ScoringTable!$M$161),1,RIGHT($E199,1)="B",_xlfn.XLOOKUP($G199,ScoringTable!$M$2:$M$161,ScoringTable!$L$2:$L$161,,1),TRUE,_xlfn.XLOOKUP($G199,ScoringTable!$S$2:$S$161,ScoringTable!$R$2:$R$161,,1))</f>
        <v>0</v>
      </c>
    </row>
    <row r="200" spans="1:13" s="7" customFormat="1" ht="16.05" customHeight="1">
      <c r="A200" s="243" t="s">
        <v>85</v>
      </c>
      <c r="B200" s="114" t="str">
        <f>IF(ISNA(VLOOKUP($F200,Declarations!B$6:C$185,2,FALSE)),"",IF(VLOOKUP($F200,Declarations!B$6:C$185,2,FALSE)="","NOT DECLARED",IF(ISNA(_xlfn.TEXTBEFORE(VLOOKUP($F200,Declarations!B$6:C$185,2,FALSE)," ")),VLOOKUP($F200,Declarations!B$6:C$185,2,FALSE),_xlfn.TEXTBEFORE(VLOOKUP($F200,Declarations!B$6:C$185,2,FALSE)," "))))</f>
        <v/>
      </c>
      <c r="C200" s="114" t="str">
        <f>IF(ISNA(VLOOKUP($F200,Declarations!B$6:C$185,2,FALSE)),"",IF(VLOOKUP($F200,Declarations!B$6:C$185,2,FALSE)="","NOT DECLARED",IF(ISNA(_xlfn.TEXTAFTER(VLOOKUP($F200,Declarations!B$6:C$185,2,FALSE)," ")),VLOOKUP($F200,Declarations!B$6:C$185,2,FALSE),_xlfn.TEXTAFTER(VLOOKUP($F200,Declarations!B$6:C$185,2,FALSE)," "))))</f>
        <v/>
      </c>
      <c r="D200" s="114" t="str">
        <f>IF(ISNA(VLOOKUP($F200,Declarations!$B$6:$F$185,5,FALSE)),"",IF(VLOOKUP($F200,Declarations!$B$6:$F$185,5,FALSE)="","NOT DECLARED",VLOOKUP($F200,Declarations!$B$6:$F$185,5,FALSE)))</f>
        <v/>
      </c>
      <c r="E200" s="112" t="str">
        <f>IF(ISNA(VLOOKUP($F200,Declarations!$B$6:$D$185,3,FALSE)),"",IF(VLOOKUP($F200,Declarations!$B$6:$D$185,3,FALSE)="","NOT DECLARED",VLOOKUP($F200,Declarations!$B$6:$D$185,3,FALSE)&amp;LEFT(VLOOKUP($F200,Declarations!$B$6:$E$185,4,FALSE))))</f>
        <v/>
      </c>
      <c r="F200" s="58"/>
      <c r="G200" s="122"/>
      <c r="H200" s="122"/>
      <c r="I200" s="114" t="str">
        <f>IF(ISNA(VLOOKUP(F200,Declarations!B$6:C$185,2,FALSE)),"",IF(VLOOKUP(F200,Declarations!B$6:C$185,2,FALSE)="","NOT DECLARED",VLOOKUP(F200,Declarations!B$6:C$185,2,FALSE)))</f>
        <v/>
      </c>
      <c r="J200" s="112">
        <f>IF(LOWER(G200)="dnf",1,IF(G200&lt;ScoringTable!B$3,ScoringTable!I$2,VLOOKUP((1000-G200),ScoringTable!G$2:I$95,3)))</f>
        <v>0</v>
      </c>
      <c r="K200" s="112" t="str">
        <f>IF(OR(E200="",G200=""),"",IF(RIGHT(E200,1)="G",_xlfn.XLOOKUP(G200,Data!$D$10:$L$10,Data!$D$9:$L$9,"",1,1),_xlfn.XLOOKUP(G200,Data!$D$3:$L$3,Data!$D$2:$L$2,"",1,1)))</f>
        <v/>
      </c>
      <c r="L200" s="160" t="str" cm="1">
        <f t="array" ref="L200">IFERROR(_xlfn.IFNA(
                      _xlfn.IFS(
                      G200="", "",
                      AND(E200="U12B",G200&lt;=Data!$M$3), "U12 Boys record",
                      AND(E200="U12G",G200&lt;=Data!$M$10), "U12 Girls record"
                       ),""), "")</f>
        <v/>
      </c>
      <c r="M200" s="18" cm="1">
        <f t="array" ref="M200">_xlfn.IFS($G200="",0, AND(NOT(ISNUMBER($G200)),LOWER($G200)&lt;&gt;"dnf"),"Not a valid time",OR(LOWER($G200)="dnf",$G200&gt;ScoringTable!$M$161),1,RIGHT($E200,1)="B",_xlfn.XLOOKUP($G200,ScoringTable!$M$2:$M$161,ScoringTable!$L$2:$L$161,,1),TRUE,_xlfn.XLOOKUP($G200,ScoringTable!$S$2:$S$161,ScoringTable!$R$2:$R$161,,1))</f>
        <v>0</v>
      </c>
    </row>
    <row r="201" spans="1:13" s="7" customFormat="1" ht="16.05" customHeight="1">
      <c r="A201" s="243" t="s">
        <v>85</v>
      </c>
      <c r="B201" s="114" t="str">
        <f>IF(ISNA(VLOOKUP($F201,Declarations!B$6:C$185,2,FALSE)),"",IF(VLOOKUP($F201,Declarations!B$6:C$185,2,FALSE)="","NOT DECLARED",IF(ISNA(_xlfn.TEXTBEFORE(VLOOKUP($F201,Declarations!B$6:C$185,2,FALSE)," ")),VLOOKUP($F201,Declarations!B$6:C$185,2,FALSE),_xlfn.TEXTBEFORE(VLOOKUP($F201,Declarations!B$6:C$185,2,FALSE)," "))))</f>
        <v/>
      </c>
      <c r="C201" s="114" t="str">
        <f>IF(ISNA(VLOOKUP($F201,Declarations!B$6:C$185,2,FALSE)),"",IF(VLOOKUP($F201,Declarations!B$6:C$185,2,FALSE)="","NOT DECLARED",IF(ISNA(_xlfn.TEXTAFTER(VLOOKUP($F201,Declarations!B$6:C$185,2,FALSE)," ")),VLOOKUP($F201,Declarations!B$6:C$185,2,FALSE),_xlfn.TEXTAFTER(VLOOKUP($F201,Declarations!B$6:C$185,2,FALSE)," "))))</f>
        <v/>
      </c>
      <c r="D201" s="114" t="str">
        <f>IF(ISNA(VLOOKUP($F201,Declarations!$B$6:$F$185,5,FALSE)),"",IF(VLOOKUP($F201,Declarations!$B$6:$F$185,5,FALSE)="","NOT DECLARED",VLOOKUP($F201,Declarations!$B$6:$F$185,5,FALSE)))</f>
        <v/>
      </c>
      <c r="E201" s="112" t="str">
        <f>IF(ISNA(VLOOKUP($F201,Declarations!$B$6:$D$185,3,FALSE)),"",IF(VLOOKUP($F201,Declarations!$B$6:$D$185,3,FALSE)="","NOT DECLARED",VLOOKUP($F201,Declarations!$B$6:$D$185,3,FALSE)&amp;LEFT(VLOOKUP($F201,Declarations!$B$6:$E$185,4,FALSE))))</f>
        <v/>
      </c>
      <c r="F201" s="58"/>
      <c r="G201" s="122"/>
      <c r="H201" s="122"/>
      <c r="I201" s="114" t="str">
        <f>IF(ISNA(VLOOKUP(F201,Declarations!B$6:C$185,2,FALSE)),"",IF(VLOOKUP(F201,Declarations!B$6:C$185,2,FALSE)="","NOT DECLARED",VLOOKUP(F201,Declarations!B$6:C$185,2,FALSE)))</f>
        <v/>
      </c>
      <c r="J201" s="112">
        <f>IF(LOWER(G201)="dnf",1,IF(G201&lt;ScoringTable!B$3,ScoringTable!I$2,VLOOKUP((1000-G201),ScoringTable!G$2:I$95,3)))</f>
        <v>0</v>
      </c>
      <c r="K201" s="112" t="str">
        <f>IF(OR(E201="",G201=""),"",IF(RIGHT(E201,1)="G",_xlfn.XLOOKUP(G201,Data!$D$10:$L$10,Data!$D$9:$L$9,"",1,1),_xlfn.XLOOKUP(G201,Data!$D$3:$L$3,Data!$D$2:$L$2,"",1,1)))</f>
        <v/>
      </c>
      <c r="L201" s="160" t="str" cm="1">
        <f t="array" ref="L201">IFERROR(_xlfn.IFNA(
                      _xlfn.IFS(
                      G201="", "",
                      AND(E201="U12B",G201&lt;=Data!$M$3), "U12 Boys record",
                      AND(E201="U12G",G201&lt;=Data!$M$10), "U12 Girls record"
                       ),""), "")</f>
        <v/>
      </c>
      <c r="M201" s="18" cm="1">
        <f t="array" ref="M201">_xlfn.IFS($G201="",0, AND(NOT(ISNUMBER($G201)),LOWER($G201)&lt;&gt;"dnf"),"Not a valid time",OR(LOWER($G201)="dnf",$G201&gt;ScoringTable!$M$161),1,RIGHT($E201,1)="B",_xlfn.XLOOKUP($G201,ScoringTable!$M$2:$M$161,ScoringTable!$L$2:$L$161,,1),TRUE,_xlfn.XLOOKUP($G201,ScoringTable!$S$2:$S$161,ScoringTable!$R$2:$R$161,,1))</f>
        <v>0</v>
      </c>
    </row>
    <row r="202" spans="1:13" s="7" customFormat="1" ht="16.05" customHeight="1">
      <c r="A202" s="243" t="s">
        <v>85</v>
      </c>
      <c r="B202" s="114" t="str">
        <f>IF(ISNA(VLOOKUP($F202,Declarations!B$6:C$185,2,FALSE)),"",IF(VLOOKUP($F202,Declarations!B$6:C$185,2,FALSE)="","NOT DECLARED",IF(ISNA(_xlfn.TEXTBEFORE(VLOOKUP($F202,Declarations!B$6:C$185,2,FALSE)," ")),VLOOKUP($F202,Declarations!B$6:C$185,2,FALSE),_xlfn.TEXTBEFORE(VLOOKUP($F202,Declarations!B$6:C$185,2,FALSE)," "))))</f>
        <v/>
      </c>
      <c r="C202" s="114" t="str">
        <f>IF(ISNA(VLOOKUP($F202,Declarations!B$6:C$185,2,FALSE)),"",IF(VLOOKUP($F202,Declarations!B$6:C$185,2,FALSE)="","NOT DECLARED",IF(ISNA(_xlfn.TEXTAFTER(VLOOKUP($F202,Declarations!B$6:C$185,2,FALSE)," ")),VLOOKUP($F202,Declarations!B$6:C$185,2,FALSE),_xlfn.TEXTAFTER(VLOOKUP($F202,Declarations!B$6:C$185,2,FALSE)," "))))</f>
        <v/>
      </c>
      <c r="D202" s="114" t="str">
        <f>IF(ISNA(VLOOKUP($F202,Declarations!$B$6:$F$185,5,FALSE)),"",IF(VLOOKUP($F202,Declarations!$B$6:$F$185,5,FALSE)="","NOT DECLARED",VLOOKUP($F202,Declarations!$B$6:$F$185,5,FALSE)))</f>
        <v/>
      </c>
      <c r="E202" s="112" t="str">
        <f>IF(ISNA(VLOOKUP($F202,Declarations!$B$6:$D$185,3,FALSE)),"",IF(VLOOKUP($F202,Declarations!$B$6:$D$185,3,FALSE)="","NOT DECLARED",VLOOKUP($F202,Declarations!$B$6:$D$185,3,FALSE)&amp;LEFT(VLOOKUP($F202,Declarations!$B$6:$E$185,4,FALSE))))</f>
        <v/>
      </c>
      <c r="F202" s="58"/>
      <c r="G202" s="122"/>
      <c r="H202" s="122"/>
      <c r="I202" s="114" t="str">
        <f>IF(ISNA(VLOOKUP(F202,Declarations!B$6:C$185,2,FALSE)),"",IF(VLOOKUP(F202,Declarations!B$6:C$185,2,FALSE)="","NOT DECLARED",VLOOKUP(F202,Declarations!B$6:C$185,2,FALSE)))</f>
        <v/>
      </c>
      <c r="J202" s="112">
        <f>IF(LOWER(G202)="dnf",1,IF(G202&lt;ScoringTable!B$3,ScoringTable!I$2,VLOOKUP((1000-G202),ScoringTable!G$2:I$95,3)))</f>
        <v>0</v>
      </c>
      <c r="K202" s="112" t="str">
        <f>IF(OR(E202="",G202=""),"",IF(RIGHT(E202,1)="G",_xlfn.XLOOKUP(G202,Data!$D$10:$L$10,Data!$D$9:$L$9,"",1,1),_xlfn.XLOOKUP(G202,Data!$D$3:$L$3,Data!$D$2:$L$2,"",1,1)))</f>
        <v/>
      </c>
      <c r="L202" s="160" t="str" cm="1">
        <f t="array" ref="L202">IFERROR(_xlfn.IFNA(
                      _xlfn.IFS(
                      G202="", "",
                      AND(E202="U12B",G202&lt;=Data!$M$3), "U12 Boys record",
                      AND(E202="U12G",G202&lt;=Data!$M$10), "U12 Girls record"
                       ),""), "")</f>
        <v/>
      </c>
      <c r="M202" s="18" cm="1">
        <f t="array" ref="M202">_xlfn.IFS($G202="",0, AND(NOT(ISNUMBER($G202)),LOWER($G202)&lt;&gt;"dnf"),"Not a valid time",OR(LOWER($G202)="dnf",$G202&gt;ScoringTable!$M$161),1,RIGHT($E202,1)="B",_xlfn.XLOOKUP($G202,ScoringTable!$M$2:$M$161,ScoringTable!$L$2:$L$161,,1),TRUE,_xlfn.XLOOKUP($G202,ScoringTable!$S$2:$S$161,ScoringTable!$R$2:$R$161,,1))</f>
        <v>0</v>
      </c>
    </row>
    <row r="203" spans="1:13" s="7" customFormat="1" ht="16.05" customHeight="1">
      <c r="A203" s="243" t="s">
        <v>85</v>
      </c>
      <c r="B203" s="114" t="str">
        <f>IF(ISNA(VLOOKUP($F203,Declarations!B$6:C$185,2,FALSE)),"",IF(VLOOKUP($F203,Declarations!B$6:C$185,2,FALSE)="","NOT DECLARED",IF(ISNA(_xlfn.TEXTBEFORE(VLOOKUP($F203,Declarations!B$6:C$185,2,FALSE)," ")),VLOOKUP($F203,Declarations!B$6:C$185,2,FALSE),_xlfn.TEXTBEFORE(VLOOKUP($F203,Declarations!B$6:C$185,2,FALSE)," "))))</f>
        <v/>
      </c>
      <c r="C203" s="114" t="str">
        <f>IF(ISNA(VLOOKUP($F203,Declarations!B$6:C$185,2,FALSE)),"",IF(VLOOKUP($F203,Declarations!B$6:C$185,2,FALSE)="","NOT DECLARED",IF(ISNA(_xlfn.TEXTAFTER(VLOOKUP($F203,Declarations!B$6:C$185,2,FALSE)," ")),VLOOKUP($F203,Declarations!B$6:C$185,2,FALSE),_xlfn.TEXTAFTER(VLOOKUP($F203,Declarations!B$6:C$185,2,FALSE)," "))))</f>
        <v/>
      </c>
      <c r="D203" s="114" t="str">
        <f>IF(ISNA(VLOOKUP($F203,Declarations!$B$6:$F$185,5,FALSE)),"",IF(VLOOKUP($F203,Declarations!$B$6:$F$185,5,FALSE)="","NOT DECLARED",VLOOKUP($F203,Declarations!$B$6:$F$185,5,FALSE)))</f>
        <v/>
      </c>
      <c r="E203" s="112" t="str">
        <f>IF(ISNA(VLOOKUP($F203,Declarations!$B$6:$D$185,3,FALSE)),"",IF(VLOOKUP($F203,Declarations!$B$6:$D$185,3,FALSE)="","NOT DECLARED",VLOOKUP($F203,Declarations!$B$6:$D$185,3,FALSE)&amp;LEFT(VLOOKUP($F203,Declarations!$B$6:$E$185,4,FALSE))))</f>
        <v/>
      </c>
      <c r="F203" s="58"/>
      <c r="G203" s="122"/>
      <c r="H203" s="122"/>
      <c r="I203" s="114" t="str">
        <f>IF(ISNA(VLOOKUP(F203,Declarations!B$6:C$185,2,FALSE)),"",IF(VLOOKUP(F203,Declarations!B$6:C$185,2,FALSE)="","NOT DECLARED",VLOOKUP(F203,Declarations!B$6:C$185,2,FALSE)))</f>
        <v/>
      </c>
      <c r="J203" s="112">
        <f>IF(LOWER(G203)="dnf",1,IF(G203&lt;ScoringTable!B$3,ScoringTable!I$2,VLOOKUP((1000-G203),ScoringTable!G$2:I$95,3)))</f>
        <v>0</v>
      </c>
      <c r="K203" s="112" t="str">
        <f>IF(OR(E203="",G203=""),"",IF(RIGHT(E203,1)="G",_xlfn.XLOOKUP(G203,Data!$D$10:$L$10,Data!$D$9:$L$9,"",1,1),_xlfn.XLOOKUP(G203,Data!$D$3:$L$3,Data!$D$2:$L$2,"",1,1)))</f>
        <v/>
      </c>
      <c r="L203" s="160" t="str" cm="1">
        <f t="array" ref="L203">IFERROR(_xlfn.IFNA(
                      _xlfn.IFS(
                      G203="", "",
                      AND(E203="U12B",G203&lt;=Data!$M$3), "U12 Boys record",
                      AND(E203="U12G",G203&lt;=Data!$M$10), "U12 Girls record"
                       ),""), "")</f>
        <v/>
      </c>
      <c r="M203" s="18" cm="1">
        <f t="array" ref="M203">_xlfn.IFS($G203="",0, AND(NOT(ISNUMBER($G203)),LOWER($G203)&lt;&gt;"dnf"),"Not a valid time",OR(LOWER($G203)="dnf",$G203&gt;ScoringTable!$M$161),1,RIGHT($E203,1)="B",_xlfn.XLOOKUP($G203,ScoringTable!$M$2:$M$161,ScoringTable!$L$2:$L$161,,1),TRUE,_xlfn.XLOOKUP($G203,ScoringTable!$S$2:$S$161,ScoringTable!$R$2:$R$161,,1))</f>
        <v>0</v>
      </c>
    </row>
    <row r="204" spans="1:13" s="7" customFormat="1" ht="16.05" customHeight="1">
      <c r="A204" s="243" t="s">
        <v>85</v>
      </c>
      <c r="B204" s="114" t="str">
        <f>IF(ISNA(VLOOKUP($F204,Declarations!B$6:C$185,2,FALSE)),"",IF(VLOOKUP($F204,Declarations!B$6:C$185,2,FALSE)="","NOT DECLARED",IF(ISNA(_xlfn.TEXTBEFORE(VLOOKUP($F204,Declarations!B$6:C$185,2,FALSE)," ")),VLOOKUP($F204,Declarations!B$6:C$185,2,FALSE),_xlfn.TEXTBEFORE(VLOOKUP($F204,Declarations!B$6:C$185,2,FALSE)," "))))</f>
        <v/>
      </c>
      <c r="C204" s="114" t="str">
        <f>IF(ISNA(VLOOKUP($F204,Declarations!B$6:C$185,2,FALSE)),"",IF(VLOOKUP($F204,Declarations!B$6:C$185,2,FALSE)="","NOT DECLARED",IF(ISNA(_xlfn.TEXTAFTER(VLOOKUP($F204,Declarations!B$6:C$185,2,FALSE)," ")),VLOOKUP($F204,Declarations!B$6:C$185,2,FALSE),_xlfn.TEXTAFTER(VLOOKUP($F204,Declarations!B$6:C$185,2,FALSE)," "))))</f>
        <v/>
      </c>
      <c r="D204" s="114" t="str">
        <f>IF(ISNA(VLOOKUP($F204,Declarations!$B$6:$F$185,5,FALSE)),"",IF(VLOOKUP($F204,Declarations!$B$6:$F$185,5,FALSE)="","NOT DECLARED",VLOOKUP($F204,Declarations!$B$6:$F$185,5,FALSE)))</f>
        <v/>
      </c>
      <c r="E204" s="112" t="str">
        <f>IF(ISNA(VLOOKUP($F204,Declarations!$B$6:$D$185,3,FALSE)),"",IF(VLOOKUP($F204,Declarations!$B$6:$D$185,3,FALSE)="","NOT DECLARED",VLOOKUP($F204,Declarations!$B$6:$D$185,3,FALSE)&amp;LEFT(VLOOKUP($F204,Declarations!$B$6:$E$185,4,FALSE))))</f>
        <v/>
      </c>
      <c r="F204" s="58"/>
      <c r="G204" s="122"/>
      <c r="H204" s="122"/>
      <c r="I204" s="114" t="str">
        <f>IF(ISNA(VLOOKUP(F204,Declarations!B$6:C$185,2,FALSE)),"",IF(VLOOKUP(F204,Declarations!B$6:C$185,2,FALSE)="","NOT DECLARED",VLOOKUP(F204,Declarations!B$6:C$185,2,FALSE)))</f>
        <v/>
      </c>
      <c r="J204" s="112">
        <f>IF(LOWER(G204)="dnf",1,IF(G204&lt;ScoringTable!B$3,ScoringTable!I$2,VLOOKUP((1000-G204),ScoringTable!G$2:I$95,3)))</f>
        <v>0</v>
      </c>
      <c r="K204" s="112" t="str">
        <f>IF(OR(E204="",G204=""),"",IF(RIGHT(E204,1)="G",_xlfn.XLOOKUP(G204,Data!$D$10:$L$10,Data!$D$9:$L$9,"",1,1),_xlfn.XLOOKUP(G204,Data!$D$3:$L$3,Data!$D$2:$L$2,"",1,1)))</f>
        <v/>
      </c>
      <c r="L204" s="160" t="str" cm="1">
        <f t="array" ref="L204">IFERROR(_xlfn.IFNA(
                      _xlfn.IFS(
                      G204="", "",
                      AND(E204="U12B",G204&lt;=Data!$M$3), "U12 Boys record",
                      AND(E204="U12G",G204&lt;=Data!$M$10), "U12 Girls record"
                       ),""), "")</f>
        <v/>
      </c>
      <c r="M204" s="18" cm="1">
        <f t="array" ref="M204">_xlfn.IFS($G204="",0, AND(NOT(ISNUMBER($G204)),LOWER($G204)&lt;&gt;"dnf"),"Not a valid time",OR(LOWER($G204)="dnf",$G204&gt;ScoringTable!$M$161),1,RIGHT($E204,1)="B",_xlfn.XLOOKUP($G204,ScoringTable!$M$2:$M$161,ScoringTable!$L$2:$L$161,,1),TRUE,_xlfn.XLOOKUP($G204,ScoringTable!$S$2:$S$161,ScoringTable!$R$2:$R$161,,1))</f>
        <v>0</v>
      </c>
    </row>
    <row r="205" spans="1:13" s="7" customFormat="1" ht="16.05" customHeight="1">
      <c r="A205" s="243" t="s">
        <v>85</v>
      </c>
      <c r="B205" s="114" t="str">
        <f>IF(ISNA(VLOOKUP($F205,Declarations!B$6:C$185,2,FALSE)),"",IF(VLOOKUP($F205,Declarations!B$6:C$185,2,FALSE)="","NOT DECLARED",IF(ISNA(_xlfn.TEXTBEFORE(VLOOKUP($F205,Declarations!B$6:C$185,2,FALSE)," ")),VLOOKUP($F205,Declarations!B$6:C$185,2,FALSE),_xlfn.TEXTBEFORE(VLOOKUP($F205,Declarations!B$6:C$185,2,FALSE)," "))))</f>
        <v/>
      </c>
      <c r="C205" s="114" t="str">
        <f>IF(ISNA(VLOOKUP($F205,Declarations!B$6:C$185,2,FALSE)),"",IF(VLOOKUP($F205,Declarations!B$6:C$185,2,FALSE)="","NOT DECLARED",IF(ISNA(_xlfn.TEXTAFTER(VLOOKUP($F205,Declarations!B$6:C$185,2,FALSE)," ")),VLOOKUP($F205,Declarations!B$6:C$185,2,FALSE),_xlfn.TEXTAFTER(VLOOKUP($F205,Declarations!B$6:C$185,2,FALSE)," "))))</f>
        <v/>
      </c>
      <c r="D205" s="114" t="str">
        <f>IF(ISNA(VLOOKUP($F205,Declarations!$B$6:$F$185,5,FALSE)),"",IF(VLOOKUP($F205,Declarations!$B$6:$F$185,5,FALSE)="","NOT DECLARED",VLOOKUP($F205,Declarations!$B$6:$F$185,5,FALSE)))</f>
        <v/>
      </c>
      <c r="E205" s="112" t="str">
        <f>IF(ISNA(VLOOKUP($F205,Declarations!$B$6:$D$185,3,FALSE)),"",IF(VLOOKUP($F205,Declarations!$B$6:$D$185,3,FALSE)="","NOT DECLARED",VLOOKUP($F205,Declarations!$B$6:$D$185,3,FALSE)&amp;LEFT(VLOOKUP($F205,Declarations!$B$6:$E$185,4,FALSE))))</f>
        <v/>
      </c>
      <c r="F205" s="58"/>
      <c r="G205" s="122"/>
      <c r="H205" s="122"/>
      <c r="I205" s="114" t="str">
        <f>IF(ISNA(VLOOKUP(F205,Declarations!B$6:C$185,2,FALSE)),"",IF(VLOOKUP(F205,Declarations!B$6:C$185,2,FALSE)="","NOT DECLARED",VLOOKUP(F205,Declarations!B$6:C$185,2,FALSE)))</f>
        <v/>
      </c>
      <c r="J205" s="112">
        <f>IF(LOWER(G205)="dnf",1,IF(G205&lt;ScoringTable!B$3,ScoringTable!I$2,VLOOKUP((1000-G205),ScoringTable!G$2:I$95,3)))</f>
        <v>0</v>
      </c>
      <c r="K205" s="112" t="str">
        <f>IF(OR(E205="",G205=""),"",IF(RIGHT(E205,1)="G",_xlfn.XLOOKUP(G205,Data!$D$10:$L$10,Data!$D$9:$L$9,"",1,1),_xlfn.XLOOKUP(G205,Data!$D$3:$L$3,Data!$D$2:$L$2,"",1,1)))</f>
        <v/>
      </c>
      <c r="L205" s="160" t="str" cm="1">
        <f t="array" ref="L205">IFERROR(_xlfn.IFNA(
                      _xlfn.IFS(
                      G205="", "",
                      AND(E205="U12B",G205&lt;=Data!$M$3), "U12 Boys record",
                      AND(E205="U12G",G205&lt;=Data!$M$10), "U12 Girls record"
                       ),""), "")</f>
        <v/>
      </c>
      <c r="M205" s="18" cm="1">
        <f t="array" ref="M205">_xlfn.IFS($G205="",0, AND(NOT(ISNUMBER($G205)),LOWER($G205)&lt;&gt;"dnf"),"Not a valid time",OR(LOWER($G205)="dnf",$G205&gt;ScoringTable!$M$161),1,RIGHT($E205,1)="B",_xlfn.XLOOKUP($G205,ScoringTable!$M$2:$M$161,ScoringTable!$L$2:$L$161,,1),TRUE,_xlfn.XLOOKUP($G205,ScoringTable!$S$2:$S$161,ScoringTable!$R$2:$R$161,,1))</f>
        <v>0</v>
      </c>
    </row>
    <row r="206" spans="1:13" s="7" customFormat="1" ht="16.05" customHeight="1">
      <c r="A206" s="243" t="s">
        <v>85</v>
      </c>
      <c r="B206" s="114" t="str">
        <f>IF(ISNA(VLOOKUP($F206,Declarations!B$6:C$185,2,FALSE)),"",IF(VLOOKUP($F206,Declarations!B$6:C$185,2,FALSE)="","NOT DECLARED",IF(ISNA(_xlfn.TEXTBEFORE(VLOOKUP($F206,Declarations!B$6:C$185,2,FALSE)," ")),VLOOKUP($F206,Declarations!B$6:C$185,2,FALSE),_xlfn.TEXTBEFORE(VLOOKUP($F206,Declarations!B$6:C$185,2,FALSE)," "))))</f>
        <v/>
      </c>
      <c r="C206" s="114" t="str">
        <f>IF(ISNA(VLOOKUP($F206,Declarations!B$6:C$185,2,FALSE)),"",IF(VLOOKUP($F206,Declarations!B$6:C$185,2,FALSE)="","NOT DECLARED",IF(ISNA(_xlfn.TEXTAFTER(VLOOKUP($F206,Declarations!B$6:C$185,2,FALSE)," ")),VLOOKUP($F206,Declarations!B$6:C$185,2,FALSE),_xlfn.TEXTAFTER(VLOOKUP($F206,Declarations!B$6:C$185,2,FALSE)," "))))</f>
        <v/>
      </c>
      <c r="D206" s="114" t="str">
        <f>IF(ISNA(VLOOKUP($F206,Declarations!$B$6:$F$185,5,FALSE)),"",IF(VLOOKUP($F206,Declarations!$B$6:$F$185,5,FALSE)="","NOT DECLARED",VLOOKUP($F206,Declarations!$B$6:$F$185,5,FALSE)))</f>
        <v/>
      </c>
      <c r="E206" s="112" t="str">
        <f>IF(ISNA(VLOOKUP($F206,Declarations!$B$6:$D$185,3,FALSE)),"",IF(VLOOKUP($F206,Declarations!$B$6:$D$185,3,FALSE)="","NOT DECLARED",VLOOKUP($F206,Declarations!$B$6:$D$185,3,FALSE)&amp;LEFT(VLOOKUP($F206,Declarations!$B$6:$E$185,4,FALSE))))</f>
        <v/>
      </c>
      <c r="F206" s="58"/>
      <c r="G206" s="122"/>
      <c r="H206" s="122"/>
      <c r="I206" s="114" t="str">
        <f>IF(ISNA(VLOOKUP(F206,Declarations!B$6:C$185,2,FALSE)),"",IF(VLOOKUP(F206,Declarations!B$6:C$185,2,FALSE)="","NOT DECLARED",VLOOKUP(F206,Declarations!B$6:C$185,2,FALSE)))</f>
        <v/>
      </c>
      <c r="J206" s="112">
        <f>IF(LOWER(G206)="dnf",1,IF(G206&lt;ScoringTable!B$3,ScoringTable!I$2,VLOOKUP((1000-G206),ScoringTable!G$2:I$95,3)))</f>
        <v>0</v>
      </c>
      <c r="K206" s="112" t="str">
        <f>IF(OR(E206="",G206=""),"",IF(RIGHT(E206,1)="G",_xlfn.XLOOKUP(G206,Data!$D$10:$L$10,Data!$D$9:$L$9,"",1,1),_xlfn.XLOOKUP(G206,Data!$D$3:$L$3,Data!$D$2:$L$2,"",1,1)))</f>
        <v/>
      </c>
      <c r="L206" s="160" t="str" cm="1">
        <f t="array" ref="L206">IFERROR(_xlfn.IFNA(
                      _xlfn.IFS(
                      G206="", "",
                      AND(E206="U12B",G206&lt;=Data!$M$3), "U12 Boys record",
                      AND(E206="U12G",G206&lt;=Data!$M$10), "U12 Girls record"
                       ),""), "")</f>
        <v/>
      </c>
      <c r="M206" s="18" cm="1">
        <f t="array" ref="M206">_xlfn.IFS($G206="",0, AND(NOT(ISNUMBER($G206)),LOWER($G206)&lt;&gt;"dnf"),"Not a valid time",OR(LOWER($G206)="dnf",$G206&gt;ScoringTable!$M$161),1,RIGHT($E206,1)="B",_xlfn.XLOOKUP($G206,ScoringTable!$M$2:$M$161,ScoringTable!$L$2:$L$161,,1),TRUE,_xlfn.XLOOKUP($G206,ScoringTable!$S$2:$S$161,ScoringTable!$R$2:$R$161,,1))</f>
        <v>0</v>
      </c>
    </row>
    <row r="207" spans="1:13" s="7" customFormat="1" ht="16.05" customHeight="1">
      <c r="A207" s="243" t="s">
        <v>85</v>
      </c>
      <c r="B207" s="114" t="str">
        <f>IF(ISNA(VLOOKUP($F207,Declarations!B$6:C$185,2,FALSE)),"",IF(VLOOKUP($F207,Declarations!B$6:C$185,2,FALSE)="","NOT DECLARED",IF(ISNA(_xlfn.TEXTBEFORE(VLOOKUP($F207,Declarations!B$6:C$185,2,FALSE)," ")),VLOOKUP($F207,Declarations!B$6:C$185,2,FALSE),_xlfn.TEXTBEFORE(VLOOKUP($F207,Declarations!B$6:C$185,2,FALSE)," "))))</f>
        <v/>
      </c>
      <c r="C207" s="114" t="str">
        <f>IF(ISNA(VLOOKUP($F207,Declarations!B$6:C$185,2,FALSE)),"",IF(VLOOKUP($F207,Declarations!B$6:C$185,2,FALSE)="","NOT DECLARED",IF(ISNA(_xlfn.TEXTAFTER(VLOOKUP($F207,Declarations!B$6:C$185,2,FALSE)," ")),VLOOKUP($F207,Declarations!B$6:C$185,2,FALSE),_xlfn.TEXTAFTER(VLOOKUP($F207,Declarations!B$6:C$185,2,FALSE)," "))))</f>
        <v/>
      </c>
      <c r="D207" s="114" t="str">
        <f>IF(ISNA(VLOOKUP($F207,Declarations!$B$6:$F$185,5,FALSE)),"",IF(VLOOKUP($F207,Declarations!$B$6:$F$185,5,FALSE)="","NOT DECLARED",VLOOKUP($F207,Declarations!$B$6:$F$185,5,FALSE)))</f>
        <v/>
      </c>
      <c r="E207" s="112" t="str">
        <f>IF(ISNA(VLOOKUP($F207,Declarations!$B$6:$D$185,3,FALSE)),"",IF(VLOOKUP($F207,Declarations!$B$6:$D$185,3,FALSE)="","NOT DECLARED",VLOOKUP($F207,Declarations!$B$6:$D$185,3,FALSE)&amp;LEFT(VLOOKUP($F207,Declarations!$B$6:$E$185,4,FALSE))))</f>
        <v/>
      </c>
      <c r="F207" s="58"/>
      <c r="G207" s="122"/>
      <c r="H207" s="122"/>
      <c r="I207" s="114" t="str">
        <f>IF(ISNA(VLOOKUP(F207,Declarations!B$6:C$185,2,FALSE)),"",IF(VLOOKUP(F207,Declarations!B$6:C$185,2,FALSE)="","NOT DECLARED",VLOOKUP(F207,Declarations!B$6:C$185,2,FALSE)))</f>
        <v/>
      </c>
      <c r="J207" s="112">
        <f>IF(LOWER(G207)="dnf",1,IF(G207&lt;ScoringTable!B$3,ScoringTable!I$2,VLOOKUP((1000-G207),ScoringTable!G$2:I$95,3)))</f>
        <v>0</v>
      </c>
      <c r="K207" s="112" t="str">
        <f>IF(OR(E207="",G207=""),"",IF(RIGHT(E207,1)="G",_xlfn.XLOOKUP(G207,Data!$D$10:$L$10,Data!$D$9:$L$9,"",1,1),_xlfn.XLOOKUP(G207,Data!$D$3:$L$3,Data!$D$2:$L$2,"",1,1)))</f>
        <v/>
      </c>
      <c r="L207" s="160" t="str" cm="1">
        <f t="array" ref="L207">IFERROR(_xlfn.IFNA(
                      _xlfn.IFS(
                      G207="", "",
                      AND(E207="U12B",G207&lt;=Data!$M$3), "U12 Boys record",
                      AND(E207="U12G",G207&lt;=Data!$M$10), "U12 Girls record"
                       ),""), "")</f>
        <v/>
      </c>
      <c r="M207" s="18" cm="1">
        <f t="array" ref="M207">_xlfn.IFS($G207="",0, AND(NOT(ISNUMBER($G207)),LOWER($G207)&lt;&gt;"dnf"),"Not a valid time",OR(LOWER($G207)="dnf",$G207&gt;ScoringTable!$M$161),1,RIGHT($E207,1)="B",_xlfn.XLOOKUP($G207,ScoringTable!$M$2:$M$161,ScoringTable!$L$2:$L$161,,1),TRUE,_xlfn.XLOOKUP($G207,ScoringTable!$S$2:$S$161,ScoringTable!$R$2:$R$161,,1))</f>
        <v>0</v>
      </c>
    </row>
    <row r="208" spans="1:13" s="7" customFormat="1" ht="16.05" customHeight="1">
      <c r="A208" s="243" t="s">
        <v>85</v>
      </c>
      <c r="B208" s="114" t="str">
        <f>IF(ISNA(VLOOKUP($F208,Declarations!B$6:C$185,2,FALSE)),"",IF(VLOOKUP($F208,Declarations!B$6:C$185,2,FALSE)="","NOT DECLARED",IF(ISNA(_xlfn.TEXTBEFORE(VLOOKUP($F208,Declarations!B$6:C$185,2,FALSE)," ")),VLOOKUP($F208,Declarations!B$6:C$185,2,FALSE),_xlfn.TEXTBEFORE(VLOOKUP($F208,Declarations!B$6:C$185,2,FALSE)," "))))</f>
        <v/>
      </c>
      <c r="C208" s="114" t="str">
        <f>IF(ISNA(VLOOKUP($F208,Declarations!B$6:C$185,2,FALSE)),"",IF(VLOOKUP($F208,Declarations!B$6:C$185,2,FALSE)="","NOT DECLARED",IF(ISNA(_xlfn.TEXTAFTER(VLOOKUP($F208,Declarations!B$6:C$185,2,FALSE)," ")),VLOOKUP($F208,Declarations!B$6:C$185,2,FALSE),_xlfn.TEXTAFTER(VLOOKUP($F208,Declarations!B$6:C$185,2,FALSE)," "))))</f>
        <v/>
      </c>
      <c r="D208" s="114" t="str">
        <f>IF(ISNA(VLOOKUP($F208,Declarations!$B$6:$F$185,5,FALSE)),"",IF(VLOOKUP($F208,Declarations!$B$6:$F$185,5,FALSE)="","NOT DECLARED",VLOOKUP($F208,Declarations!$B$6:$F$185,5,FALSE)))</f>
        <v/>
      </c>
      <c r="E208" s="112" t="str">
        <f>IF(ISNA(VLOOKUP($F208,Declarations!$B$6:$D$185,3,FALSE)),"",IF(VLOOKUP($F208,Declarations!$B$6:$D$185,3,FALSE)="","NOT DECLARED",VLOOKUP($F208,Declarations!$B$6:$D$185,3,FALSE)&amp;LEFT(VLOOKUP($F208,Declarations!$B$6:$E$185,4,FALSE))))</f>
        <v/>
      </c>
      <c r="F208" s="58"/>
      <c r="G208" s="122"/>
      <c r="H208" s="122"/>
      <c r="I208" s="114" t="str">
        <f>IF(ISNA(VLOOKUP(F208,Declarations!B$6:C$185,2,FALSE)),"",IF(VLOOKUP(F208,Declarations!B$6:C$185,2,FALSE)="","NOT DECLARED",VLOOKUP(F208,Declarations!B$6:C$185,2,FALSE)))</f>
        <v/>
      </c>
      <c r="J208" s="112">
        <f>IF(LOWER(G208)="dnf",1,IF(G208&lt;ScoringTable!B$3,ScoringTable!I$2,VLOOKUP((1000-G208),ScoringTable!G$2:I$95,3)))</f>
        <v>0</v>
      </c>
      <c r="K208" s="112" t="str">
        <f>IF(OR(E208="",G208=""),"",IF(RIGHT(E208,1)="G",_xlfn.XLOOKUP(G208,Data!$D$10:$L$10,Data!$D$9:$L$9,"",1,1),_xlfn.XLOOKUP(G208,Data!$D$3:$L$3,Data!$D$2:$L$2,"",1,1)))</f>
        <v/>
      </c>
      <c r="L208" s="160" t="str" cm="1">
        <f t="array" ref="L208">IFERROR(_xlfn.IFNA(
                      _xlfn.IFS(
                      G208="", "",
                      AND(E208="U12B",G208&lt;=Data!$M$3), "U12 Boys record",
                      AND(E208="U12G",G208&lt;=Data!$M$10), "U12 Girls record"
                       ),""), "")</f>
        <v/>
      </c>
      <c r="M208" s="18" cm="1">
        <f t="array" ref="M208">_xlfn.IFS($G208="",0, AND(NOT(ISNUMBER($G208)),LOWER($G208)&lt;&gt;"dnf"),"Not a valid time",OR(LOWER($G208)="dnf",$G208&gt;ScoringTable!$M$161),1,RIGHT($E208,1)="B",_xlfn.XLOOKUP($G208,ScoringTable!$M$2:$M$161,ScoringTable!$L$2:$L$161,,1),TRUE,_xlfn.XLOOKUP($G208,ScoringTable!$S$2:$S$161,ScoringTable!$R$2:$R$161,,1))</f>
        <v>0</v>
      </c>
    </row>
    <row r="209" spans="1:13" s="7" customFormat="1" ht="16.05" customHeight="1">
      <c r="A209" s="243" t="s">
        <v>85</v>
      </c>
      <c r="B209" s="114" t="str">
        <f>IF(ISNA(VLOOKUP($F209,Declarations!B$6:C$185,2,FALSE)),"",IF(VLOOKUP($F209,Declarations!B$6:C$185,2,FALSE)="","NOT DECLARED",IF(ISNA(_xlfn.TEXTBEFORE(VLOOKUP($F209,Declarations!B$6:C$185,2,FALSE)," ")),VLOOKUP($F209,Declarations!B$6:C$185,2,FALSE),_xlfn.TEXTBEFORE(VLOOKUP($F209,Declarations!B$6:C$185,2,FALSE)," "))))</f>
        <v/>
      </c>
      <c r="C209" s="114" t="str">
        <f>IF(ISNA(VLOOKUP($F209,Declarations!B$6:C$185,2,FALSE)),"",IF(VLOOKUP($F209,Declarations!B$6:C$185,2,FALSE)="","NOT DECLARED",IF(ISNA(_xlfn.TEXTAFTER(VLOOKUP($F209,Declarations!B$6:C$185,2,FALSE)," ")),VLOOKUP($F209,Declarations!B$6:C$185,2,FALSE),_xlfn.TEXTAFTER(VLOOKUP($F209,Declarations!B$6:C$185,2,FALSE)," "))))</f>
        <v/>
      </c>
      <c r="D209" s="114" t="str">
        <f>IF(ISNA(VLOOKUP($F209,Declarations!$B$6:$F$185,5,FALSE)),"",IF(VLOOKUP($F209,Declarations!$B$6:$F$185,5,FALSE)="","NOT DECLARED",VLOOKUP($F209,Declarations!$B$6:$F$185,5,FALSE)))</f>
        <v/>
      </c>
      <c r="E209" s="112" t="str">
        <f>IF(ISNA(VLOOKUP($F209,Declarations!$B$6:$D$185,3,FALSE)),"",IF(VLOOKUP($F209,Declarations!$B$6:$D$185,3,FALSE)="","NOT DECLARED",VLOOKUP($F209,Declarations!$B$6:$D$185,3,FALSE)&amp;LEFT(VLOOKUP($F209,Declarations!$B$6:$E$185,4,FALSE))))</f>
        <v/>
      </c>
      <c r="F209" s="58"/>
      <c r="G209" s="122"/>
      <c r="H209" s="122"/>
      <c r="I209" s="114" t="str">
        <f>IF(ISNA(VLOOKUP(F209,Declarations!B$6:C$185,2,FALSE)),"",IF(VLOOKUP(F209,Declarations!B$6:C$185,2,FALSE)="","NOT DECLARED",VLOOKUP(F209,Declarations!B$6:C$185,2,FALSE)))</f>
        <v/>
      </c>
      <c r="J209" s="112">
        <f>IF(LOWER(G209)="dnf",1,IF(G209&lt;ScoringTable!B$3,ScoringTable!I$2,VLOOKUP((1000-G209),ScoringTable!G$2:I$95,3)))</f>
        <v>0</v>
      </c>
      <c r="K209" s="112" t="str">
        <f>IF(OR(E209="",G209=""),"",IF(RIGHT(E209,1)="G",_xlfn.XLOOKUP(G209,Data!$D$10:$L$10,Data!$D$9:$L$9,"",1,1),_xlfn.XLOOKUP(G209,Data!$D$3:$L$3,Data!$D$2:$L$2,"",1,1)))</f>
        <v/>
      </c>
      <c r="L209" s="160" t="str" cm="1">
        <f t="array" ref="L209">IFERROR(_xlfn.IFNA(
                      _xlfn.IFS(
                      G209="", "",
                      AND(E209="U12B",G209&lt;=Data!$M$3), "U12 Boys record",
                      AND(E209="U12G",G209&lt;=Data!$M$10), "U12 Girls record"
                       ),""), "")</f>
        <v/>
      </c>
      <c r="M209" s="18" cm="1">
        <f t="array" ref="M209">_xlfn.IFS($G209="",0, AND(NOT(ISNUMBER($G209)),LOWER($G209)&lt;&gt;"dnf"),"Not a valid time",OR(LOWER($G209)="dnf",$G209&gt;ScoringTable!$M$161),1,RIGHT($E209,1)="B",_xlfn.XLOOKUP($G209,ScoringTable!$M$2:$M$161,ScoringTable!$L$2:$L$161,,1),TRUE,_xlfn.XLOOKUP($G209,ScoringTable!$S$2:$S$161,ScoringTable!$R$2:$R$161,,1))</f>
        <v>0</v>
      </c>
    </row>
    <row r="210" spans="1:13" s="7" customFormat="1" ht="16.05" customHeight="1">
      <c r="A210" s="243" t="s">
        <v>85</v>
      </c>
      <c r="B210" s="114" t="str">
        <f>IF(ISNA(VLOOKUP($F210,Declarations!B$6:C$185,2,FALSE)),"",IF(VLOOKUP($F210,Declarations!B$6:C$185,2,FALSE)="","NOT DECLARED",IF(ISNA(_xlfn.TEXTBEFORE(VLOOKUP($F210,Declarations!B$6:C$185,2,FALSE)," ")),VLOOKUP($F210,Declarations!B$6:C$185,2,FALSE),_xlfn.TEXTBEFORE(VLOOKUP($F210,Declarations!B$6:C$185,2,FALSE)," "))))</f>
        <v/>
      </c>
      <c r="C210" s="114" t="str">
        <f>IF(ISNA(VLOOKUP($F210,Declarations!B$6:C$185,2,FALSE)),"",IF(VLOOKUP($F210,Declarations!B$6:C$185,2,FALSE)="","NOT DECLARED",IF(ISNA(_xlfn.TEXTAFTER(VLOOKUP($F210,Declarations!B$6:C$185,2,FALSE)," ")),VLOOKUP($F210,Declarations!B$6:C$185,2,FALSE),_xlfn.TEXTAFTER(VLOOKUP($F210,Declarations!B$6:C$185,2,FALSE)," "))))</f>
        <v/>
      </c>
      <c r="D210" s="114" t="str">
        <f>IF(ISNA(VLOOKUP($F210,Declarations!$B$6:$F$185,5,FALSE)),"",IF(VLOOKUP($F210,Declarations!$B$6:$F$185,5,FALSE)="","NOT DECLARED",VLOOKUP($F210,Declarations!$B$6:$F$185,5,FALSE)))</f>
        <v/>
      </c>
      <c r="E210" s="112" t="str">
        <f>IF(ISNA(VLOOKUP($F210,Declarations!$B$6:$D$185,3,FALSE)),"",IF(VLOOKUP($F210,Declarations!$B$6:$D$185,3,FALSE)="","NOT DECLARED",VLOOKUP($F210,Declarations!$B$6:$D$185,3,FALSE)&amp;LEFT(VLOOKUP($F210,Declarations!$B$6:$E$185,4,FALSE))))</f>
        <v/>
      </c>
      <c r="F210" s="58"/>
      <c r="G210" s="122"/>
      <c r="H210" s="122"/>
      <c r="I210" s="114" t="str">
        <f>IF(ISNA(VLOOKUP(F210,Declarations!B$6:C$185,2,FALSE)),"",IF(VLOOKUP(F210,Declarations!B$6:C$185,2,FALSE)="","NOT DECLARED",VLOOKUP(F210,Declarations!B$6:C$185,2,FALSE)))</f>
        <v/>
      </c>
      <c r="J210" s="112">
        <f>IF(LOWER(G210)="dnf",1,IF(G210&lt;ScoringTable!B$3,ScoringTable!I$2,VLOOKUP((1000-G210),ScoringTable!G$2:I$95,3)))</f>
        <v>0</v>
      </c>
      <c r="K210" s="112" t="str">
        <f>IF(OR(E210="",G210=""),"",IF(RIGHT(E210,1)="G",_xlfn.XLOOKUP(G210,Data!$D$10:$L$10,Data!$D$9:$L$9,"",1,1),_xlfn.XLOOKUP(G210,Data!$D$3:$L$3,Data!$D$2:$L$2,"",1,1)))</f>
        <v/>
      </c>
      <c r="L210" s="160" t="str" cm="1">
        <f t="array" ref="L210">IFERROR(_xlfn.IFNA(
                      _xlfn.IFS(
                      G210="", "",
                      AND(E210="U12B",G210&lt;=Data!$M$3), "U12 Boys record",
                      AND(E210="U12G",G210&lt;=Data!$M$10), "U12 Girls record"
                       ),""), "")</f>
        <v/>
      </c>
      <c r="M210" s="18" cm="1">
        <f t="array" ref="M210">_xlfn.IFS($G210="",0, AND(NOT(ISNUMBER($G210)),LOWER($G210)&lt;&gt;"dnf"),"Not a valid time",OR(LOWER($G210)="dnf",$G210&gt;ScoringTable!$M$161),1,RIGHT($E210,1)="B",_xlfn.XLOOKUP($G210,ScoringTable!$M$2:$M$161,ScoringTable!$L$2:$L$161,,1),TRUE,_xlfn.XLOOKUP($G210,ScoringTable!$S$2:$S$161,ScoringTable!$R$2:$R$161,,1))</f>
        <v>0</v>
      </c>
    </row>
    <row r="211" spans="1:13" s="7" customFormat="1" ht="16.05" customHeight="1">
      <c r="A211" s="243" t="s">
        <v>85</v>
      </c>
      <c r="B211" s="114" t="str">
        <f>IF(ISNA(VLOOKUP($F211,Declarations!B$6:C$185,2,FALSE)),"",IF(VLOOKUP($F211,Declarations!B$6:C$185,2,FALSE)="","NOT DECLARED",IF(ISNA(_xlfn.TEXTBEFORE(VLOOKUP($F211,Declarations!B$6:C$185,2,FALSE)," ")),VLOOKUP($F211,Declarations!B$6:C$185,2,FALSE),_xlfn.TEXTBEFORE(VLOOKUP($F211,Declarations!B$6:C$185,2,FALSE)," "))))</f>
        <v/>
      </c>
      <c r="C211" s="114" t="str">
        <f>IF(ISNA(VLOOKUP($F211,Declarations!B$6:C$185,2,FALSE)),"",IF(VLOOKUP($F211,Declarations!B$6:C$185,2,FALSE)="","NOT DECLARED",IF(ISNA(_xlfn.TEXTAFTER(VLOOKUP($F211,Declarations!B$6:C$185,2,FALSE)," ")),VLOOKUP($F211,Declarations!B$6:C$185,2,FALSE),_xlfn.TEXTAFTER(VLOOKUP($F211,Declarations!B$6:C$185,2,FALSE)," "))))</f>
        <v/>
      </c>
      <c r="D211" s="114" t="str">
        <f>IF(ISNA(VLOOKUP($F211,Declarations!$B$6:$F$185,5,FALSE)),"",IF(VLOOKUP($F211,Declarations!$B$6:$F$185,5,FALSE)="","NOT DECLARED",VLOOKUP($F211,Declarations!$B$6:$F$185,5,FALSE)))</f>
        <v/>
      </c>
      <c r="E211" s="112" t="str">
        <f>IF(ISNA(VLOOKUP($F211,Declarations!$B$6:$D$185,3,FALSE)),"",IF(VLOOKUP($F211,Declarations!$B$6:$D$185,3,FALSE)="","NOT DECLARED",VLOOKUP($F211,Declarations!$B$6:$D$185,3,FALSE)&amp;LEFT(VLOOKUP($F211,Declarations!$B$6:$E$185,4,FALSE))))</f>
        <v/>
      </c>
      <c r="F211" s="58"/>
      <c r="G211" s="122"/>
      <c r="H211" s="122"/>
      <c r="I211" s="114" t="str">
        <f>IF(ISNA(VLOOKUP(F211,Declarations!B$6:C$185,2,FALSE)),"",IF(VLOOKUP(F211,Declarations!B$6:C$185,2,FALSE)="","NOT DECLARED",VLOOKUP(F211,Declarations!B$6:C$185,2,FALSE)))</f>
        <v/>
      </c>
      <c r="J211" s="112">
        <f>IF(LOWER(G211)="dnf",1,IF(G211&lt;ScoringTable!B$3,ScoringTable!I$2,VLOOKUP((1000-G211),ScoringTable!G$2:I$95,3)))</f>
        <v>0</v>
      </c>
      <c r="K211" s="112" t="str">
        <f>IF(OR(E211="",G211=""),"",IF(RIGHT(E211,1)="G",_xlfn.XLOOKUP(G211,Data!$D$10:$L$10,Data!$D$9:$L$9,"",1,1),_xlfn.XLOOKUP(G211,Data!$D$3:$L$3,Data!$D$2:$L$2,"",1,1)))</f>
        <v/>
      </c>
      <c r="L211" s="160" t="str" cm="1">
        <f t="array" ref="L211">IFERROR(_xlfn.IFNA(
                      _xlfn.IFS(
                      G211="", "",
                      AND(E211="U12B",G211&lt;=Data!$M$3), "U12 Boys record",
                      AND(E211="U12G",G211&lt;=Data!$M$10), "U12 Girls record"
                       ),""), "")</f>
        <v/>
      </c>
      <c r="M211" s="18" cm="1">
        <f t="array" ref="M211">_xlfn.IFS($G211="",0, AND(NOT(ISNUMBER($G211)),LOWER($G211)&lt;&gt;"dnf"),"Not a valid time",OR(LOWER($G211)="dnf",$G211&gt;ScoringTable!$M$161),1,RIGHT($E211,1)="B",_xlfn.XLOOKUP($G211,ScoringTable!$M$2:$M$161,ScoringTable!$L$2:$L$161,,1),TRUE,_xlfn.XLOOKUP($G211,ScoringTable!$S$2:$S$161,ScoringTable!$R$2:$R$161,,1))</f>
        <v>0</v>
      </c>
    </row>
    <row r="212" spans="1:13" s="7" customFormat="1" ht="16.05" customHeight="1">
      <c r="A212" s="243" t="s">
        <v>85</v>
      </c>
      <c r="B212" s="114" t="str">
        <f>IF(ISNA(VLOOKUP($F212,Declarations!B$6:C$185,2,FALSE)),"",IF(VLOOKUP($F212,Declarations!B$6:C$185,2,FALSE)="","NOT DECLARED",IF(ISNA(_xlfn.TEXTBEFORE(VLOOKUP($F212,Declarations!B$6:C$185,2,FALSE)," ")),VLOOKUP($F212,Declarations!B$6:C$185,2,FALSE),_xlfn.TEXTBEFORE(VLOOKUP($F212,Declarations!B$6:C$185,2,FALSE)," "))))</f>
        <v/>
      </c>
      <c r="C212" s="114" t="str">
        <f>IF(ISNA(VLOOKUP($F212,Declarations!B$6:C$185,2,FALSE)),"",IF(VLOOKUP($F212,Declarations!B$6:C$185,2,FALSE)="","NOT DECLARED",IF(ISNA(_xlfn.TEXTAFTER(VLOOKUP($F212,Declarations!B$6:C$185,2,FALSE)," ")),VLOOKUP($F212,Declarations!B$6:C$185,2,FALSE),_xlfn.TEXTAFTER(VLOOKUP($F212,Declarations!B$6:C$185,2,FALSE)," "))))</f>
        <v/>
      </c>
      <c r="D212" s="114" t="str">
        <f>IF(ISNA(VLOOKUP($F212,Declarations!$B$6:$F$185,5,FALSE)),"",IF(VLOOKUP($F212,Declarations!$B$6:$F$185,5,FALSE)="","NOT DECLARED",VLOOKUP($F212,Declarations!$B$6:$F$185,5,FALSE)))</f>
        <v/>
      </c>
      <c r="E212" s="112" t="str">
        <f>IF(ISNA(VLOOKUP($F212,Declarations!$B$6:$D$185,3,FALSE)),"",IF(VLOOKUP($F212,Declarations!$B$6:$D$185,3,FALSE)="","NOT DECLARED",VLOOKUP($F212,Declarations!$B$6:$D$185,3,FALSE)&amp;LEFT(VLOOKUP($F212,Declarations!$B$6:$E$185,4,FALSE))))</f>
        <v/>
      </c>
      <c r="F212" s="58"/>
      <c r="G212" s="122"/>
      <c r="H212" s="122"/>
      <c r="I212" s="114" t="str">
        <f>IF(ISNA(VLOOKUP(F212,Declarations!B$6:C$185,2,FALSE)),"",IF(VLOOKUP(F212,Declarations!B$6:C$185,2,FALSE)="","NOT DECLARED",VLOOKUP(F212,Declarations!B$6:C$185,2,FALSE)))</f>
        <v/>
      </c>
      <c r="J212" s="112">
        <f>IF(LOWER(G212)="dnf",1,IF(G212&lt;ScoringTable!B$3,ScoringTable!I$2,VLOOKUP((1000-G212),ScoringTable!G$2:I$95,3)))</f>
        <v>0</v>
      </c>
      <c r="K212" s="112" t="str">
        <f>IF(OR(E212="",G212=""),"",IF(RIGHT(E212,1)="G",_xlfn.XLOOKUP(G212,Data!$D$10:$L$10,Data!$D$9:$L$9,"",1,1),_xlfn.XLOOKUP(G212,Data!$D$3:$L$3,Data!$D$2:$L$2,"",1,1)))</f>
        <v/>
      </c>
      <c r="L212" s="160" t="str" cm="1">
        <f t="array" ref="L212">IFERROR(_xlfn.IFNA(
                      _xlfn.IFS(
                      G212="", "",
                      AND(E212="U12B",G212&lt;=Data!$M$3), "U12 Boys record",
                      AND(E212="U12G",G212&lt;=Data!$M$10), "U12 Girls record"
                       ),""), "")</f>
        <v/>
      </c>
      <c r="M212" s="18" cm="1">
        <f t="array" ref="M212">_xlfn.IFS($G212="",0, AND(NOT(ISNUMBER($G212)),LOWER($G212)&lt;&gt;"dnf"),"Not a valid time",OR(LOWER($G212)="dnf",$G212&gt;ScoringTable!$M$161),1,RIGHT($E212,1)="B",_xlfn.XLOOKUP($G212,ScoringTable!$M$2:$M$161,ScoringTable!$L$2:$L$161,,1),TRUE,_xlfn.XLOOKUP($G212,ScoringTable!$S$2:$S$161,ScoringTable!$R$2:$R$161,,1))</f>
        <v>0</v>
      </c>
    </row>
    <row r="213" spans="1:13" s="7" customFormat="1" ht="16.05" customHeight="1">
      <c r="A213" s="243" t="s">
        <v>85</v>
      </c>
      <c r="B213" s="114" t="str">
        <f>IF(ISNA(VLOOKUP($F213,Declarations!B$6:C$185,2,FALSE)),"",IF(VLOOKUP($F213,Declarations!B$6:C$185,2,FALSE)="","NOT DECLARED",IF(ISNA(_xlfn.TEXTBEFORE(VLOOKUP($F213,Declarations!B$6:C$185,2,FALSE)," ")),VLOOKUP($F213,Declarations!B$6:C$185,2,FALSE),_xlfn.TEXTBEFORE(VLOOKUP($F213,Declarations!B$6:C$185,2,FALSE)," "))))</f>
        <v/>
      </c>
      <c r="C213" s="114" t="str">
        <f>IF(ISNA(VLOOKUP($F213,Declarations!B$6:C$185,2,FALSE)),"",IF(VLOOKUP($F213,Declarations!B$6:C$185,2,FALSE)="","NOT DECLARED",IF(ISNA(_xlfn.TEXTAFTER(VLOOKUP($F213,Declarations!B$6:C$185,2,FALSE)," ")),VLOOKUP($F213,Declarations!B$6:C$185,2,FALSE),_xlfn.TEXTAFTER(VLOOKUP($F213,Declarations!B$6:C$185,2,FALSE)," "))))</f>
        <v/>
      </c>
      <c r="D213" s="114" t="str">
        <f>IF(ISNA(VLOOKUP($F213,Declarations!$B$6:$F$185,5,FALSE)),"",IF(VLOOKUP($F213,Declarations!$B$6:$F$185,5,FALSE)="","NOT DECLARED",VLOOKUP($F213,Declarations!$B$6:$F$185,5,FALSE)))</f>
        <v/>
      </c>
      <c r="E213" s="112" t="str">
        <f>IF(ISNA(VLOOKUP($F213,Declarations!$B$6:$D$185,3,FALSE)),"",IF(VLOOKUP($F213,Declarations!$B$6:$D$185,3,FALSE)="","NOT DECLARED",VLOOKUP($F213,Declarations!$B$6:$D$185,3,FALSE)&amp;LEFT(VLOOKUP($F213,Declarations!$B$6:$E$185,4,FALSE))))</f>
        <v/>
      </c>
      <c r="F213" s="58"/>
      <c r="G213" s="122"/>
      <c r="H213" s="122"/>
      <c r="I213" s="114" t="str">
        <f>IF(ISNA(VLOOKUP(F213,Declarations!B$6:C$185,2,FALSE)),"",IF(VLOOKUP(F213,Declarations!B$6:C$185,2,FALSE)="","NOT DECLARED",VLOOKUP(F213,Declarations!B$6:C$185,2,FALSE)))</f>
        <v/>
      </c>
      <c r="J213" s="112">
        <f>IF(LOWER(G213)="dnf",1,IF(G213&lt;ScoringTable!B$3,ScoringTable!I$2,VLOOKUP((1000-G213),ScoringTable!G$2:I$95,3)))</f>
        <v>0</v>
      </c>
      <c r="K213" s="112" t="str">
        <f>IF(OR(E213="",G213=""),"",IF(RIGHT(E213,1)="G",_xlfn.XLOOKUP(G213,Data!$D$10:$L$10,Data!$D$9:$L$9,"",1,1),_xlfn.XLOOKUP(G213,Data!$D$3:$L$3,Data!$D$2:$L$2,"",1,1)))</f>
        <v/>
      </c>
      <c r="L213" s="160" t="str" cm="1">
        <f t="array" ref="L213">IFERROR(_xlfn.IFNA(
                      _xlfn.IFS(
                      G213="", "",
                      AND(E213="U12B",G213&lt;=Data!$M$3), "U12 Boys record",
                      AND(E213="U12G",G213&lt;=Data!$M$10), "U12 Girls record"
                       ),""), "")</f>
        <v/>
      </c>
      <c r="M213" s="18" cm="1">
        <f t="array" ref="M213">_xlfn.IFS($G213="",0, AND(NOT(ISNUMBER($G213)),LOWER($G213)&lt;&gt;"dnf"),"Not a valid time",OR(LOWER($G213)="dnf",$G213&gt;ScoringTable!$M$161),1,RIGHT($E213,1)="B",_xlfn.XLOOKUP($G213,ScoringTable!$M$2:$M$161,ScoringTable!$L$2:$L$161,,1),TRUE,_xlfn.XLOOKUP($G213,ScoringTable!$S$2:$S$161,ScoringTable!$R$2:$R$161,,1))</f>
        <v>0</v>
      </c>
    </row>
    <row r="214" spans="1:13" s="7" customFormat="1" ht="16.05" customHeight="1">
      <c r="A214" s="243" t="s">
        <v>85</v>
      </c>
      <c r="B214" s="114" t="str">
        <f>IF(ISNA(VLOOKUP($F214,Declarations!B$6:C$185,2,FALSE)),"",IF(VLOOKUP($F214,Declarations!B$6:C$185,2,FALSE)="","NOT DECLARED",IF(ISNA(_xlfn.TEXTBEFORE(VLOOKUP($F214,Declarations!B$6:C$185,2,FALSE)," ")),VLOOKUP($F214,Declarations!B$6:C$185,2,FALSE),_xlfn.TEXTBEFORE(VLOOKUP($F214,Declarations!B$6:C$185,2,FALSE)," "))))</f>
        <v/>
      </c>
      <c r="C214" s="114" t="str">
        <f>IF(ISNA(VLOOKUP($F214,Declarations!B$6:C$185,2,FALSE)),"",IF(VLOOKUP($F214,Declarations!B$6:C$185,2,FALSE)="","NOT DECLARED",IF(ISNA(_xlfn.TEXTAFTER(VLOOKUP($F214,Declarations!B$6:C$185,2,FALSE)," ")),VLOOKUP($F214,Declarations!B$6:C$185,2,FALSE),_xlfn.TEXTAFTER(VLOOKUP($F214,Declarations!B$6:C$185,2,FALSE)," "))))</f>
        <v/>
      </c>
      <c r="D214" s="114" t="str">
        <f>IF(ISNA(VLOOKUP($F214,Declarations!$B$6:$F$185,5,FALSE)),"",IF(VLOOKUP($F214,Declarations!$B$6:$F$185,5,FALSE)="","NOT DECLARED",VLOOKUP($F214,Declarations!$B$6:$F$185,5,FALSE)))</f>
        <v/>
      </c>
      <c r="E214" s="112" t="str">
        <f>IF(ISNA(VLOOKUP($F214,Declarations!$B$6:$D$185,3,FALSE)),"",IF(VLOOKUP($F214,Declarations!$B$6:$D$185,3,FALSE)="","NOT DECLARED",VLOOKUP($F214,Declarations!$B$6:$D$185,3,FALSE)&amp;LEFT(VLOOKUP($F214,Declarations!$B$6:$E$185,4,FALSE))))</f>
        <v/>
      </c>
      <c r="F214" s="58"/>
      <c r="G214" s="122"/>
      <c r="H214" s="122"/>
      <c r="I214" s="114" t="str">
        <f>IF(ISNA(VLOOKUP(F214,Declarations!B$6:C$185,2,FALSE)),"",IF(VLOOKUP(F214,Declarations!B$6:C$185,2,FALSE)="","NOT DECLARED",VLOOKUP(F214,Declarations!B$6:C$185,2,FALSE)))</f>
        <v/>
      </c>
      <c r="J214" s="112">
        <f>IF(LOWER(G214)="dnf",1,IF(G214&lt;ScoringTable!B$3,ScoringTable!I$2,VLOOKUP((1000-G214),ScoringTable!G$2:I$95,3)))</f>
        <v>0</v>
      </c>
      <c r="K214" s="112" t="str">
        <f>IF(OR(E214="",G214=""),"",IF(RIGHT(E214,1)="G",_xlfn.XLOOKUP(G214,Data!$D$10:$L$10,Data!$D$9:$L$9,"",1,1),_xlfn.XLOOKUP(G214,Data!$D$3:$L$3,Data!$D$2:$L$2,"",1,1)))</f>
        <v/>
      </c>
      <c r="L214" s="160" t="str" cm="1">
        <f t="array" ref="L214">IFERROR(_xlfn.IFNA(
                      _xlfn.IFS(
                      G214="", "",
                      AND(E214="U12B",G214&lt;=Data!$M$3), "U12 Boys record",
                      AND(E214="U12G",G214&lt;=Data!$M$10), "U12 Girls record"
                       ),""), "")</f>
        <v/>
      </c>
      <c r="M214" s="18" cm="1">
        <f t="array" ref="M214">_xlfn.IFS($G214="",0, AND(NOT(ISNUMBER($G214)),LOWER($G214)&lt;&gt;"dnf"),"Not a valid time",OR(LOWER($G214)="dnf",$G214&gt;ScoringTable!$M$161),1,RIGHT($E214,1)="B",_xlfn.XLOOKUP($G214,ScoringTable!$M$2:$M$161,ScoringTable!$L$2:$L$161,,1),TRUE,_xlfn.XLOOKUP($G214,ScoringTable!$S$2:$S$161,ScoringTable!$R$2:$R$161,,1))</f>
        <v>0</v>
      </c>
    </row>
    <row r="215" spans="1:13" s="7" customFormat="1" ht="16.05" customHeight="1">
      <c r="A215" s="243" t="s">
        <v>85</v>
      </c>
      <c r="B215" s="114" t="str">
        <f>IF(ISNA(VLOOKUP($F215,Declarations!B$6:C$185,2,FALSE)),"",IF(VLOOKUP($F215,Declarations!B$6:C$185,2,FALSE)="","NOT DECLARED",IF(ISNA(_xlfn.TEXTBEFORE(VLOOKUP($F215,Declarations!B$6:C$185,2,FALSE)," ")),VLOOKUP($F215,Declarations!B$6:C$185,2,FALSE),_xlfn.TEXTBEFORE(VLOOKUP($F215,Declarations!B$6:C$185,2,FALSE)," "))))</f>
        <v/>
      </c>
      <c r="C215" s="114" t="str">
        <f>IF(ISNA(VLOOKUP($F215,Declarations!B$6:C$185,2,FALSE)),"",IF(VLOOKUP($F215,Declarations!B$6:C$185,2,FALSE)="","NOT DECLARED",IF(ISNA(_xlfn.TEXTAFTER(VLOOKUP($F215,Declarations!B$6:C$185,2,FALSE)," ")),VLOOKUP($F215,Declarations!B$6:C$185,2,FALSE),_xlfn.TEXTAFTER(VLOOKUP($F215,Declarations!B$6:C$185,2,FALSE)," "))))</f>
        <v/>
      </c>
      <c r="D215" s="114" t="str">
        <f>IF(ISNA(VLOOKUP($F215,Declarations!$B$6:$F$185,5,FALSE)),"",IF(VLOOKUP($F215,Declarations!$B$6:$F$185,5,FALSE)="","NOT DECLARED",VLOOKUP($F215,Declarations!$B$6:$F$185,5,FALSE)))</f>
        <v/>
      </c>
      <c r="E215" s="112" t="str">
        <f>IF(ISNA(VLOOKUP($F215,Declarations!$B$6:$D$185,3,FALSE)),"",IF(VLOOKUP($F215,Declarations!$B$6:$D$185,3,FALSE)="","NOT DECLARED",VLOOKUP($F215,Declarations!$B$6:$D$185,3,FALSE)&amp;LEFT(VLOOKUP($F215,Declarations!$B$6:$E$185,4,FALSE))))</f>
        <v/>
      </c>
      <c r="F215" s="58"/>
      <c r="G215" s="122"/>
      <c r="H215" s="122"/>
      <c r="I215" s="114" t="str">
        <f>IF(ISNA(VLOOKUP(F215,Declarations!B$6:C$185,2,FALSE)),"",IF(VLOOKUP(F215,Declarations!B$6:C$185,2,FALSE)="","NOT DECLARED",VLOOKUP(F215,Declarations!B$6:C$185,2,FALSE)))</f>
        <v/>
      </c>
      <c r="J215" s="112">
        <f>IF(LOWER(G215)="dnf",1,IF(G215&lt;ScoringTable!B$3,ScoringTable!I$2,VLOOKUP((1000-G215),ScoringTable!G$2:I$95,3)))</f>
        <v>0</v>
      </c>
      <c r="K215" s="112" t="str">
        <f>IF(OR(E215="",G215=""),"",IF(RIGHT(E215,1)="G",_xlfn.XLOOKUP(G215,Data!$D$10:$L$10,Data!$D$9:$L$9,"",1,1),_xlfn.XLOOKUP(G215,Data!$D$3:$L$3,Data!$D$2:$L$2,"",1,1)))</f>
        <v/>
      </c>
      <c r="L215" s="160" t="str" cm="1">
        <f t="array" ref="L215">IFERROR(_xlfn.IFNA(
                      _xlfn.IFS(
                      G215="", "",
                      AND(E215="U12B",G215&lt;=Data!$M$3), "U12 Boys record",
                      AND(E215="U12G",G215&lt;=Data!$M$10), "U12 Girls record"
                       ),""), "")</f>
        <v/>
      </c>
      <c r="M215" s="18" cm="1">
        <f t="array" ref="M215">_xlfn.IFS($G215="",0, AND(NOT(ISNUMBER($G215)),LOWER($G215)&lt;&gt;"dnf"),"Not a valid time",OR(LOWER($G215)="dnf",$G215&gt;ScoringTable!$M$161),1,RIGHT($E215,1)="B",_xlfn.XLOOKUP($G215,ScoringTable!$M$2:$M$161,ScoringTable!$L$2:$L$161,,1),TRUE,_xlfn.XLOOKUP($G215,ScoringTable!$S$2:$S$161,ScoringTable!$R$2:$R$161,,1))</f>
        <v>0</v>
      </c>
    </row>
    <row r="216" spans="1:13" s="7" customFormat="1" ht="16.05" customHeight="1">
      <c r="A216" s="243" t="s">
        <v>85</v>
      </c>
      <c r="B216" s="114" t="str">
        <f>IF(ISNA(VLOOKUP($F216,Declarations!B$6:C$185,2,FALSE)),"",IF(VLOOKUP($F216,Declarations!B$6:C$185,2,FALSE)="","NOT DECLARED",IF(ISNA(_xlfn.TEXTBEFORE(VLOOKUP($F216,Declarations!B$6:C$185,2,FALSE)," ")),VLOOKUP($F216,Declarations!B$6:C$185,2,FALSE),_xlfn.TEXTBEFORE(VLOOKUP($F216,Declarations!B$6:C$185,2,FALSE)," "))))</f>
        <v/>
      </c>
      <c r="C216" s="114" t="str">
        <f>IF(ISNA(VLOOKUP($F216,Declarations!B$6:C$185,2,FALSE)),"",IF(VLOOKUP($F216,Declarations!B$6:C$185,2,FALSE)="","NOT DECLARED",IF(ISNA(_xlfn.TEXTAFTER(VLOOKUP($F216,Declarations!B$6:C$185,2,FALSE)," ")),VLOOKUP($F216,Declarations!B$6:C$185,2,FALSE),_xlfn.TEXTAFTER(VLOOKUP($F216,Declarations!B$6:C$185,2,FALSE)," "))))</f>
        <v/>
      </c>
      <c r="D216" s="114" t="str">
        <f>IF(ISNA(VLOOKUP($F216,Declarations!$B$6:$F$185,5,FALSE)),"",IF(VLOOKUP($F216,Declarations!$B$6:$F$185,5,FALSE)="","NOT DECLARED",VLOOKUP($F216,Declarations!$B$6:$F$185,5,FALSE)))</f>
        <v/>
      </c>
      <c r="E216" s="112" t="str">
        <f>IF(ISNA(VLOOKUP($F216,Declarations!$B$6:$D$185,3,FALSE)),"",IF(VLOOKUP($F216,Declarations!$B$6:$D$185,3,FALSE)="","NOT DECLARED",VLOOKUP($F216,Declarations!$B$6:$D$185,3,FALSE)&amp;LEFT(VLOOKUP($F216,Declarations!$B$6:$E$185,4,FALSE))))</f>
        <v/>
      </c>
      <c r="F216" s="58"/>
      <c r="G216" s="122"/>
      <c r="H216" s="122"/>
      <c r="I216" s="114" t="str">
        <f>IF(ISNA(VLOOKUP(F216,Declarations!B$6:C$185,2,FALSE)),"",IF(VLOOKUP(F216,Declarations!B$6:C$185,2,FALSE)="","NOT DECLARED",VLOOKUP(F216,Declarations!B$6:C$185,2,FALSE)))</f>
        <v/>
      </c>
      <c r="J216" s="112">
        <f>IF(LOWER(G216)="dnf",1,IF(G216&lt;ScoringTable!B$3,ScoringTable!I$2,VLOOKUP((1000-G216),ScoringTable!G$2:I$95,3)))</f>
        <v>0</v>
      </c>
      <c r="K216" s="112" t="str">
        <f>IF(OR(E216="",G216=""),"",IF(RIGHT(E216,1)="G",_xlfn.XLOOKUP(G216,Data!$D$10:$L$10,Data!$D$9:$L$9,"",1,1),_xlfn.XLOOKUP(G216,Data!$D$3:$L$3,Data!$D$2:$L$2,"",1,1)))</f>
        <v/>
      </c>
      <c r="L216" s="160" t="str" cm="1">
        <f t="array" ref="L216">IFERROR(_xlfn.IFNA(
                      _xlfn.IFS(
                      G216="", "",
                      AND(E216="U12B",G216&lt;=Data!$M$3), "U12 Boys record",
                      AND(E216="U12G",G216&lt;=Data!$M$10), "U12 Girls record"
                       ),""), "")</f>
        <v/>
      </c>
      <c r="M216" s="18" cm="1">
        <f t="array" ref="M216">_xlfn.IFS($G216="",0, AND(NOT(ISNUMBER($G216)),LOWER($G216)&lt;&gt;"dnf"),"Not a valid time",OR(LOWER($G216)="dnf",$G216&gt;ScoringTable!$M$161),1,RIGHT($E216,1)="B",_xlfn.XLOOKUP($G216,ScoringTable!$M$2:$M$161,ScoringTable!$L$2:$L$161,,1),TRUE,_xlfn.XLOOKUP($G216,ScoringTable!$S$2:$S$161,ScoringTable!$R$2:$R$161,,1))</f>
        <v>0</v>
      </c>
    </row>
    <row r="217" spans="1:13" s="7" customFormat="1" ht="16.05" customHeight="1">
      <c r="A217" s="243" t="s">
        <v>85</v>
      </c>
      <c r="B217" s="114" t="str">
        <f>IF(ISNA(VLOOKUP($F217,Declarations!B$6:C$185,2,FALSE)),"",IF(VLOOKUP($F217,Declarations!B$6:C$185,2,FALSE)="","NOT DECLARED",IF(ISNA(_xlfn.TEXTBEFORE(VLOOKUP($F217,Declarations!B$6:C$185,2,FALSE)," ")),VLOOKUP($F217,Declarations!B$6:C$185,2,FALSE),_xlfn.TEXTBEFORE(VLOOKUP($F217,Declarations!B$6:C$185,2,FALSE)," "))))</f>
        <v/>
      </c>
      <c r="C217" s="114" t="str">
        <f>IF(ISNA(VLOOKUP($F217,Declarations!B$6:C$185,2,FALSE)),"",IF(VLOOKUP($F217,Declarations!B$6:C$185,2,FALSE)="","NOT DECLARED",IF(ISNA(_xlfn.TEXTAFTER(VLOOKUP($F217,Declarations!B$6:C$185,2,FALSE)," ")),VLOOKUP($F217,Declarations!B$6:C$185,2,FALSE),_xlfn.TEXTAFTER(VLOOKUP($F217,Declarations!B$6:C$185,2,FALSE)," "))))</f>
        <v/>
      </c>
      <c r="D217" s="114" t="str">
        <f>IF(ISNA(VLOOKUP($F217,Declarations!$B$6:$F$185,5,FALSE)),"",IF(VLOOKUP($F217,Declarations!$B$6:$F$185,5,FALSE)="","NOT DECLARED",VLOOKUP($F217,Declarations!$B$6:$F$185,5,FALSE)))</f>
        <v/>
      </c>
      <c r="E217" s="112" t="str">
        <f>IF(ISNA(VLOOKUP($F217,Declarations!$B$6:$D$185,3,FALSE)),"",IF(VLOOKUP($F217,Declarations!$B$6:$D$185,3,FALSE)="","NOT DECLARED",VLOOKUP($F217,Declarations!$B$6:$D$185,3,FALSE)&amp;LEFT(VLOOKUP($F217,Declarations!$B$6:$E$185,4,FALSE))))</f>
        <v/>
      </c>
      <c r="F217" s="58"/>
      <c r="G217" s="122"/>
      <c r="H217" s="122"/>
      <c r="I217" s="114" t="str">
        <f>IF(ISNA(VLOOKUP(F217,Declarations!B$6:C$185,2,FALSE)),"",IF(VLOOKUP(F217,Declarations!B$6:C$185,2,FALSE)="","NOT DECLARED",VLOOKUP(F217,Declarations!B$6:C$185,2,FALSE)))</f>
        <v/>
      </c>
      <c r="J217" s="112">
        <f>IF(LOWER(G217)="dnf",1,IF(G217&lt;ScoringTable!B$3,ScoringTable!I$2,VLOOKUP((1000-G217),ScoringTable!G$2:I$95,3)))</f>
        <v>0</v>
      </c>
      <c r="K217" s="112" t="str">
        <f>IF(OR(E217="",G217=""),"",IF(RIGHT(E217,1)="G",_xlfn.XLOOKUP(G217,Data!$D$10:$L$10,Data!$D$9:$L$9,"",1,1),_xlfn.XLOOKUP(G217,Data!$D$3:$L$3,Data!$D$2:$L$2,"",1,1)))</f>
        <v/>
      </c>
      <c r="L217" s="160" t="str" cm="1">
        <f t="array" ref="L217">IFERROR(_xlfn.IFNA(
                      _xlfn.IFS(
                      G217="", "",
                      AND(E217="U12B",G217&lt;=Data!$M$3), "U12 Boys record",
                      AND(E217="U12G",G217&lt;=Data!$M$10), "U12 Girls record"
                       ),""), "")</f>
        <v/>
      </c>
      <c r="M217" s="18" cm="1">
        <f t="array" ref="M217">_xlfn.IFS($G217="",0, AND(NOT(ISNUMBER($G217)),LOWER($G217)&lt;&gt;"dnf"),"Not a valid time",OR(LOWER($G217)="dnf",$G217&gt;ScoringTable!$M$161),1,RIGHT($E217,1)="B",_xlfn.XLOOKUP($G217,ScoringTable!$M$2:$M$161,ScoringTable!$L$2:$L$161,,1),TRUE,_xlfn.XLOOKUP($G217,ScoringTable!$S$2:$S$161,ScoringTable!$R$2:$R$161,,1))</f>
        <v>0</v>
      </c>
    </row>
    <row r="218" spans="1:13" s="7" customFormat="1" ht="16.05" customHeight="1">
      <c r="A218" s="243" t="s">
        <v>85</v>
      </c>
      <c r="B218" s="114" t="str">
        <f>IF(ISNA(VLOOKUP($F218,Declarations!B$6:C$185,2,FALSE)),"",IF(VLOOKUP($F218,Declarations!B$6:C$185,2,FALSE)="","NOT DECLARED",IF(ISNA(_xlfn.TEXTBEFORE(VLOOKUP($F218,Declarations!B$6:C$185,2,FALSE)," ")),VLOOKUP($F218,Declarations!B$6:C$185,2,FALSE),_xlfn.TEXTBEFORE(VLOOKUP($F218,Declarations!B$6:C$185,2,FALSE)," "))))</f>
        <v/>
      </c>
      <c r="C218" s="114" t="str">
        <f>IF(ISNA(VLOOKUP($F218,Declarations!B$6:C$185,2,FALSE)),"",IF(VLOOKUP($F218,Declarations!B$6:C$185,2,FALSE)="","NOT DECLARED",IF(ISNA(_xlfn.TEXTAFTER(VLOOKUP($F218,Declarations!B$6:C$185,2,FALSE)," ")),VLOOKUP($F218,Declarations!B$6:C$185,2,FALSE),_xlfn.TEXTAFTER(VLOOKUP($F218,Declarations!B$6:C$185,2,FALSE)," "))))</f>
        <v/>
      </c>
      <c r="D218" s="114" t="str">
        <f>IF(ISNA(VLOOKUP($F218,Declarations!$B$6:$F$185,5,FALSE)),"",IF(VLOOKUP($F218,Declarations!$B$6:$F$185,5,FALSE)="","NOT DECLARED",VLOOKUP($F218,Declarations!$B$6:$F$185,5,FALSE)))</f>
        <v/>
      </c>
      <c r="E218" s="112" t="str">
        <f>IF(ISNA(VLOOKUP($F218,Declarations!$B$6:$D$185,3,FALSE)),"",IF(VLOOKUP($F218,Declarations!$B$6:$D$185,3,FALSE)="","NOT DECLARED",VLOOKUP($F218,Declarations!$B$6:$D$185,3,FALSE)&amp;LEFT(VLOOKUP($F218,Declarations!$B$6:$E$185,4,FALSE))))</f>
        <v/>
      </c>
      <c r="F218" s="58"/>
      <c r="G218" s="122"/>
      <c r="H218" s="122"/>
      <c r="I218" s="114" t="str">
        <f>IF(ISNA(VLOOKUP(F218,Declarations!B$6:C$185,2,FALSE)),"",IF(VLOOKUP(F218,Declarations!B$6:C$185,2,FALSE)="","NOT DECLARED",VLOOKUP(F218,Declarations!B$6:C$185,2,FALSE)))</f>
        <v/>
      </c>
      <c r="J218" s="112">
        <f>IF(LOWER(G218)="dnf",1,IF(G218&lt;ScoringTable!B$3,ScoringTable!I$2,VLOOKUP((1000-G218),ScoringTable!G$2:I$95,3)))</f>
        <v>0</v>
      </c>
      <c r="K218" s="112" t="str">
        <f>IF(OR(E218="",G218=""),"",IF(RIGHT(E218,1)="G",_xlfn.XLOOKUP(G218,Data!$D$10:$L$10,Data!$D$9:$L$9,"",1,1),_xlfn.XLOOKUP(G218,Data!$D$3:$L$3,Data!$D$2:$L$2,"",1,1)))</f>
        <v/>
      </c>
      <c r="L218" s="160" t="str" cm="1">
        <f t="array" ref="L218">IFERROR(_xlfn.IFNA(
                      _xlfn.IFS(
                      G218="", "",
                      AND(E218="U12B",G218&lt;=Data!$M$3), "U12 Boys record",
                      AND(E218="U12G",G218&lt;=Data!$M$10), "U12 Girls record"
                       ),""), "")</f>
        <v/>
      </c>
      <c r="M218" s="18" cm="1">
        <f t="array" ref="M218">_xlfn.IFS($G218="",0, AND(NOT(ISNUMBER($G218)),LOWER($G218)&lt;&gt;"dnf"),"Not a valid time",OR(LOWER($G218)="dnf",$G218&gt;ScoringTable!$M$161),1,RIGHT($E218,1)="B",_xlfn.XLOOKUP($G218,ScoringTable!$M$2:$M$161,ScoringTable!$L$2:$L$161,,1),TRUE,_xlfn.XLOOKUP($G218,ScoringTable!$S$2:$S$161,ScoringTable!$R$2:$R$161,,1))</f>
        <v>0</v>
      </c>
    </row>
    <row r="219" spans="1:13" s="7" customFormat="1" ht="16.05" customHeight="1">
      <c r="A219" s="243" t="s">
        <v>85</v>
      </c>
      <c r="B219" s="114" t="str">
        <f>IF(ISNA(VLOOKUP($F219,Declarations!B$6:C$185,2,FALSE)),"",IF(VLOOKUP($F219,Declarations!B$6:C$185,2,FALSE)="","NOT DECLARED",IF(ISNA(_xlfn.TEXTBEFORE(VLOOKUP($F219,Declarations!B$6:C$185,2,FALSE)," ")),VLOOKUP($F219,Declarations!B$6:C$185,2,FALSE),_xlfn.TEXTBEFORE(VLOOKUP($F219,Declarations!B$6:C$185,2,FALSE)," "))))</f>
        <v/>
      </c>
      <c r="C219" s="114" t="str">
        <f>IF(ISNA(VLOOKUP($F219,Declarations!B$6:C$185,2,FALSE)),"",IF(VLOOKUP($F219,Declarations!B$6:C$185,2,FALSE)="","NOT DECLARED",IF(ISNA(_xlfn.TEXTAFTER(VLOOKUP($F219,Declarations!B$6:C$185,2,FALSE)," ")),VLOOKUP($F219,Declarations!B$6:C$185,2,FALSE),_xlfn.TEXTAFTER(VLOOKUP($F219,Declarations!B$6:C$185,2,FALSE)," "))))</f>
        <v/>
      </c>
      <c r="D219" s="114" t="str">
        <f>IF(ISNA(VLOOKUP($F219,Declarations!$B$6:$F$185,5,FALSE)),"",IF(VLOOKUP($F219,Declarations!$B$6:$F$185,5,FALSE)="","NOT DECLARED",VLOOKUP($F219,Declarations!$B$6:$F$185,5,FALSE)))</f>
        <v/>
      </c>
      <c r="E219" s="112" t="str">
        <f>IF(ISNA(VLOOKUP($F219,Declarations!$B$6:$D$185,3,FALSE)),"",IF(VLOOKUP($F219,Declarations!$B$6:$D$185,3,FALSE)="","NOT DECLARED",VLOOKUP($F219,Declarations!$B$6:$D$185,3,FALSE)&amp;LEFT(VLOOKUP($F219,Declarations!$B$6:$E$185,4,FALSE))))</f>
        <v/>
      </c>
      <c r="F219" s="58"/>
      <c r="G219" s="122"/>
      <c r="H219" s="122"/>
      <c r="I219" s="114" t="str">
        <f>IF(ISNA(VLOOKUP(F219,Declarations!B$6:C$185,2,FALSE)),"",IF(VLOOKUP(F219,Declarations!B$6:C$185,2,FALSE)="","NOT DECLARED",VLOOKUP(F219,Declarations!B$6:C$185,2,FALSE)))</f>
        <v/>
      </c>
      <c r="J219" s="112">
        <f>IF(LOWER(G219)="dnf",1,IF(G219&lt;ScoringTable!B$3,ScoringTable!I$2,VLOOKUP((1000-G219),ScoringTable!G$2:I$95,3)))</f>
        <v>0</v>
      </c>
      <c r="K219" s="112" t="str">
        <f>IF(OR(E219="",G219=""),"",IF(RIGHT(E219,1)="G",_xlfn.XLOOKUP(G219,Data!$D$10:$L$10,Data!$D$9:$L$9,"",1,1),_xlfn.XLOOKUP(G219,Data!$D$3:$L$3,Data!$D$2:$L$2,"",1,1)))</f>
        <v/>
      </c>
      <c r="L219" s="160" t="str" cm="1">
        <f t="array" ref="L219">IFERROR(_xlfn.IFNA(
                      _xlfn.IFS(
                      G219="", "",
                      AND(E219="U12B",G219&lt;=Data!$M$3), "U12 Boys record",
                      AND(E219="U12G",G219&lt;=Data!$M$10), "U12 Girls record"
                       ),""), "")</f>
        <v/>
      </c>
      <c r="M219" s="18" cm="1">
        <f t="array" ref="M219">_xlfn.IFS($G219="",0, AND(NOT(ISNUMBER($G219)),LOWER($G219)&lt;&gt;"dnf"),"Not a valid time",OR(LOWER($G219)="dnf",$G219&gt;ScoringTable!$M$161),1,RIGHT($E219,1)="B",_xlfn.XLOOKUP($G219,ScoringTable!$M$2:$M$161,ScoringTable!$L$2:$L$161,,1),TRUE,_xlfn.XLOOKUP($G219,ScoringTable!$S$2:$S$161,ScoringTable!$R$2:$R$161,,1))</f>
        <v>0</v>
      </c>
    </row>
    <row r="220" spans="1:13" s="7" customFormat="1" ht="16.05" customHeight="1">
      <c r="A220" s="243" t="s">
        <v>85</v>
      </c>
      <c r="B220" s="114" t="str">
        <f>IF(ISNA(VLOOKUP($F220,Declarations!B$6:C$185,2,FALSE)),"",IF(VLOOKUP($F220,Declarations!B$6:C$185,2,FALSE)="","NOT DECLARED",IF(ISNA(_xlfn.TEXTBEFORE(VLOOKUP($F220,Declarations!B$6:C$185,2,FALSE)," ")),VLOOKUP($F220,Declarations!B$6:C$185,2,FALSE),_xlfn.TEXTBEFORE(VLOOKUP($F220,Declarations!B$6:C$185,2,FALSE)," "))))</f>
        <v/>
      </c>
      <c r="C220" s="114" t="str">
        <f>IF(ISNA(VLOOKUP($F220,Declarations!B$6:C$185,2,FALSE)),"",IF(VLOOKUP($F220,Declarations!B$6:C$185,2,FALSE)="","NOT DECLARED",IF(ISNA(_xlfn.TEXTAFTER(VLOOKUP($F220,Declarations!B$6:C$185,2,FALSE)," ")),VLOOKUP($F220,Declarations!B$6:C$185,2,FALSE),_xlfn.TEXTAFTER(VLOOKUP($F220,Declarations!B$6:C$185,2,FALSE)," "))))</f>
        <v/>
      </c>
      <c r="D220" s="114" t="str">
        <f>IF(ISNA(VLOOKUP($F220,Declarations!$B$6:$F$185,5,FALSE)),"",IF(VLOOKUP($F220,Declarations!$B$6:$F$185,5,FALSE)="","NOT DECLARED",VLOOKUP($F220,Declarations!$B$6:$F$185,5,FALSE)))</f>
        <v/>
      </c>
      <c r="E220" s="112" t="str">
        <f>IF(ISNA(VLOOKUP($F220,Declarations!$B$6:$D$185,3,FALSE)),"",IF(VLOOKUP($F220,Declarations!$B$6:$D$185,3,FALSE)="","NOT DECLARED",VLOOKUP($F220,Declarations!$B$6:$D$185,3,FALSE)&amp;LEFT(VLOOKUP($F220,Declarations!$B$6:$E$185,4,FALSE))))</f>
        <v/>
      </c>
      <c r="F220" s="58"/>
      <c r="G220" s="122"/>
      <c r="H220" s="122"/>
      <c r="I220" s="114" t="str">
        <f>IF(ISNA(VLOOKUP(F220,Declarations!B$6:C$185,2,FALSE)),"",IF(VLOOKUP(F220,Declarations!B$6:C$185,2,FALSE)="","NOT DECLARED",VLOOKUP(F220,Declarations!B$6:C$185,2,FALSE)))</f>
        <v/>
      </c>
      <c r="J220" s="112">
        <f>IF(LOWER(G220)="dnf",1,IF(G220&lt;ScoringTable!B$3,ScoringTable!I$2,VLOOKUP((1000-G220),ScoringTable!G$2:I$95,3)))</f>
        <v>0</v>
      </c>
      <c r="K220" s="112" t="str">
        <f>IF(OR(E220="",G220=""),"",IF(RIGHT(E220,1)="G",_xlfn.XLOOKUP(G220,Data!$D$10:$L$10,Data!$D$9:$L$9,"",1,1),_xlfn.XLOOKUP(G220,Data!$D$3:$L$3,Data!$D$2:$L$2,"",1,1)))</f>
        <v/>
      </c>
      <c r="L220" s="160" t="str" cm="1">
        <f t="array" ref="L220">IFERROR(_xlfn.IFNA(
                      _xlfn.IFS(
                      G220="", "",
                      AND(E220="U12B",G220&lt;=Data!$M$3), "U12 Boys record",
                      AND(E220="U12G",G220&lt;=Data!$M$10), "U12 Girls record"
                       ),""), "")</f>
        <v/>
      </c>
      <c r="M220" s="18" cm="1">
        <f t="array" ref="M220">_xlfn.IFS($G220="",0, AND(NOT(ISNUMBER($G220)),LOWER($G220)&lt;&gt;"dnf"),"Not a valid time",OR(LOWER($G220)="dnf",$G220&gt;ScoringTable!$M$161),1,RIGHT($E220,1)="B",_xlfn.XLOOKUP($G220,ScoringTable!$M$2:$M$161,ScoringTable!$L$2:$L$161,,1),TRUE,_xlfn.XLOOKUP($G220,ScoringTable!$S$2:$S$161,ScoringTable!$R$2:$R$161,,1))</f>
        <v>0</v>
      </c>
    </row>
    <row r="221" spans="1:13" s="7" customFormat="1" ht="16.05" customHeight="1">
      <c r="A221" s="243" t="s">
        <v>85</v>
      </c>
      <c r="B221" s="114" t="str">
        <f>IF(ISNA(VLOOKUP($F221,Declarations!B$6:C$185,2,FALSE)),"",IF(VLOOKUP($F221,Declarations!B$6:C$185,2,FALSE)="","NOT DECLARED",IF(ISNA(_xlfn.TEXTBEFORE(VLOOKUP($F221,Declarations!B$6:C$185,2,FALSE)," ")),VLOOKUP($F221,Declarations!B$6:C$185,2,FALSE),_xlfn.TEXTBEFORE(VLOOKUP($F221,Declarations!B$6:C$185,2,FALSE)," "))))</f>
        <v/>
      </c>
      <c r="C221" s="114" t="str">
        <f>IF(ISNA(VLOOKUP($F221,Declarations!B$6:C$185,2,FALSE)),"",IF(VLOOKUP($F221,Declarations!B$6:C$185,2,FALSE)="","NOT DECLARED",IF(ISNA(_xlfn.TEXTAFTER(VLOOKUP($F221,Declarations!B$6:C$185,2,FALSE)," ")),VLOOKUP($F221,Declarations!B$6:C$185,2,FALSE),_xlfn.TEXTAFTER(VLOOKUP($F221,Declarations!B$6:C$185,2,FALSE)," "))))</f>
        <v/>
      </c>
      <c r="D221" s="114" t="str">
        <f>IF(ISNA(VLOOKUP($F221,Declarations!$B$6:$F$185,5,FALSE)),"",IF(VLOOKUP($F221,Declarations!$B$6:$F$185,5,FALSE)="","NOT DECLARED",VLOOKUP($F221,Declarations!$B$6:$F$185,5,FALSE)))</f>
        <v/>
      </c>
      <c r="E221" s="112" t="str">
        <f>IF(ISNA(VLOOKUP($F221,Declarations!$B$6:$D$185,3,FALSE)),"",IF(VLOOKUP($F221,Declarations!$B$6:$D$185,3,FALSE)="","NOT DECLARED",VLOOKUP($F221,Declarations!$B$6:$D$185,3,FALSE)&amp;LEFT(VLOOKUP($F221,Declarations!$B$6:$E$185,4,FALSE))))</f>
        <v/>
      </c>
      <c r="F221" s="58"/>
      <c r="G221" s="122"/>
      <c r="H221" s="122"/>
      <c r="I221" s="114" t="str">
        <f>IF(ISNA(VLOOKUP(F221,Declarations!B$6:C$185,2,FALSE)),"",IF(VLOOKUP(F221,Declarations!B$6:C$185,2,FALSE)="","NOT DECLARED",VLOOKUP(F221,Declarations!B$6:C$185,2,FALSE)))</f>
        <v/>
      </c>
      <c r="J221" s="112">
        <f>IF(LOWER(G221)="dnf",1,IF(G221&lt;ScoringTable!B$3,ScoringTable!I$2,VLOOKUP((1000-G221),ScoringTable!G$2:I$95,3)))</f>
        <v>0</v>
      </c>
      <c r="K221" s="112" t="str">
        <f>IF(OR(E221="",G221=""),"",IF(RIGHT(E221,1)="G",_xlfn.XLOOKUP(G221,Data!$D$10:$L$10,Data!$D$9:$L$9,"",1,1),_xlfn.XLOOKUP(G221,Data!$D$3:$L$3,Data!$D$2:$L$2,"",1,1)))</f>
        <v/>
      </c>
      <c r="L221" s="160" t="str" cm="1">
        <f t="array" ref="L221">IFERROR(_xlfn.IFNA(
                      _xlfn.IFS(
                      G221="", "",
                      AND(E221="U12B",G221&lt;=Data!$M$3), "U12 Boys record",
                      AND(E221="U12G",G221&lt;=Data!$M$10), "U12 Girls record"
                       ),""), "")</f>
        <v/>
      </c>
      <c r="M221" s="18" cm="1">
        <f t="array" ref="M221">_xlfn.IFS($G221="",0, AND(NOT(ISNUMBER($G221)),LOWER($G221)&lt;&gt;"dnf"),"Not a valid time",OR(LOWER($G221)="dnf",$G221&gt;ScoringTable!$M$161),1,RIGHT($E221,1)="B",_xlfn.XLOOKUP($G221,ScoringTable!$M$2:$M$161,ScoringTable!$L$2:$L$161,,1),TRUE,_xlfn.XLOOKUP($G221,ScoringTable!$S$2:$S$161,ScoringTable!$R$2:$R$161,,1))</f>
        <v>0</v>
      </c>
    </row>
    <row r="222" spans="1:13" s="7" customFormat="1" ht="16.05" customHeight="1">
      <c r="A222" s="243" t="s">
        <v>85</v>
      </c>
      <c r="B222" s="114" t="str">
        <f>IF(ISNA(VLOOKUP($F222,Declarations!B$6:C$185,2,FALSE)),"",IF(VLOOKUP($F222,Declarations!B$6:C$185,2,FALSE)="","NOT DECLARED",IF(ISNA(_xlfn.TEXTBEFORE(VLOOKUP($F222,Declarations!B$6:C$185,2,FALSE)," ")),VLOOKUP($F222,Declarations!B$6:C$185,2,FALSE),_xlfn.TEXTBEFORE(VLOOKUP($F222,Declarations!B$6:C$185,2,FALSE)," "))))</f>
        <v/>
      </c>
      <c r="C222" s="114" t="str">
        <f>IF(ISNA(VLOOKUP($F222,Declarations!B$6:C$185,2,FALSE)),"",IF(VLOOKUP($F222,Declarations!B$6:C$185,2,FALSE)="","NOT DECLARED",IF(ISNA(_xlfn.TEXTAFTER(VLOOKUP($F222,Declarations!B$6:C$185,2,FALSE)," ")),VLOOKUP($F222,Declarations!B$6:C$185,2,FALSE),_xlfn.TEXTAFTER(VLOOKUP($F222,Declarations!B$6:C$185,2,FALSE)," "))))</f>
        <v/>
      </c>
      <c r="D222" s="114" t="str">
        <f>IF(ISNA(VLOOKUP($F222,Declarations!$B$6:$F$185,5,FALSE)),"",IF(VLOOKUP($F222,Declarations!$B$6:$F$185,5,FALSE)="","NOT DECLARED",VLOOKUP($F222,Declarations!$B$6:$F$185,5,FALSE)))</f>
        <v/>
      </c>
      <c r="E222" s="112" t="str">
        <f>IF(ISNA(VLOOKUP($F222,Declarations!$B$6:$D$185,3,FALSE)),"",IF(VLOOKUP($F222,Declarations!$B$6:$D$185,3,FALSE)="","NOT DECLARED",VLOOKUP($F222,Declarations!$B$6:$D$185,3,FALSE)&amp;LEFT(VLOOKUP($F222,Declarations!$B$6:$E$185,4,FALSE))))</f>
        <v/>
      </c>
      <c r="F222" s="58"/>
      <c r="G222" s="122"/>
      <c r="H222" s="122"/>
      <c r="I222" s="114" t="str">
        <f>IF(ISNA(VLOOKUP(F222,Declarations!B$6:C$185,2,FALSE)),"",IF(VLOOKUP(F222,Declarations!B$6:C$185,2,FALSE)="","NOT DECLARED",VLOOKUP(F222,Declarations!B$6:C$185,2,FALSE)))</f>
        <v/>
      </c>
      <c r="J222" s="112">
        <f>IF(LOWER(G222)="dnf",1,IF(G222&lt;ScoringTable!B$3,ScoringTable!I$2,VLOOKUP((1000-G222),ScoringTable!G$2:I$95,3)))</f>
        <v>0</v>
      </c>
      <c r="K222" s="112" t="str">
        <f>IF(OR(E222="",G222=""),"",IF(RIGHT(E222,1)="G",_xlfn.XLOOKUP(G222,Data!$D$10:$L$10,Data!$D$9:$L$9,"",1,1),_xlfn.XLOOKUP(G222,Data!$D$3:$L$3,Data!$D$2:$L$2,"",1,1)))</f>
        <v/>
      </c>
      <c r="L222" s="160" t="str" cm="1">
        <f t="array" ref="L222">IFERROR(_xlfn.IFNA(
                      _xlfn.IFS(
                      G222="", "",
                      AND(E222="U12B",G222&lt;=Data!$M$3), "U12 Boys record",
                      AND(E222="U12G",G222&lt;=Data!$M$10), "U12 Girls record"
                       ),""), "")</f>
        <v/>
      </c>
      <c r="M222" s="18" cm="1">
        <f t="array" ref="M222">_xlfn.IFS($G222="",0, AND(NOT(ISNUMBER($G222)),LOWER($G222)&lt;&gt;"dnf"),"Not a valid time",OR(LOWER($G222)="dnf",$G222&gt;ScoringTable!$M$161),1,RIGHT($E222,1)="B",_xlfn.XLOOKUP($G222,ScoringTable!$M$2:$M$161,ScoringTable!$L$2:$L$161,,1),TRUE,_xlfn.XLOOKUP($G222,ScoringTable!$S$2:$S$161,ScoringTable!$R$2:$R$161,,1))</f>
        <v>0</v>
      </c>
    </row>
    <row r="223" spans="1:13" s="7" customFormat="1" ht="16.05" customHeight="1">
      <c r="A223" s="243" t="s">
        <v>85</v>
      </c>
      <c r="B223" s="114" t="str">
        <f>IF(ISNA(VLOOKUP($F223,Declarations!B$6:C$185,2,FALSE)),"",IF(VLOOKUP($F223,Declarations!B$6:C$185,2,FALSE)="","NOT DECLARED",IF(ISNA(_xlfn.TEXTBEFORE(VLOOKUP($F223,Declarations!B$6:C$185,2,FALSE)," ")),VLOOKUP($F223,Declarations!B$6:C$185,2,FALSE),_xlfn.TEXTBEFORE(VLOOKUP($F223,Declarations!B$6:C$185,2,FALSE)," "))))</f>
        <v/>
      </c>
      <c r="C223" s="114" t="str">
        <f>IF(ISNA(VLOOKUP($F223,Declarations!B$6:C$185,2,FALSE)),"",IF(VLOOKUP($F223,Declarations!B$6:C$185,2,FALSE)="","NOT DECLARED",IF(ISNA(_xlfn.TEXTAFTER(VLOOKUP($F223,Declarations!B$6:C$185,2,FALSE)," ")),VLOOKUP($F223,Declarations!B$6:C$185,2,FALSE),_xlfn.TEXTAFTER(VLOOKUP($F223,Declarations!B$6:C$185,2,FALSE)," "))))</f>
        <v/>
      </c>
      <c r="D223" s="114" t="str">
        <f>IF(ISNA(VLOOKUP($F223,Declarations!$B$6:$F$185,5,FALSE)),"",IF(VLOOKUP($F223,Declarations!$B$6:$F$185,5,FALSE)="","NOT DECLARED",VLOOKUP($F223,Declarations!$B$6:$F$185,5,FALSE)))</f>
        <v/>
      </c>
      <c r="E223" s="112" t="str">
        <f>IF(ISNA(VLOOKUP($F223,Declarations!$B$6:$D$185,3,FALSE)),"",IF(VLOOKUP($F223,Declarations!$B$6:$D$185,3,FALSE)="","NOT DECLARED",VLOOKUP($F223,Declarations!$B$6:$D$185,3,FALSE)&amp;LEFT(VLOOKUP($F223,Declarations!$B$6:$E$185,4,FALSE))))</f>
        <v/>
      </c>
      <c r="F223" s="58"/>
      <c r="G223" s="122"/>
      <c r="H223" s="122"/>
      <c r="I223" s="114" t="str">
        <f>IF(ISNA(VLOOKUP(F223,Declarations!B$6:C$185,2,FALSE)),"",IF(VLOOKUP(F223,Declarations!B$6:C$185,2,FALSE)="","NOT DECLARED",VLOOKUP(F223,Declarations!B$6:C$185,2,FALSE)))</f>
        <v/>
      </c>
      <c r="J223" s="112">
        <f>IF(LOWER(G223)="dnf",1,IF(G223&lt;ScoringTable!B$3,ScoringTable!I$2,VLOOKUP((1000-G223),ScoringTable!G$2:I$95,3)))</f>
        <v>0</v>
      </c>
      <c r="K223" s="112" t="str">
        <f>IF(OR(E223="",G223=""),"",IF(RIGHT(E223,1)="G",_xlfn.XLOOKUP(G223,Data!$D$10:$L$10,Data!$D$9:$L$9,"",1,1),_xlfn.XLOOKUP(G223,Data!$D$3:$L$3,Data!$D$2:$L$2,"",1,1)))</f>
        <v/>
      </c>
      <c r="L223" s="160" t="str" cm="1">
        <f t="array" ref="L223">IFERROR(_xlfn.IFNA(
                      _xlfn.IFS(
                      G223="", "",
                      AND(E223="U12B",G223&lt;=Data!$M$3), "U12 Boys record",
                      AND(E223="U12G",G223&lt;=Data!$M$10), "U12 Girls record"
                       ),""), "")</f>
        <v/>
      </c>
      <c r="M223" s="18" cm="1">
        <f t="array" ref="M223">_xlfn.IFS($G223="",0, AND(NOT(ISNUMBER($G223)),LOWER($G223)&lt;&gt;"dnf"),"Not a valid time",OR(LOWER($G223)="dnf",$G223&gt;ScoringTable!$M$161),1,RIGHT($E223,1)="B",_xlfn.XLOOKUP($G223,ScoringTable!$M$2:$M$161,ScoringTable!$L$2:$L$161,,1),TRUE,_xlfn.XLOOKUP($G223,ScoringTable!$S$2:$S$161,ScoringTable!$R$2:$R$161,,1))</f>
        <v>0</v>
      </c>
    </row>
    <row r="224" spans="1:13" s="7" customFormat="1" ht="16.05" customHeight="1">
      <c r="A224" s="243" t="s">
        <v>85</v>
      </c>
      <c r="B224" s="114" t="str">
        <f>IF(ISNA(VLOOKUP($F224,Declarations!B$6:C$185,2,FALSE)),"",IF(VLOOKUP($F224,Declarations!B$6:C$185,2,FALSE)="","NOT DECLARED",IF(ISNA(_xlfn.TEXTBEFORE(VLOOKUP($F224,Declarations!B$6:C$185,2,FALSE)," ")),VLOOKUP($F224,Declarations!B$6:C$185,2,FALSE),_xlfn.TEXTBEFORE(VLOOKUP($F224,Declarations!B$6:C$185,2,FALSE)," "))))</f>
        <v/>
      </c>
      <c r="C224" s="114" t="str">
        <f>IF(ISNA(VLOOKUP($F224,Declarations!B$6:C$185,2,FALSE)),"",IF(VLOOKUP($F224,Declarations!B$6:C$185,2,FALSE)="","NOT DECLARED",IF(ISNA(_xlfn.TEXTAFTER(VLOOKUP($F224,Declarations!B$6:C$185,2,FALSE)," ")),VLOOKUP($F224,Declarations!B$6:C$185,2,FALSE),_xlfn.TEXTAFTER(VLOOKUP($F224,Declarations!B$6:C$185,2,FALSE)," "))))</f>
        <v/>
      </c>
      <c r="D224" s="114" t="str">
        <f>IF(ISNA(VLOOKUP($F224,Declarations!$B$6:$F$185,5,FALSE)),"",IF(VLOOKUP($F224,Declarations!$B$6:$F$185,5,FALSE)="","NOT DECLARED",VLOOKUP($F224,Declarations!$B$6:$F$185,5,FALSE)))</f>
        <v/>
      </c>
      <c r="E224" s="112" t="str">
        <f>IF(ISNA(VLOOKUP($F224,Declarations!$B$6:$D$185,3,FALSE)),"",IF(VLOOKUP($F224,Declarations!$B$6:$D$185,3,FALSE)="","NOT DECLARED",VLOOKUP($F224,Declarations!$B$6:$D$185,3,FALSE)&amp;LEFT(VLOOKUP($F224,Declarations!$B$6:$E$185,4,FALSE))))</f>
        <v/>
      </c>
      <c r="F224" s="58"/>
      <c r="G224" s="122"/>
      <c r="H224" s="122"/>
      <c r="I224" s="114" t="str">
        <f>IF(ISNA(VLOOKUP(F224,Declarations!B$6:C$185,2,FALSE)),"",IF(VLOOKUP(F224,Declarations!B$6:C$185,2,FALSE)="","NOT DECLARED",VLOOKUP(F224,Declarations!B$6:C$185,2,FALSE)))</f>
        <v/>
      </c>
      <c r="J224" s="112">
        <f>IF(LOWER(G224)="dnf",1,IF(G224&lt;ScoringTable!B$3,ScoringTable!I$2,VLOOKUP((1000-G224),ScoringTable!G$2:I$95,3)))</f>
        <v>0</v>
      </c>
      <c r="K224" s="112" t="str">
        <f>IF(OR(E224="",G224=""),"",IF(RIGHT(E224,1)="G",_xlfn.XLOOKUP(G224,Data!$D$10:$L$10,Data!$D$9:$L$9,"",1,1),_xlfn.XLOOKUP(G224,Data!$D$3:$L$3,Data!$D$2:$L$2,"",1,1)))</f>
        <v/>
      </c>
      <c r="L224" s="160" t="str" cm="1">
        <f t="array" ref="L224">IFERROR(_xlfn.IFNA(
                      _xlfn.IFS(
                      G224="", "",
                      AND(E224="U12B",G224&lt;=Data!$M$3), "U12 Boys record",
                      AND(E224="U12G",G224&lt;=Data!$M$10), "U12 Girls record"
                       ),""), "")</f>
        <v/>
      </c>
      <c r="M224" s="18" cm="1">
        <f t="array" ref="M224">_xlfn.IFS($G224="",0, AND(NOT(ISNUMBER($G224)),LOWER($G224)&lt;&gt;"dnf"),"Not a valid time",OR(LOWER($G224)="dnf",$G224&gt;ScoringTable!$M$161),1,RIGHT($E224,1)="B",_xlfn.XLOOKUP($G224,ScoringTable!$M$2:$M$161,ScoringTable!$L$2:$L$161,,1),TRUE,_xlfn.XLOOKUP($G224,ScoringTable!$S$2:$S$161,ScoringTable!$R$2:$R$161,,1))</f>
        <v>0</v>
      </c>
    </row>
    <row r="225" spans="1:13" s="7" customFormat="1" ht="16.05" customHeight="1">
      <c r="A225" s="243" t="s">
        <v>85</v>
      </c>
      <c r="B225" s="114" t="str">
        <f>IF(ISNA(VLOOKUP($F225,Declarations!B$6:C$185,2,FALSE)),"",IF(VLOOKUP($F225,Declarations!B$6:C$185,2,FALSE)="","NOT DECLARED",IF(ISNA(_xlfn.TEXTBEFORE(VLOOKUP($F225,Declarations!B$6:C$185,2,FALSE)," ")),VLOOKUP($F225,Declarations!B$6:C$185,2,FALSE),_xlfn.TEXTBEFORE(VLOOKUP($F225,Declarations!B$6:C$185,2,FALSE)," "))))</f>
        <v/>
      </c>
      <c r="C225" s="114" t="str">
        <f>IF(ISNA(VLOOKUP($F225,Declarations!B$6:C$185,2,FALSE)),"",IF(VLOOKUP($F225,Declarations!B$6:C$185,2,FALSE)="","NOT DECLARED",IF(ISNA(_xlfn.TEXTAFTER(VLOOKUP($F225,Declarations!B$6:C$185,2,FALSE)," ")),VLOOKUP($F225,Declarations!B$6:C$185,2,FALSE),_xlfn.TEXTAFTER(VLOOKUP($F225,Declarations!B$6:C$185,2,FALSE)," "))))</f>
        <v/>
      </c>
      <c r="D225" s="114" t="str">
        <f>IF(ISNA(VLOOKUP($F225,Declarations!$B$6:$F$185,5,FALSE)),"",IF(VLOOKUP($F225,Declarations!$B$6:$F$185,5,FALSE)="","NOT DECLARED",VLOOKUP($F225,Declarations!$B$6:$F$185,5,FALSE)))</f>
        <v/>
      </c>
      <c r="E225" s="112" t="str">
        <f>IF(ISNA(VLOOKUP($F225,Declarations!$B$6:$D$185,3,FALSE)),"",IF(VLOOKUP($F225,Declarations!$B$6:$D$185,3,FALSE)="","NOT DECLARED",VLOOKUP($F225,Declarations!$B$6:$D$185,3,FALSE)&amp;LEFT(VLOOKUP($F225,Declarations!$B$6:$E$185,4,FALSE))))</f>
        <v/>
      </c>
      <c r="F225" s="58"/>
      <c r="G225" s="122"/>
      <c r="H225" s="122"/>
      <c r="I225" s="114" t="str">
        <f>IF(ISNA(VLOOKUP(F225,Declarations!B$6:C$185,2,FALSE)),"",IF(VLOOKUP(F225,Declarations!B$6:C$185,2,FALSE)="","NOT DECLARED",VLOOKUP(F225,Declarations!B$6:C$185,2,FALSE)))</f>
        <v/>
      </c>
      <c r="J225" s="112">
        <f>IF(LOWER(G225)="dnf",1,IF(G225&lt;ScoringTable!B$3,ScoringTable!I$2,VLOOKUP((1000-G225),ScoringTable!G$2:I$95,3)))</f>
        <v>0</v>
      </c>
      <c r="K225" s="112" t="str">
        <f>IF(OR(E225="",G225=""),"",IF(RIGHT(E225,1)="G",_xlfn.XLOOKUP(G225,Data!$D$10:$L$10,Data!$D$9:$L$9,"",1,1),_xlfn.XLOOKUP(G225,Data!$D$3:$L$3,Data!$D$2:$L$2,"",1,1)))</f>
        <v/>
      </c>
      <c r="L225" s="160" t="str" cm="1">
        <f t="array" ref="L225">IFERROR(_xlfn.IFNA(
                      _xlfn.IFS(
                      G225="", "",
                      AND(E225="U12B",G225&lt;=Data!$M$3), "U12 Boys record",
                      AND(E225="U12G",G225&lt;=Data!$M$10), "U12 Girls record"
                       ),""), "")</f>
        <v/>
      </c>
      <c r="M225" s="18" cm="1">
        <f t="array" ref="M225">_xlfn.IFS($G225="",0, AND(NOT(ISNUMBER($G225)),LOWER($G225)&lt;&gt;"dnf"),"Not a valid time",OR(LOWER($G225)="dnf",$G225&gt;ScoringTable!$M$161),1,RIGHT($E225,1)="B",_xlfn.XLOOKUP($G225,ScoringTable!$M$2:$M$161,ScoringTable!$L$2:$L$161,,1),TRUE,_xlfn.XLOOKUP($G225,ScoringTable!$S$2:$S$161,ScoringTable!$R$2:$R$161,,1))</f>
        <v>0</v>
      </c>
    </row>
    <row r="226" spans="1:13" s="7" customFormat="1" ht="16.05" customHeight="1">
      <c r="A226" s="243" t="s">
        <v>85</v>
      </c>
      <c r="B226" s="114" t="str">
        <f>IF(ISNA(VLOOKUP($F226,Declarations!B$6:C$185,2,FALSE)),"",IF(VLOOKUP($F226,Declarations!B$6:C$185,2,FALSE)="","NOT DECLARED",IF(ISNA(_xlfn.TEXTBEFORE(VLOOKUP($F226,Declarations!B$6:C$185,2,FALSE)," ")),VLOOKUP($F226,Declarations!B$6:C$185,2,FALSE),_xlfn.TEXTBEFORE(VLOOKUP($F226,Declarations!B$6:C$185,2,FALSE)," "))))</f>
        <v/>
      </c>
      <c r="C226" s="114" t="str">
        <f>IF(ISNA(VLOOKUP($F226,Declarations!B$6:C$185,2,FALSE)),"",IF(VLOOKUP($F226,Declarations!B$6:C$185,2,FALSE)="","NOT DECLARED",IF(ISNA(_xlfn.TEXTAFTER(VLOOKUP($F226,Declarations!B$6:C$185,2,FALSE)," ")),VLOOKUP($F226,Declarations!B$6:C$185,2,FALSE),_xlfn.TEXTAFTER(VLOOKUP($F226,Declarations!B$6:C$185,2,FALSE)," "))))</f>
        <v/>
      </c>
      <c r="D226" s="114" t="str">
        <f>IF(ISNA(VLOOKUP($F226,Declarations!$B$6:$F$185,5,FALSE)),"",IF(VLOOKUP($F226,Declarations!$B$6:$F$185,5,FALSE)="","NOT DECLARED",VLOOKUP($F226,Declarations!$B$6:$F$185,5,FALSE)))</f>
        <v/>
      </c>
      <c r="E226" s="112" t="str">
        <f>IF(ISNA(VLOOKUP($F226,Declarations!$B$6:$D$185,3,FALSE)),"",IF(VLOOKUP($F226,Declarations!$B$6:$D$185,3,FALSE)="","NOT DECLARED",VLOOKUP($F226,Declarations!$B$6:$D$185,3,FALSE)&amp;LEFT(VLOOKUP($F226,Declarations!$B$6:$E$185,4,FALSE))))</f>
        <v/>
      </c>
      <c r="F226" s="58"/>
      <c r="G226" s="122"/>
      <c r="H226" s="122"/>
      <c r="I226" s="114" t="str">
        <f>IF(ISNA(VLOOKUP(F226,Declarations!B$6:C$185,2,FALSE)),"",IF(VLOOKUP(F226,Declarations!B$6:C$185,2,FALSE)="","NOT DECLARED",VLOOKUP(F226,Declarations!B$6:C$185,2,FALSE)))</f>
        <v/>
      </c>
      <c r="J226" s="112">
        <f>IF(LOWER(G226)="dnf",1,IF(G226&lt;ScoringTable!B$3,ScoringTable!I$2,VLOOKUP((1000-G226),ScoringTable!G$2:I$95,3)))</f>
        <v>0</v>
      </c>
      <c r="K226" s="112" t="str">
        <f>IF(OR(E226="",G226=""),"",IF(RIGHT(E226,1)="G",_xlfn.XLOOKUP(G226,Data!$D$10:$L$10,Data!$D$9:$L$9,"",1,1),_xlfn.XLOOKUP(G226,Data!$D$3:$L$3,Data!$D$2:$L$2,"",1,1)))</f>
        <v/>
      </c>
      <c r="L226" s="160" t="str" cm="1">
        <f t="array" ref="L226">IFERROR(_xlfn.IFNA(
                      _xlfn.IFS(
                      G226="", "",
                      AND(E226="U12B",G226&lt;=Data!$M$3), "U12 Boys record",
                      AND(E226="U12G",G226&lt;=Data!$M$10), "U12 Girls record"
                       ),""), "")</f>
        <v/>
      </c>
      <c r="M226" s="18" cm="1">
        <f t="array" ref="M226">_xlfn.IFS($G226="",0, AND(NOT(ISNUMBER($G226)),LOWER($G226)&lt;&gt;"dnf"),"Not a valid time",OR(LOWER($G226)="dnf",$G226&gt;ScoringTable!$M$161),1,RIGHT($E226,1)="B",_xlfn.XLOOKUP($G226,ScoringTable!$M$2:$M$161,ScoringTable!$L$2:$L$161,,1),TRUE,_xlfn.XLOOKUP($G226,ScoringTable!$S$2:$S$161,ScoringTable!$R$2:$R$161,,1))</f>
        <v>0</v>
      </c>
    </row>
    <row r="227" spans="1:13" s="7" customFormat="1" ht="16.05" customHeight="1">
      <c r="A227" s="243" t="s">
        <v>85</v>
      </c>
      <c r="B227" s="114" t="str">
        <f>IF(ISNA(VLOOKUP($F227,Declarations!B$6:C$185,2,FALSE)),"",IF(VLOOKUP($F227,Declarations!B$6:C$185,2,FALSE)="","NOT DECLARED",IF(ISNA(_xlfn.TEXTBEFORE(VLOOKUP($F227,Declarations!B$6:C$185,2,FALSE)," ")),VLOOKUP($F227,Declarations!B$6:C$185,2,FALSE),_xlfn.TEXTBEFORE(VLOOKUP($F227,Declarations!B$6:C$185,2,FALSE)," "))))</f>
        <v/>
      </c>
      <c r="C227" s="114" t="str">
        <f>IF(ISNA(VLOOKUP($F227,Declarations!B$6:C$185,2,FALSE)),"",IF(VLOOKUP($F227,Declarations!B$6:C$185,2,FALSE)="","NOT DECLARED",IF(ISNA(_xlfn.TEXTAFTER(VLOOKUP($F227,Declarations!B$6:C$185,2,FALSE)," ")),VLOOKUP($F227,Declarations!B$6:C$185,2,FALSE),_xlfn.TEXTAFTER(VLOOKUP($F227,Declarations!B$6:C$185,2,FALSE)," "))))</f>
        <v/>
      </c>
      <c r="D227" s="114" t="str">
        <f>IF(ISNA(VLOOKUP($F227,Declarations!$B$6:$F$185,5,FALSE)),"",IF(VLOOKUP($F227,Declarations!$B$6:$F$185,5,FALSE)="","NOT DECLARED",VLOOKUP($F227,Declarations!$B$6:$F$185,5,FALSE)))</f>
        <v/>
      </c>
      <c r="E227" s="112" t="str">
        <f>IF(ISNA(VLOOKUP($F227,Declarations!$B$6:$D$185,3,FALSE)),"",IF(VLOOKUP($F227,Declarations!$B$6:$D$185,3,FALSE)="","NOT DECLARED",VLOOKUP($F227,Declarations!$B$6:$D$185,3,FALSE)&amp;LEFT(VLOOKUP($F227,Declarations!$B$6:$E$185,4,FALSE))))</f>
        <v/>
      </c>
      <c r="F227" s="58"/>
      <c r="G227" s="122"/>
      <c r="H227" s="122"/>
      <c r="I227" s="114" t="str">
        <f>IF(ISNA(VLOOKUP(F227,Declarations!B$6:C$185,2,FALSE)),"",IF(VLOOKUP(F227,Declarations!B$6:C$185,2,FALSE)="","NOT DECLARED",VLOOKUP(F227,Declarations!B$6:C$185,2,FALSE)))</f>
        <v/>
      </c>
      <c r="J227" s="112">
        <f>IF(LOWER(G227)="dnf",1,IF(G227&lt;ScoringTable!B$3,ScoringTable!I$2,VLOOKUP((1000-G227),ScoringTable!G$2:I$95,3)))</f>
        <v>0</v>
      </c>
      <c r="K227" s="112" t="str">
        <f>IF(OR(E227="",G227=""),"",IF(RIGHT(E227,1)="G",_xlfn.XLOOKUP(G227,Data!$D$10:$L$10,Data!$D$9:$L$9,"",1,1),_xlfn.XLOOKUP(G227,Data!$D$3:$L$3,Data!$D$2:$L$2,"",1,1)))</f>
        <v/>
      </c>
      <c r="L227" s="160" t="str" cm="1">
        <f t="array" ref="L227">IFERROR(_xlfn.IFNA(
                      _xlfn.IFS(
                      G227="", "",
                      AND(E227="U12B",G227&lt;=Data!$M$3), "U12 Boys record",
                      AND(E227="U12G",G227&lt;=Data!$M$10), "U12 Girls record"
                       ),""), "")</f>
        <v/>
      </c>
      <c r="M227" s="18" cm="1">
        <f t="array" ref="M227">_xlfn.IFS($G227="",0, AND(NOT(ISNUMBER($G227)),LOWER($G227)&lt;&gt;"dnf"),"Not a valid time",OR(LOWER($G227)="dnf",$G227&gt;ScoringTable!$M$161),1,RIGHT($E227,1)="B",_xlfn.XLOOKUP($G227,ScoringTable!$M$2:$M$161,ScoringTable!$L$2:$L$161,,1),TRUE,_xlfn.XLOOKUP($G227,ScoringTable!$S$2:$S$161,ScoringTable!$R$2:$R$161,,1))</f>
        <v>0</v>
      </c>
    </row>
    <row r="228" spans="1:13" s="7" customFormat="1" ht="16.05" customHeight="1">
      <c r="A228" s="243" t="s">
        <v>85</v>
      </c>
      <c r="B228" s="114" t="str">
        <f>IF(ISNA(VLOOKUP($F228,Declarations!B$6:C$185,2,FALSE)),"",IF(VLOOKUP($F228,Declarations!B$6:C$185,2,FALSE)="","NOT DECLARED",IF(ISNA(_xlfn.TEXTBEFORE(VLOOKUP($F228,Declarations!B$6:C$185,2,FALSE)," ")),VLOOKUP($F228,Declarations!B$6:C$185,2,FALSE),_xlfn.TEXTBEFORE(VLOOKUP($F228,Declarations!B$6:C$185,2,FALSE)," "))))</f>
        <v/>
      </c>
      <c r="C228" s="114" t="str">
        <f>IF(ISNA(VLOOKUP($F228,Declarations!B$6:C$185,2,FALSE)),"",IF(VLOOKUP($F228,Declarations!B$6:C$185,2,FALSE)="","NOT DECLARED",IF(ISNA(_xlfn.TEXTAFTER(VLOOKUP($F228,Declarations!B$6:C$185,2,FALSE)," ")),VLOOKUP($F228,Declarations!B$6:C$185,2,FALSE),_xlfn.TEXTAFTER(VLOOKUP($F228,Declarations!B$6:C$185,2,FALSE)," "))))</f>
        <v/>
      </c>
      <c r="D228" s="114" t="str">
        <f>IF(ISNA(VLOOKUP($F228,Declarations!$B$6:$F$185,5,FALSE)),"",IF(VLOOKUP($F228,Declarations!$B$6:$F$185,5,FALSE)="","NOT DECLARED",VLOOKUP($F228,Declarations!$B$6:$F$185,5,FALSE)))</f>
        <v/>
      </c>
      <c r="E228" s="112" t="str">
        <f>IF(ISNA(VLOOKUP($F228,Declarations!$B$6:$D$185,3,FALSE)),"",IF(VLOOKUP($F228,Declarations!$B$6:$D$185,3,FALSE)="","NOT DECLARED",VLOOKUP($F228,Declarations!$B$6:$D$185,3,FALSE)&amp;LEFT(VLOOKUP($F228,Declarations!$B$6:$E$185,4,FALSE))))</f>
        <v/>
      </c>
      <c r="F228" s="58"/>
      <c r="G228" s="122"/>
      <c r="H228" s="122"/>
      <c r="I228" s="114" t="str">
        <f>IF(ISNA(VLOOKUP(F228,Declarations!B$6:C$185,2,FALSE)),"",IF(VLOOKUP(F228,Declarations!B$6:C$185,2,FALSE)="","NOT DECLARED",VLOOKUP(F228,Declarations!B$6:C$185,2,FALSE)))</f>
        <v/>
      </c>
      <c r="J228" s="112">
        <f>IF(LOWER(G228)="dnf",1,IF(G228&lt;ScoringTable!B$3,ScoringTable!I$2,VLOOKUP((1000-G228),ScoringTable!G$2:I$95,3)))</f>
        <v>0</v>
      </c>
      <c r="K228" s="112" t="str">
        <f>IF(OR(E228="",G228=""),"",IF(RIGHT(E228,1)="G",_xlfn.XLOOKUP(G228,Data!$D$10:$L$10,Data!$D$9:$L$9,"",1,1),_xlfn.XLOOKUP(G228,Data!$D$3:$L$3,Data!$D$2:$L$2,"",1,1)))</f>
        <v/>
      </c>
      <c r="L228" s="160" t="str" cm="1">
        <f t="array" ref="L228">IFERROR(_xlfn.IFNA(
                      _xlfn.IFS(
                      G228="", "",
                      AND(E228="U12B",G228&lt;=Data!$M$3), "U12 Boys record",
                      AND(E228="U12G",G228&lt;=Data!$M$10), "U12 Girls record"
                       ),""), "")</f>
        <v/>
      </c>
      <c r="M228" s="18" cm="1">
        <f t="array" ref="M228">_xlfn.IFS($G228="",0, AND(NOT(ISNUMBER($G228)),LOWER($G228)&lt;&gt;"dnf"),"Not a valid time",OR(LOWER($G228)="dnf",$G228&gt;ScoringTable!$M$161),1,RIGHT($E228,1)="B",_xlfn.XLOOKUP($G228,ScoringTable!$M$2:$M$161,ScoringTable!$L$2:$L$161,,1),TRUE,_xlfn.XLOOKUP($G228,ScoringTable!$S$2:$S$161,ScoringTable!$R$2:$R$161,,1))</f>
        <v>0</v>
      </c>
    </row>
    <row r="229" spans="1:13" s="7" customFormat="1" ht="16.05" customHeight="1">
      <c r="A229" s="243" t="s">
        <v>85</v>
      </c>
      <c r="B229" s="114" t="str">
        <f>IF(ISNA(VLOOKUP($F229,Declarations!B$6:C$185,2,FALSE)),"",IF(VLOOKUP($F229,Declarations!B$6:C$185,2,FALSE)="","NOT DECLARED",IF(ISNA(_xlfn.TEXTBEFORE(VLOOKUP($F229,Declarations!B$6:C$185,2,FALSE)," ")),VLOOKUP($F229,Declarations!B$6:C$185,2,FALSE),_xlfn.TEXTBEFORE(VLOOKUP($F229,Declarations!B$6:C$185,2,FALSE)," "))))</f>
        <v/>
      </c>
      <c r="C229" s="114" t="str">
        <f>IF(ISNA(VLOOKUP($F229,Declarations!B$6:C$185,2,FALSE)),"",IF(VLOOKUP($F229,Declarations!B$6:C$185,2,FALSE)="","NOT DECLARED",IF(ISNA(_xlfn.TEXTAFTER(VLOOKUP($F229,Declarations!B$6:C$185,2,FALSE)," ")),VLOOKUP($F229,Declarations!B$6:C$185,2,FALSE),_xlfn.TEXTAFTER(VLOOKUP($F229,Declarations!B$6:C$185,2,FALSE)," "))))</f>
        <v/>
      </c>
      <c r="D229" s="114" t="str">
        <f>IF(ISNA(VLOOKUP($F229,Declarations!$B$6:$F$185,5,FALSE)),"",IF(VLOOKUP($F229,Declarations!$B$6:$F$185,5,FALSE)="","NOT DECLARED",VLOOKUP($F229,Declarations!$B$6:$F$185,5,FALSE)))</f>
        <v/>
      </c>
      <c r="E229" s="112" t="str">
        <f>IF(ISNA(VLOOKUP($F229,Declarations!$B$6:$D$185,3,FALSE)),"",IF(VLOOKUP($F229,Declarations!$B$6:$D$185,3,FALSE)="","NOT DECLARED",VLOOKUP($F229,Declarations!$B$6:$D$185,3,FALSE)&amp;LEFT(VLOOKUP($F229,Declarations!$B$6:$E$185,4,FALSE))))</f>
        <v/>
      </c>
      <c r="F229" s="58"/>
      <c r="G229" s="122"/>
      <c r="H229" s="122"/>
      <c r="I229" s="114" t="str">
        <f>IF(ISNA(VLOOKUP(F229,Declarations!B$6:C$185,2,FALSE)),"",IF(VLOOKUP(F229,Declarations!B$6:C$185,2,FALSE)="","NOT DECLARED",VLOOKUP(F229,Declarations!B$6:C$185,2,FALSE)))</f>
        <v/>
      </c>
      <c r="J229" s="112">
        <f>IF(LOWER(G229)="dnf",1,IF(G229&lt;ScoringTable!B$3,ScoringTable!I$2,VLOOKUP((1000-G229),ScoringTable!G$2:I$95,3)))</f>
        <v>0</v>
      </c>
      <c r="K229" s="112" t="str">
        <f>IF(OR(E229="",G229=""),"",IF(RIGHT(E229,1)="G",_xlfn.XLOOKUP(G229,Data!$D$10:$L$10,Data!$D$9:$L$9,"",1,1),_xlfn.XLOOKUP(G229,Data!$D$3:$L$3,Data!$D$2:$L$2,"",1,1)))</f>
        <v/>
      </c>
      <c r="L229" s="160" t="str" cm="1">
        <f t="array" ref="L229">IFERROR(_xlfn.IFNA(
                      _xlfn.IFS(
                      G229="", "",
                      AND(E229="U12B",G229&lt;=Data!$M$3), "U12 Boys record",
                      AND(E229="U12G",G229&lt;=Data!$M$10), "U12 Girls record"
                       ),""), "")</f>
        <v/>
      </c>
      <c r="M229" s="18" cm="1">
        <f t="array" ref="M229">_xlfn.IFS($G229="",0, AND(NOT(ISNUMBER($G229)),LOWER($G229)&lt;&gt;"dnf"),"Not a valid time",OR(LOWER($G229)="dnf",$G229&gt;ScoringTable!$M$161),1,RIGHT($E229,1)="B",_xlfn.XLOOKUP($G229,ScoringTable!$M$2:$M$161,ScoringTable!$L$2:$L$161,,1),TRUE,_xlfn.XLOOKUP($G229,ScoringTable!$S$2:$S$161,ScoringTable!$R$2:$R$161,,1))</f>
        <v>0</v>
      </c>
    </row>
    <row r="230" spans="1:13" s="7" customFormat="1" ht="16.05" customHeight="1">
      <c r="A230" s="243" t="s">
        <v>85</v>
      </c>
      <c r="B230" s="114" t="str">
        <f>IF(ISNA(VLOOKUP($F230,Declarations!B$6:C$185,2,FALSE)),"",IF(VLOOKUP($F230,Declarations!B$6:C$185,2,FALSE)="","NOT DECLARED",IF(ISNA(_xlfn.TEXTBEFORE(VLOOKUP($F230,Declarations!B$6:C$185,2,FALSE)," ")),VLOOKUP($F230,Declarations!B$6:C$185,2,FALSE),_xlfn.TEXTBEFORE(VLOOKUP($F230,Declarations!B$6:C$185,2,FALSE)," "))))</f>
        <v/>
      </c>
      <c r="C230" s="114" t="str">
        <f>IF(ISNA(VLOOKUP($F230,Declarations!B$6:C$185,2,FALSE)),"",IF(VLOOKUP($F230,Declarations!B$6:C$185,2,FALSE)="","NOT DECLARED",IF(ISNA(_xlfn.TEXTAFTER(VLOOKUP($F230,Declarations!B$6:C$185,2,FALSE)," ")),VLOOKUP($F230,Declarations!B$6:C$185,2,FALSE),_xlfn.TEXTAFTER(VLOOKUP($F230,Declarations!B$6:C$185,2,FALSE)," "))))</f>
        <v/>
      </c>
      <c r="D230" s="114" t="str">
        <f>IF(ISNA(VLOOKUP($F230,Declarations!$B$6:$F$185,5,FALSE)),"",IF(VLOOKUP($F230,Declarations!$B$6:$F$185,5,FALSE)="","NOT DECLARED",VLOOKUP($F230,Declarations!$B$6:$F$185,5,FALSE)))</f>
        <v/>
      </c>
      <c r="E230" s="112" t="str">
        <f>IF(ISNA(VLOOKUP($F230,Declarations!$B$6:$D$185,3,FALSE)),"",IF(VLOOKUP($F230,Declarations!$B$6:$D$185,3,FALSE)="","NOT DECLARED",VLOOKUP($F230,Declarations!$B$6:$D$185,3,FALSE)&amp;LEFT(VLOOKUP($F230,Declarations!$B$6:$E$185,4,FALSE))))</f>
        <v/>
      </c>
      <c r="F230" s="58"/>
      <c r="G230" s="122"/>
      <c r="H230" s="122"/>
      <c r="I230" s="114" t="str">
        <f>IF(ISNA(VLOOKUP(F230,Declarations!B$6:C$185,2,FALSE)),"",IF(VLOOKUP(F230,Declarations!B$6:C$185,2,FALSE)="","NOT DECLARED",VLOOKUP(F230,Declarations!B$6:C$185,2,FALSE)))</f>
        <v/>
      </c>
      <c r="J230" s="112">
        <f>IF(LOWER(G230)="dnf",1,IF(G230&lt;ScoringTable!B$3,ScoringTable!I$2,VLOOKUP((1000-G230),ScoringTable!G$2:I$95,3)))</f>
        <v>0</v>
      </c>
      <c r="K230" s="112" t="str">
        <f>IF(OR(E230="",G230=""),"",IF(RIGHT(E230,1)="G",_xlfn.XLOOKUP(G230,Data!$D$10:$L$10,Data!$D$9:$L$9,"",1,1),_xlfn.XLOOKUP(G230,Data!$D$3:$L$3,Data!$D$2:$L$2,"",1,1)))</f>
        <v/>
      </c>
      <c r="L230" s="160" t="str" cm="1">
        <f t="array" ref="L230">IFERROR(_xlfn.IFNA(
                      _xlfn.IFS(
                      G230="", "",
                      AND(E230="U12B",G230&lt;=Data!$M$3), "U12 Boys record",
                      AND(E230="U12G",G230&lt;=Data!$M$10), "U12 Girls record"
                       ),""), "")</f>
        <v/>
      </c>
      <c r="M230" s="18" cm="1">
        <f t="array" ref="M230">_xlfn.IFS($G230="",0, AND(NOT(ISNUMBER($G230)),LOWER($G230)&lt;&gt;"dnf"),"Not a valid time",OR(LOWER($G230)="dnf",$G230&gt;ScoringTable!$M$161),1,RIGHT($E230,1)="B",_xlfn.XLOOKUP($G230,ScoringTable!$M$2:$M$161,ScoringTable!$L$2:$L$161,,1),TRUE,_xlfn.XLOOKUP($G230,ScoringTable!$S$2:$S$161,ScoringTable!$R$2:$R$161,,1))</f>
        <v>0</v>
      </c>
    </row>
    <row r="231" spans="1:13" s="7" customFormat="1" ht="16.05" customHeight="1">
      <c r="A231" s="243" t="s">
        <v>85</v>
      </c>
      <c r="B231" s="114" t="str">
        <f>IF(ISNA(VLOOKUP($F231,Declarations!B$6:C$185,2,FALSE)),"",IF(VLOOKUP($F231,Declarations!B$6:C$185,2,FALSE)="","NOT DECLARED",IF(ISNA(_xlfn.TEXTBEFORE(VLOOKUP($F231,Declarations!B$6:C$185,2,FALSE)," ")),VLOOKUP($F231,Declarations!B$6:C$185,2,FALSE),_xlfn.TEXTBEFORE(VLOOKUP($F231,Declarations!B$6:C$185,2,FALSE)," "))))</f>
        <v/>
      </c>
      <c r="C231" s="114" t="str">
        <f>IF(ISNA(VLOOKUP($F231,Declarations!B$6:C$185,2,FALSE)),"",IF(VLOOKUP($F231,Declarations!B$6:C$185,2,FALSE)="","NOT DECLARED",IF(ISNA(_xlfn.TEXTAFTER(VLOOKUP($F231,Declarations!B$6:C$185,2,FALSE)," ")),VLOOKUP($F231,Declarations!B$6:C$185,2,FALSE),_xlfn.TEXTAFTER(VLOOKUP($F231,Declarations!B$6:C$185,2,FALSE)," "))))</f>
        <v/>
      </c>
      <c r="D231" s="114" t="str">
        <f>IF(ISNA(VLOOKUP($F231,Declarations!$B$6:$F$185,5,FALSE)),"",IF(VLOOKUP($F231,Declarations!$B$6:$F$185,5,FALSE)="","NOT DECLARED",VLOOKUP($F231,Declarations!$B$6:$F$185,5,FALSE)))</f>
        <v/>
      </c>
      <c r="E231" s="112" t="str">
        <f>IF(ISNA(VLOOKUP($F231,Declarations!$B$6:$D$185,3,FALSE)),"",IF(VLOOKUP($F231,Declarations!$B$6:$D$185,3,FALSE)="","NOT DECLARED",VLOOKUP($F231,Declarations!$B$6:$D$185,3,FALSE)&amp;LEFT(VLOOKUP($F231,Declarations!$B$6:$E$185,4,FALSE))))</f>
        <v/>
      </c>
      <c r="F231" s="58"/>
      <c r="G231" s="122"/>
      <c r="H231" s="122"/>
      <c r="I231" s="114" t="str">
        <f>IF(ISNA(VLOOKUP(F231,Declarations!B$6:C$185,2,FALSE)),"",IF(VLOOKUP(F231,Declarations!B$6:C$185,2,FALSE)="","NOT DECLARED",VLOOKUP(F231,Declarations!B$6:C$185,2,FALSE)))</f>
        <v/>
      </c>
      <c r="J231" s="112">
        <f>IF(LOWER(G231)="dnf",1,IF(G231&lt;ScoringTable!B$3,ScoringTable!I$2,VLOOKUP((1000-G231),ScoringTable!G$2:I$95,3)))</f>
        <v>0</v>
      </c>
      <c r="K231" s="112" t="str">
        <f>IF(OR(E231="",G231=""),"",IF(RIGHT(E231,1)="G",_xlfn.XLOOKUP(G231,Data!$D$10:$L$10,Data!$D$9:$L$9,"",1,1),_xlfn.XLOOKUP(G231,Data!$D$3:$L$3,Data!$D$2:$L$2,"",1,1)))</f>
        <v/>
      </c>
      <c r="L231" s="160" t="str" cm="1">
        <f t="array" ref="L231">IFERROR(_xlfn.IFNA(
                      _xlfn.IFS(
                      G231="", "",
                      AND(E231="U12B",G231&lt;=Data!$M$3), "U12 Boys record",
                      AND(E231="U12G",G231&lt;=Data!$M$10), "U12 Girls record"
                       ),""), "")</f>
        <v/>
      </c>
      <c r="M231" s="18" cm="1">
        <f t="array" ref="M231">_xlfn.IFS($G231="",0, AND(NOT(ISNUMBER($G231)),LOWER($G231)&lt;&gt;"dnf"),"Not a valid time",OR(LOWER($G231)="dnf",$G231&gt;ScoringTable!$M$161),1,RIGHT($E231,1)="B",_xlfn.XLOOKUP($G231,ScoringTable!$M$2:$M$161,ScoringTable!$L$2:$L$161,,1),TRUE,_xlfn.XLOOKUP($G231,ScoringTable!$S$2:$S$161,ScoringTable!$R$2:$R$161,,1))</f>
        <v>0</v>
      </c>
    </row>
    <row r="232" spans="1:13" s="7" customFormat="1" ht="16.05" customHeight="1">
      <c r="A232" s="243" t="s">
        <v>85</v>
      </c>
      <c r="B232" s="114" t="str">
        <f>IF(ISNA(VLOOKUP($F232,Declarations!B$6:C$185,2,FALSE)),"",IF(VLOOKUP($F232,Declarations!B$6:C$185,2,FALSE)="","NOT DECLARED",IF(ISNA(_xlfn.TEXTBEFORE(VLOOKUP($F232,Declarations!B$6:C$185,2,FALSE)," ")),VLOOKUP($F232,Declarations!B$6:C$185,2,FALSE),_xlfn.TEXTBEFORE(VLOOKUP($F232,Declarations!B$6:C$185,2,FALSE)," "))))</f>
        <v/>
      </c>
      <c r="C232" s="114" t="str">
        <f>IF(ISNA(VLOOKUP($F232,Declarations!B$6:C$185,2,FALSE)),"",IF(VLOOKUP($F232,Declarations!B$6:C$185,2,FALSE)="","NOT DECLARED",IF(ISNA(_xlfn.TEXTAFTER(VLOOKUP($F232,Declarations!B$6:C$185,2,FALSE)," ")),VLOOKUP($F232,Declarations!B$6:C$185,2,FALSE),_xlfn.TEXTAFTER(VLOOKUP($F232,Declarations!B$6:C$185,2,FALSE)," "))))</f>
        <v/>
      </c>
      <c r="D232" s="114" t="str">
        <f>IF(ISNA(VLOOKUP($F232,Declarations!$B$6:$F$185,5,FALSE)),"",IF(VLOOKUP($F232,Declarations!$B$6:$F$185,5,FALSE)="","NOT DECLARED",VLOOKUP($F232,Declarations!$B$6:$F$185,5,FALSE)))</f>
        <v/>
      </c>
      <c r="E232" s="112" t="str">
        <f>IF(ISNA(VLOOKUP($F232,Declarations!$B$6:$D$185,3,FALSE)),"",IF(VLOOKUP($F232,Declarations!$B$6:$D$185,3,FALSE)="","NOT DECLARED",VLOOKUP($F232,Declarations!$B$6:$D$185,3,FALSE)&amp;LEFT(VLOOKUP($F232,Declarations!$B$6:$E$185,4,FALSE))))</f>
        <v/>
      </c>
      <c r="F232" s="58"/>
      <c r="G232" s="122"/>
      <c r="H232" s="122"/>
      <c r="I232" s="114" t="str">
        <f>IF(ISNA(VLOOKUP(F232,Declarations!B$6:C$185,2,FALSE)),"",IF(VLOOKUP(F232,Declarations!B$6:C$185,2,FALSE)="","NOT DECLARED",VLOOKUP(F232,Declarations!B$6:C$185,2,FALSE)))</f>
        <v/>
      </c>
      <c r="J232" s="112">
        <f>IF(LOWER(G232)="dnf",1,IF(G232&lt;ScoringTable!B$3,ScoringTable!I$2,VLOOKUP((1000-G232),ScoringTable!G$2:I$95,3)))</f>
        <v>0</v>
      </c>
      <c r="K232" s="112" t="str">
        <f>IF(OR(E232="",G232=""),"",IF(RIGHT(E232,1)="G",_xlfn.XLOOKUP(G232,Data!$D$10:$L$10,Data!$D$9:$L$9,"",1,1),_xlfn.XLOOKUP(G232,Data!$D$3:$L$3,Data!$D$2:$L$2,"",1,1)))</f>
        <v/>
      </c>
      <c r="L232" s="160" t="str" cm="1">
        <f t="array" ref="L232">IFERROR(_xlfn.IFNA(
                      _xlfn.IFS(
                      G232="", "",
                      AND(E232="U12B",G232&lt;=Data!$M$3), "U12 Boys record",
                      AND(E232="U12G",G232&lt;=Data!$M$10), "U12 Girls record"
                       ),""), "")</f>
        <v/>
      </c>
      <c r="M232" s="18" cm="1">
        <f t="array" ref="M232">_xlfn.IFS($G232="",0, AND(NOT(ISNUMBER($G232)),LOWER($G232)&lt;&gt;"dnf"),"Not a valid time",OR(LOWER($G232)="dnf",$G232&gt;ScoringTable!$M$161),1,RIGHT($E232,1)="B",_xlfn.XLOOKUP($G232,ScoringTable!$M$2:$M$161,ScoringTable!$L$2:$L$161,,1),TRUE,_xlfn.XLOOKUP($G232,ScoringTable!$S$2:$S$161,ScoringTable!$R$2:$R$161,,1))</f>
        <v>0</v>
      </c>
    </row>
    <row r="233" spans="1:13" s="7" customFormat="1" ht="16.05" customHeight="1">
      <c r="A233" s="243" t="s">
        <v>85</v>
      </c>
      <c r="B233" s="114" t="str">
        <f>IF(ISNA(VLOOKUP($F233,Declarations!B$6:C$185,2,FALSE)),"",IF(VLOOKUP($F233,Declarations!B$6:C$185,2,FALSE)="","NOT DECLARED",IF(ISNA(_xlfn.TEXTBEFORE(VLOOKUP($F233,Declarations!B$6:C$185,2,FALSE)," ")),VLOOKUP($F233,Declarations!B$6:C$185,2,FALSE),_xlfn.TEXTBEFORE(VLOOKUP($F233,Declarations!B$6:C$185,2,FALSE)," "))))</f>
        <v/>
      </c>
      <c r="C233" s="114" t="str">
        <f>IF(ISNA(VLOOKUP($F233,Declarations!B$6:C$185,2,FALSE)),"",IF(VLOOKUP($F233,Declarations!B$6:C$185,2,FALSE)="","NOT DECLARED",IF(ISNA(_xlfn.TEXTAFTER(VLOOKUP($F233,Declarations!B$6:C$185,2,FALSE)," ")),VLOOKUP($F233,Declarations!B$6:C$185,2,FALSE),_xlfn.TEXTAFTER(VLOOKUP($F233,Declarations!B$6:C$185,2,FALSE)," "))))</f>
        <v/>
      </c>
      <c r="D233" s="114" t="str">
        <f>IF(ISNA(VLOOKUP($F233,Declarations!$B$6:$F$185,5,FALSE)),"",IF(VLOOKUP($F233,Declarations!$B$6:$F$185,5,FALSE)="","NOT DECLARED",VLOOKUP($F233,Declarations!$B$6:$F$185,5,FALSE)))</f>
        <v/>
      </c>
      <c r="E233" s="112" t="str">
        <f>IF(ISNA(VLOOKUP($F233,Declarations!$B$6:$D$185,3,FALSE)),"",IF(VLOOKUP($F233,Declarations!$B$6:$D$185,3,FALSE)="","NOT DECLARED",VLOOKUP($F233,Declarations!$B$6:$D$185,3,FALSE)&amp;LEFT(VLOOKUP($F233,Declarations!$B$6:$E$185,4,FALSE))))</f>
        <v/>
      </c>
      <c r="F233" s="58"/>
      <c r="G233" s="122"/>
      <c r="H233" s="122"/>
      <c r="I233" s="114" t="str">
        <f>IF(ISNA(VLOOKUP(F233,Declarations!B$6:C$185,2,FALSE)),"",IF(VLOOKUP(F233,Declarations!B$6:C$185,2,FALSE)="","NOT DECLARED",VLOOKUP(F233,Declarations!B$6:C$185,2,FALSE)))</f>
        <v/>
      </c>
      <c r="J233" s="112">
        <f>IF(LOWER(G233)="dnf",1,IF(G233&lt;ScoringTable!B$3,ScoringTable!I$2,VLOOKUP((1000-G233),ScoringTable!G$2:I$95,3)))</f>
        <v>0</v>
      </c>
      <c r="K233" s="112" t="str">
        <f>IF(OR(E233="",G233=""),"",IF(RIGHT(E233,1)="G",_xlfn.XLOOKUP(G233,Data!$D$10:$L$10,Data!$D$9:$L$9,"",1,1),_xlfn.XLOOKUP(G233,Data!$D$3:$L$3,Data!$D$2:$L$2,"",1,1)))</f>
        <v/>
      </c>
      <c r="L233" s="160" t="str" cm="1">
        <f t="array" ref="L233">IFERROR(_xlfn.IFNA(
                      _xlfn.IFS(
                      G233="", "",
                      AND(E233="U12B",G233&lt;=Data!$M$3), "U12 Boys record",
                      AND(E233="U12G",G233&lt;=Data!$M$10), "U12 Girls record"
                       ),""), "")</f>
        <v/>
      </c>
      <c r="M233" s="18" cm="1">
        <f t="array" ref="M233">_xlfn.IFS($G233="",0, AND(NOT(ISNUMBER($G233)),LOWER($G233)&lt;&gt;"dnf"),"Not a valid time",OR(LOWER($G233)="dnf",$G233&gt;ScoringTable!$M$161),1,RIGHT($E233,1)="B",_xlfn.XLOOKUP($G233,ScoringTable!$M$2:$M$161,ScoringTable!$L$2:$L$161,,1),TRUE,_xlfn.XLOOKUP($G233,ScoringTable!$S$2:$S$161,ScoringTable!$R$2:$R$161,,1))</f>
        <v>0</v>
      </c>
    </row>
    <row r="234" spans="1:13" s="7" customFormat="1" ht="16.05" customHeight="1">
      <c r="A234" s="243" t="s">
        <v>85</v>
      </c>
      <c r="B234" s="114" t="str">
        <f>IF(ISNA(VLOOKUP($F234,Declarations!B$6:C$185,2,FALSE)),"",IF(VLOOKUP($F234,Declarations!B$6:C$185,2,FALSE)="","NOT DECLARED",IF(ISNA(_xlfn.TEXTBEFORE(VLOOKUP($F234,Declarations!B$6:C$185,2,FALSE)," ")),VLOOKUP($F234,Declarations!B$6:C$185,2,FALSE),_xlfn.TEXTBEFORE(VLOOKUP($F234,Declarations!B$6:C$185,2,FALSE)," "))))</f>
        <v/>
      </c>
      <c r="C234" s="114" t="str">
        <f>IF(ISNA(VLOOKUP($F234,Declarations!B$6:C$185,2,FALSE)),"",IF(VLOOKUP($F234,Declarations!B$6:C$185,2,FALSE)="","NOT DECLARED",IF(ISNA(_xlfn.TEXTAFTER(VLOOKUP($F234,Declarations!B$6:C$185,2,FALSE)," ")),VLOOKUP($F234,Declarations!B$6:C$185,2,FALSE),_xlfn.TEXTAFTER(VLOOKUP($F234,Declarations!B$6:C$185,2,FALSE)," "))))</f>
        <v/>
      </c>
      <c r="D234" s="114" t="str">
        <f>IF(ISNA(VLOOKUP($F234,Declarations!$B$6:$F$185,5,FALSE)),"",IF(VLOOKUP($F234,Declarations!$B$6:$F$185,5,FALSE)="","NOT DECLARED",VLOOKUP($F234,Declarations!$B$6:$F$185,5,FALSE)))</f>
        <v/>
      </c>
      <c r="E234" s="112" t="str">
        <f>IF(ISNA(VLOOKUP($F234,Declarations!$B$6:$D$185,3,FALSE)),"",IF(VLOOKUP($F234,Declarations!$B$6:$D$185,3,FALSE)="","NOT DECLARED",VLOOKUP($F234,Declarations!$B$6:$D$185,3,FALSE)&amp;LEFT(VLOOKUP($F234,Declarations!$B$6:$E$185,4,FALSE))))</f>
        <v/>
      </c>
      <c r="F234" s="58"/>
      <c r="G234" s="122"/>
      <c r="H234" s="122"/>
      <c r="I234" s="114" t="str">
        <f>IF(ISNA(VLOOKUP(F234,Declarations!B$6:C$185,2,FALSE)),"",IF(VLOOKUP(F234,Declarations!B$6:C$185,2,FALSE)="","NOT DECLARED",VLOOKUP(F234,Declarations!B$6:C$185,2,FALSE)))</f>
        <v/>
      </c>
      <c r="J234" s="112">
        <f>IF(LOWER(G234)="dnf",1,IF(G234&lt;ScoringTable!B$3,ScoringTable!I$2,VLOOKUP((1000-G234),ScoringTable!G$2:I$95,3)))</f>
        <v>0</v>
      </c>
      <c r="K234" s="112" t="str">
        <f>IF(OR(E234="",G234=""),"",IF(RIGHT(E234,1)="G",_xlfn.XLOOKUP(G234,Data!$D$10:$L$10,Data!$D$9:$L$9,"",1,1),_xlfn.XLOOKUP(G234,Data!$D$3:$L$3,Data!$D$2:$L$2,"",1,1)))</f>
        <v/>
      </c>
      <c r="L234" s="160" t="str" cm="1">
        <f t="array" ref="L234">IFERROR(_xlfn.IFNA(
                      _xlfn.IFS(
                      G234="", "",
                      AND(E234="U12B",G234&lt;=Data!$M$3), "U12 Boys record",
                      AND(E234="U12G",G234&lt;=Data!$M$10), "U12 Girls record"
                       ),""), "")</f>
        <v/>
      </c>
      <c r="M234" s="18" cm="1">
        <f t="array" ref="M234">_xlfn.IFS($G234="",0, AND(NOT(ISNUMBER($G234)),LOWER($G234)&lt;&gt;"dnf"),"Not a valid time",OR(LOWER($G234)="dnf",$G234&gt;ScoringTable!$M$161),1,RIGHT($E234,1)="B",_xlfn.XLOOKUP($G234,ScoringTable!$M$2:$M$161,ScoringTable!$L$2:$L$161,,1),TRUE,_xlfn.XLOOKUP($G234,ScoringTable!$S$2:$S$161,ScoringTable!$R$2:$R$161,,1))</f>
        <v>0</v>
      </c>
    </row>
    <row r="235" spans="1:13" s="7" customFormat="1" ht="16.05" customHeight="1">
      <c r="A235" s="243" t="s">
        <v>85</v>
      </c>
      <c r="B235" s="114" t="str">
        <f>IF(ISNA(VLOOKUP($F235,Declarations!B$6:C$185,2,FALSE)),"",IF(VLOOKUP($F235,Declarations!B$6:C$185,2,FALSE)="","NOT DECLARED",IF(ISNA(_xlfn.TEXTBEFORE(VLOOKUP($F235,Declarations!B$6:C$185,2,FALSE)," ")),VLOOKUP($F235,Declarations!B$6:C$185,2,FALSE),_xlfn.TEXTBEFORE(VLOOKUP($F235,Declarations!B$6:C$185,2,FALSE)," "))))</f>
        <v/>
      </c>
      <c r="C235" s="114" t="str">
        <f>IF(ISNA(VLOOKUP($F235,Declarations!B$6:C$185,2,FALSE)),"",IF(VLOOKUP($F235,Declarations!B$6:C$185,2,FALSE)="","NOT DECLARED",IF(ISNA(_xlfn.TEXTAFTER(VLOOKUP($F235,Declarations!B$6:C$185,2,FALSE)," ")),VLOOKUP($F235,Declarations!B$6:C$185,2,FALSE),_xlfn.TEXTAFTER(VLOOKUP($F235,Declarations!B$6:C$185,2,FALSE)," "))))</f>
        <v/>
      </c>
      <c r="D235" s="114" t="str">
        <f>IF(ISNA(VLOOKUP($F235,Declarations!$B$6:$F$185,5,FALSE)),"",IF(VLOOKUP($F235,Declarations!$B$6:$F$185,5,FALSE)="","NOT DECLARED",VLOOKUP($F235,Declarations!$B$6:$F$185,5,FALSE)))</f>
        <v/>
      </c>
      <c r="E235" s="112" t="str">
        <f>IF(ISNA(VLOOKUP($F235,Declarations!$B$6:$D$185,3,FALSE)),"",IF(VLOOKUP($F235,Declarations!$B$6:$D$185,3,FALSE)="","NOT DECLARED",VLOOKUP($F235,Declarations!$B$6:$D$185,3,FALSE)&amp;LEFT(VLOOKUP($F235,Declarations!$B$6:$E$185,4,FALSE))))</f>
        <v/>
      </c>
      <c r="F235" s="58"/>
      <c r="G235" s="122"/>
      <c r="H235" s="122"/>
      <c r="I235" s="114" t="str">
        <f>IF(ISNA(VLOOKUP(F235,Declarations!B$6:C$185,2,FALSE)),"",IF(VLOOKUP(F235,Declarations!B$6:C$185,2,FALSE)="","NOT DECLARED",VLOOKUP(F235,Declarations!B$6:C$185,2,FALSE)))</f>
        <v/>
      </c>
      <c r="J235" s="112">
        <f>IF(LOWER(G235)="dnf",1,IF(G235&lt;ScoringTable!B$3,ScoringTable!I$2,VLOOKUP((1000-G235),ScoringTable!G$2:I$95,3)))</f>
        <v>0</v>
      </c>
      <c r="K235" s="112" t="str">
        <f>IF(OR(E235="",G235=""),"",IF(RIGHT(E235,1)="G",_xlfn.XLOOKUP(G235,Data!$D$10:$L$10,Data!$D$9:$L$9,"",1,1),_xlfn.XLOOKUP(G235,Data!$D$3:$L$3,Data!$D$2:$L$2,"",1,1)))</f>
        <v/>
      </c>
      <c r="L235" s="160" t="str" cm="1">
        <f t="array" ref="L235">IFERROR(_xlfn.IFNA(
                      _xlfn.IFS(
                      G235="", "",
                      AND(E235="U12B",G235&lt;=Data!$M$3), "U12 Boys record",
                      AND(E235="U12G",G235&lt;=Data!$M$10), "U12 Girls record"
                       ),""), "")</f>
        <v/>
      </c>
      <c r="M235" s="18" cm="1">
        <f t="array" ref="M235">_xlfn.IFS($G235="",0, AND(NOT(ISNUMBER($G235)),LOWER($G235)&lt;&gt;"dnf"),"Not a valid time",OR(LOWER($G235)="dnf",$G235&gt;ScoringTable!$M$161),1,RIGHT($E235,1)="B",_xlfn.XLOOKUP($G235,ScoringTable!$M$2:$M$161,ScoringTable!$L$2:$L$161,,1),TRUE,_xlfn.XLOOKUP($G235,ScoringTable!$S$2:$S$161,ScoringTable!$R$2:$R$161,,1))</f>
        <v>0</v>
      </c>
    </row>
    <row r="236" spans="1:13" s="7" customFormat="1" ht="16.05" customHeight="1">
      <c r="A236" s="243" t="s">
        <v>85</v>
      </c>
      <c r="B236" s="114" t="str">
        <f>IF(ISNA(VLOOKUP($F236,Declarations!B$6:C$185,2,FALSE)),"",IF(VLOOKUP($F236,Declarations!B$6:C$185,2,FALSE)="","NOT DECLARED",IF(ISNA(_xlfn.TEXTBEFORE(VLOOKUP($F236,Declarations!B$6:C$185,2,FALSE)," ")),VLOOKUP($F236,Declarations!B$6:C$185,2,FALSE),_xlfn.TEXTBEFORE(VLOOKUP($F236,Declarations!B$6:C$185,2,FALSE)," "))))</f>
        <v/>
      </c>
      <c r="C236" s="114" t="str">
        <f>IF(ISNA(VLOOKUP($F236,Declarations!B$6:C$185,2,FALSE)),"",IF(VLOOKUP($F236,Declarations!B$6:C$185,2,FALSE)="","NOT DECLARED",IF(ISNA(_xlfn.TEXTAFTER(VLOOKUP($F236,Declarations!B$6:C$185,2,FALSE)," ")),VLOOKUP($F236,Declarations!B$6:C$185,2,FALSE),_xlfn.TEXTAFTER(VLOOKUP($F236,Declarations!B$6:C$185,2,FALSE)," "))))</f>
        <v/>
      </c>
      <c r="D236" s="114" t="str">
        <f>IF(ISNA(VLOOKUP($F236,Declarations!$B$6:$F$185,5,FALSE)),"",IF(VLOOKUP($F236,Declarations!$B$6:$F$185,5,FALSE)="","NOT DECLARED",VLOOKUP($F236,Declarations!$B$6:$F$185,5,FALSE)))</f>
        <v/>
      </c>
      <c r="E236" s="112" t="str">
        <f>IF(ISNA(VLOOKUP($F236,Declarations!$B$6:$D$185,3,FALSE)),"",IF(VLOOKUP($F236,Declarations!$B$6:$D$185,3,FALSE)="","NOT DECLARED",VLOOKUP($F236,Declarations!$B$6:$D$185,3,FALSE)&amp;LEFT(VLOOKUP($F236,Declarations!$B$6:$E$185,4,FALSE))))</f>
        <v/>
      </c>
      <c r="F236" s="58"/>
      <c r="G236" s="122"/>
      <c r="H236" s="122"/>
      <c r="I236" s="114" t="str">
        <f>IF(ISNA(VLOOKUP(F236,Declarations!B$6:C$185,2,FALSE)),"",IF(VLOOKUP(F236,Declarations!B$6:C$185,2,FALSE)="","NOT DECLARED",VLOOKUP(F236,Declarations!B$6:C$185,2,FALSE)))</f>
        <v/>
      </c>
      <c r="J236" s="112">
        <f>IF(LOWER(G236)="dnf",1,IF(G236&lt;ScoringTable!B$3,ScoringTable!I$2,VLOOKUP((1000-G236),ScoringTable!G$2:I$95,3)))</f>
        <v>0</v>
      </c>
      <c r="K236" s="112" t="str">
        <f>IF(OR(E236="",G236=""),"",IF(RIGHT(E236,1)="G",_xlfn.XLOOKUP(G236,Data!$D$10:$L$10,Data!$D$9:$L$9,"",1,1),_xlfn.XLOOKUP(G236,Data!$D$3:$L$3,Data!$D$2:$L$2,"",1,1)))</f>
        <v/>
      </c>
      <c r="L236" s="160" t="str" cm="1">
        <f t="array" ref="L236">IFERROR(_xlfn.IFNA(
                      _xlfn.IFS(
                      G236="", "",
                      AND(E236="U12B",G236&lt;=Data!$M$3), "U12 Boys record",
                      AND(E236="U12G",G236&lt;=Data!$M$10), "U12 Girls record"
                       ),""), "")</f>
        <v/>
      </c>
      <c r="M236" s="18" cm="1">
        <f t="array" ref="M236">_xlfn.IFS($G236="",0, AND(NOT(ISNUMBER($G236)),LOWER($G236)&lt;&gt;"dnf"),"Not a valid time",OR(LOWER($G236)="dnf",$G236&gt;ScoringTable!$M$161),1,RIGHT($E236,1)="B",_xlfn.XLOOKUP($G236,ScoringTable!$M$2:$M$161,ScoringTable!$L$2:$L$161,,1),TRUE,_xlfn.XLOOKUP($G236,ScoringTable!$S$2:$S$161,ScoringTable!$R$2:$R$161,,1))</f>
        <v>0</v>
      </c>
    </row>
    <row r="237" spans="1:13" s="7" customFormat="1" ht="16.05" customHeight="1">
      <c r="A237" s="243" t="s">
        <v>85</v>
      </c>
      <c r="B237" s="114" t="str">
        <f>IF(ISNA(VLOOKUP($F237,Declarations!B$6:C$185,2,FALSE)),"",IF(VLOOKUP($F237,Declarations!B$6:C$185,2,FALSE)="","NOT DECLARED",IF(ISNA(_xlfn.TEXTBEFORE(VLOOKUP($F237,Declarations!B$6:C$185,2,FALSE)," ")),VLOOKUP($F237,Declarations!B$6:C$185,2,FALSE),_xlfn.TEXTBEFORE(VLOOKUP($F237,Declarations!B$6:C$185,2,FALSE)," "))))</f>
        <v/>
      </c>
      <c r="C237" s="114" t="str">
        <f>IF(ISNA(VLOOKUP($F237,Declarations!B$6:C$185,2,FALSE)),"",IF(VLOOKUP($F237,Declarations!B$6:C$185,2,FALSE)="","NOT DECLARED",IF(ISNA(_xlfn.TEXTAFTER(VLOOKUP($F237,Declarations!B$6:C$185,2,FALSE)," ")),VLOOKUP($F237,Declarations!B$6:C$185,2,FALSE),_xlfn.TEXTAFTER(VLOOKUP($F237,Declarations!B$6:C$185,2,FALSE)," "))))</f>
        <v/>
      </c>
      <c r="D237" s="114" t="str">
        <f>IF(ISNA(VLOOKUP($F237,Declarations!$B$6:$F$185,5,FALSE)),"",IF(VLOOKUP($F237,Declarations!$B$6:$F$185,5,FALSE)="","NOT DECLARED",VLOOKUP($F237,Declarations!$B$6:$F$185,5,FALSE)))</f>
        <v/>
      </c>
      <c r="E237" s="112" t="str">
        <f>IF(ISNA(VLOOKUP($F237,Declarations!$B$6:$D$185,3,FALSE)),"",IF(VLOOKUP($F237,Declarations!$B$6:$D$185,3,FALSE)="","NOT DECLARED",VLOOKUP($F237,Declarations!$B$6:$D$185,3,FALSE)&amp;LEFT(VLOOKUP($F237,Declarations!$B$6:$E$185,4,FALSE))))</f>
        <v/>
      </c>
      <c r="F237" s="58"/>
      <c r="G237" s="122"/>
      <c r="H237" s="122"/>
      <c r="I237" s="114" t="str">
        <f>IF(ISNA(VLOOKUP(F237,Declarations!B$6:C$185,2,FALSE)),"",IF(VLOOKUP(F237,Declarations!B$6:C$185,2,FALSE)="","NOT DECLARED",VLOOKUP(F237,Declarations!B$6:C$185,2,FALSE)))</f>
        <v/>
      </c>
      <c r="J237" s="112">
        <f>IF(LOWER(G237)="dnf",1,IF(G237&lt;ScoringTable!B$3,ScoringTable!I$2,VLOOKUP((1000-G237),ScoringTable!G$2:I$95,3)))</f>
        <v>0</v>
      </c>
      <c r="K237" s="112" t="str">
        <f>IF(OR(E237="",G237=""),"",IF(RIGHT(E237,1)="G",_xlfn.XLOOKUP(G237,Data!$D$10:$L$10,Data!$D$9:$L$9,"",1,1),_xlfn.XLOOKUP(G237,Data!$D$3:$L$3,Data!$D$2:$L$2,"",1,1)))</f>
        <v/>
      </c>
      <c r="L237" s="160" t="str" cm="1">
        <f t="array" ref="L237">IFERROR(_xlfn.IFNA(
                      _xlfn.IFS(
                      G237="", "",
                      AND(E237="U12B",G237&lt;=Data!$M$3), "U12 Boys record",
                      AND(E237="U12G",G237&lt;=Data!$M$10), "U12 Girls record"
                       ),""), "")</f>
        <v/>
      </c>
      <c r="M237" s="18" cm="1">
        <f t="array" ref="M237">_xlfn.IFS($G237="",0, AND(NOT(ISNUMBER($G237)),LOWER($G237)&lt;&gt;"dnf"),"Not a valid time",OR(LOWER($G237)="dnf",$G237&gt;ScoringTable!$M$161),1,RIGHT($E237,1)="B",_xlfn.XLOOKUP($G237,ScoringTable!$M$2:$M$161,ScoringTable!$L$2:$L$161,,1),TRUE,_xlfn.XLOOKUP($G237,ScoringTable!$S$2:$S$161,ScoringTable!$R$2:$R$161,,1))</f>
        <v>0</v>
      </c>
    </row>
    <row r="238" spans="1:13" s="7" customFormat="1" ht="16.05" customHeight="1">
      <c r="A238" s="243" t="s">
        <v>85</v>
      </c>
      <c r="B238" s="114" t="str">
        <f>IF(ISNA(VLOOKUP($F238,Declarations!B$6:C$185,2,FALSE)),"",IF(VLOOKUP($F238,Declarations!B$6:C$185,2,FALSE)="","NOT DECLARED",IF(ISNA(_xlfn.TEXTBEFORE(VLOOKUP($F238,Declarations!B$6:C$185,2,FALSE)," ")),VLOOKUP($F238,Declarations!B$6:C$185,2,FALSE),_xlfn.TEXTBEFORE(VLOOKUP($F238,Declarations!B$6:C$185,2,FALSE)," "))))</f>
        <v/>
      </c>
      <c r="C238" s="114" t="str">
        <f>IF(ISNA(VLOOKUP($F238,Declarations!B$6:C$185,2,FALSE)),"",IF(VLOOKUP($F238,Declarations!B$6:C$185,2,FALSE)="","NOT DECLARED",IF(ISNA(_xlfn.TEXTAFTER(VLOOKUP($F238,Declarations!B$6:C$185,2,FALSE)," ")),VLOOKUP($F238,Declarations!B$6:C$185,2,FALSE),_xlfn.TEXTAFTER(VLOOKUP($F238,Declarations!B$6:C$185,2,FALSE)," "))))</f>
        <v/>
      </c>
      <c r="D238" s="114" t="str">
        <f>IF(ISNA(VLOOKUP($F238,Declarations!$B$6:$F$185,5,FALSE)),"",IF(VLOOKUP($F238,Declarations!$B$6:$F$185,5,FALSE)="","NOT DECLARED",VLOOKUP($F238,Declarations!$B$6:$F$185,5,FALSE)))</f>
        <v/>
      </c>
      <c r="E238" s="112" t="str">
        <f>IF(ISNA(VLOOKUP($F238,Declarations!$B$6:$D$185,3,FALSE)),"",IF(VLOOKUP($F238,Declarations!$B$6:$D$185,3,FALSE)="","NOT DECLARED",VLOOKUP($F238,Declarations!$B$6:$D$185,3,FALSE)&amp;LEFT(VLOOKUP($F238,Declarations!$B$6:$E$185,4,FALSE))))</f>
        <v/>
      </c>
      <c r="F238" s="58"/>
      <c r="G238" s="122"/>
      <c r="H238" s="122"/>
      <c r="I238" s="114" t="str">
        <f>IF(ISNA(VLOOKUP(F238,Declarations!B$6:C$185,2,FALSE)),"",IF(VLOOKUP(F238,Declarations!B$6:C$185,2,FALSE)="","NOT DECLARED",VLOOKUP(F238,Declarations!B$6:C$185,2,FALSE)))</f>
        <v/>
      </c>
      <c r="J238" s="112">
        <f>IF(LOWER(G238)="dnf",1,IF(G238&lt;ScoringTable!B$3,ScoringTable!I$2,VLOOKUP((1000-G238),ScoringTable!G$2:I$95,3)))</f>
        <v>0</v>
      </c>
      <c r="K238" s="112" t="str">
        <f>IF(OR(E238="",G238=""),"",IF(RIGHT(E238,1)="G",_xlfn.XLOOKUP(G238,Data!$D$10:$L$10,Data!$D$9:$L$9,"",1,1),_xlfn.XLOOKUP(G238,Data!$D$3:$L$3,Data!$D$2:$L$2,"",1,1)))</f>
        <v/>
      </c>
      <c r="L238" s="160" t="str" cm="1">
        <f t="array" ref="L238">IFERROR(_xlfn.IFNA(
                      _xlfn.IFS(
                      G238="", "",
                      AND(E238="U12B",G238&lt;=Data!$M$3), "U12 Boys record",
                      AND(E238="U12G",G238&lt;=Data!$M$10), "U12 Girls record"
                       ),""), "")</f>
        <v/>
      </c>
      <c r="M238" s="18" cm="1">
        <f t="array" ref="M238">_xlfn.IFS($G238="",0, AND(NOT(ISNUMBER($G238)),LOWER($G238)&lt;&gt;"dnf"),"Not a valid time",OR(LOWER($G238)="dnf",$G238&gt;ScoringTable!$M$161),1,RIGHT($E238,1)="B",_xlfn.XLOOKUP($G238,ScoringTable!$M$2:$M$161,ScoringTable!$L$2:$L$161,,1),TRUE,_xlfn.XLOOKUP($G238,ScoringTable!$S$2:$S$161,ScoringTable!$R$2:$R$161,,1))</f>
        <v>0</v>
      </c>
    </row>
    <row r="239" spans="1:13" s="7" customFormat="1" ht="16.05" customHeight="1">
      <c r="A239" s="243" t="s">
        <v>85</v>
      </c>
      <c r="B239" s="114" t="str">
        <f>IF(ISNA(VLOOKUP($F239,Declarations!B$6:C$185,2,FALSE)),"",IF(VLOOKUP($F239,Declarations!B$6:C$185,2,FALSE)="","NOT DECLARED",IF(ISNA(_xlfn.TEXTBEFORE(VLOOKUP($F239,Declarations!B$6:C$185,2,FALSE)," ")),VLOOKUP($F239,Declarations!B$6:C$185,2,FALSE),_xlfn.TEXTBEFORE(VLOOKUP($F239,Declarations!B$6:C$185,2,FALSE)," "))))</f>
        <v/>
      </c>
      <c r="C239" s="114" t="str">
        <f>IF(ISNA(VLOOKUP($F239,Declarations!B$6:C$185,2,FALSE)),"",IF(VLOOKUP($F239,Declarations!B$6:C$185,2,FALSE)="","NOT DECLARED",IF(ISNA(_xlfn.TEXTAFTER(VLOOKUP($F239,Declarations!B$6:C$185,2,FALSE)," ")),VLOOKUP($F239,Declarations!B$6:C$185,2,FALSE),_xlfn.TEXTAFTER(VLOOKUP($F239,Declarations!B$6:C$185,2,FALSE)," "))))</f>
        <v/>
      </c>
      <c r="D239" s="114" t="str">
        <f>IF(ISNA(VLOOKUP($F239,Declarations!$B$6:$F$185,5,FALSE)),"",IF(VLOOKUP($F239,Declarations!$B$6:$F$185,5,FALSE)="","NOT DECLARED",VLOOKUP($F239,Declarations!$B$6:$F$185,5,FALSE)))</f>
        <v/>
      </c>
      <c r="E239" s="112" t="str">
        <f>IF(ISNA(VLOOKUP($F239,Declarations!$B$6:$D$185,3,FALSE)),"",IF(VLOOKUP($F239,Declarations!$B$6:$D$185,3,FALSE)="","NOT DECLARED",VLOOKUP($F239,Declarations!$B$6:$D$185,3,FALSE)&amp;LEFT(VLOOKUP($F239,Declarations!$B$6:$E$185,4,FALSE))))</f>
        <v/>
      </c>
      <c r="F239" s="58"/>
      <c r="G239" s="122"/>
      <c r="H239" s="122"/>
      <c r="I239" s="114" t="str">
        <f>IF(ISNA(VLOOKUP(F239,Declarations!B$6:C$185,2,FALSE)),"",IF(VLOOKUP(F239,Declarations!B$6:C$185,2,FALSE)="","NOT DECLARED",VLOOKUP(F239,Declarations!B$6:C$185,2,FALSE)))</f>
        <v/>
      </c>
      <c r="J239" s="112">
        <f>IF(LOWER(G239)="dnf",1,IF(G239&lt;ScoringTable!B$3,ScoringTable!I$2,VLOOKUP((1000-G239),ScoringTable!G$2:I$95,3)))</f>
        <v>0</v>
      </c>
      <c r="K239" s="112" t="str">
        <f>IF(OR(E239="",G239=""),"",IF(RIGHT(E239,1)="G",_xlfn.XLOOKUP(G239,Data!$D$10:$L$10,Data!$D$9:$L$9,"",1,1),_xlfn.XLOOKUP(G239,Data!$D$3:$L$3,Data!$D$2:$L$2,"",1,1)))</f>
        <v/>
      </c>
      <c r="L239" s="160" t="str" cm="1">
        <f t="array" ref="L239">IFERROR(_xlfn.IFNA(
                      _xlfn.IFS(
                      G239="", "",
                      AND(E239="U12B",G239&lt;=Data!$M$3), "U12 Boys record",
                      AND(E239="U12G",G239&lt;=Data!$M$10), "U12 Girls record"
                       ),""), "")</f>
        <v/>
      </c>
      <c r="M239" s="18" cm="1">
        <f t="array" ref="M239">_xlfn.IFS($G239="",0, AND(NOT(ISNUMBER($G239)),LOWER($G239)&lt;&gt;"dnf"),"Not a valid time",OR(LOWER($G239)="dnf",$G239&gt;ScoringTable!$M$161),1,RIGHT($E239,1)="B",_xlfn.XLOOKUP($G239,ScoringTable!$M$2:$M$161,ScoringTable!$L$2:$L$161,,1),TRUE,_xlfn.XLOOKUP($G239,ScoringTable!$S$2:$S$161,ScoringTable!$R$2:$R$161,,1))</f>
        <v>0</v>
      </c>
    </row>
    <row r="240" spans="1:13" s="7" customFormat="1" ht="16.05" customHeight="1">
      <c r="A240" s="243" t="s">
        <v>85</v>
      </c>
      <c r="B240" s="114" t="str">
        <f>IF(ISNA(VLOOKUP($F240,Declarations!B$6:C$185,2,FALSE)),"",IF(VLOOKUP($F240,Declarations!B$6:C$185,2,FALSE)="","NOT DECLARED",IF(ISNA(_xlfn.TEXTBEFORE(VLOOKUP($F240,Declarations!B$6:C$185,2,FALSE)," ")),VLOOKUP($F240,Declarations!B$6:C$185,2,FALSE),_xlfn.TEXTBEFORE(VLOOKUP($F240,Declarations!B$6:C$185,2,FALSE)," "))))</f>
        <v/>
      </c>
      <c r="C240" s="114" t="str">
        <f>IF(ISNA(VLOOKUP($F240,Declarations!B$6:C$185,2,FALSE)),"",IF(VLOOKUP($F240,Declarations!B$6:C$185,2,FALSE)="","NOT DECLARED",IF(ISNA(_xlfn.TEXTAFTER(VLOOKUP($F240,Declarations!B$6:C$185,2,FALSE)," ")),VLOOKUP($F240,Declarations!B$6:C$185,2,FALSE),_xlfn.TEXTAFTER(VLOOKUP($F240,Declarations!B$6:C$185,2,FALSE)," "))))</f>
        <v/>
      </c>
      <c r="D240" s="114" t="str">
        <f>IF(ISNA(VLOOKUP($F240,Declarations!$B$6:$F$185,5,FALSE)),"",IF(VLOOKUP($F240,Declarations!$B$6:$F$185,5,FALSE)="","NOT DECLARED",VLOOKUP($F240,Declarations!$B$6:$F$185,5,FALSE)))</f>
        <v/>
      </c>
      <c r="E240" s="112" t="str">
        <f>IF(ISNA(VLOOKUP($F240,Declarations!$B$6:$D$185,3,FALSE)),"",IF(VLOOKUP($F240,Declarations!$B$6:$D$185,3,FALSE)="","NOT DECLARED",VLOOKUP($F240,Declarations!$B$6:$D$185,3,FALSE)&amp;LEFT(VLOOKUP($F240,Declarations!$B$6:$E$185,4,FALSE))))</f>
        <v/>
      </c>
      <c r="F240" s="58"/>
      <c r="G240" s="122"/>
      <c r="H240" s="122"/>
      <c r="I240" s="114" t="str">
        <f>IF(ISNA(VLOOKUP(F240,Declarations!B$6:C$185,2,FALSE)),"",IF(VLOOKUP(F240,Declarations!B$6:C$185,2,FALSE)="","NOT DECLARED",VLOOKUP(F240,Declarations!B$6:C$185,2,FALSE)))</f>
        <v/>
      </c>
      <c r="J240" s="112">
        <f>IF(LOWER(G240)="dnf",1,IF(G240&lt;ScoringTable!B$3,ScoringTable!I$2,VLOOKUP((1000-G240),ScoringTable!G$2:I$95,3)))</f>
        <v>0</v>
      </c>
      <c r="K240" s="112" t="str">
        <f>IF(OR(E240="",G240=""),"",IF(RIGHT(E240,1)="G",_xlfn.XLOOKUP(G240,Data!$D$10:$L$10,Data!$D$9:$L$9,"",1,1),_xlfn.XLOOKUP(G240,Data!$D$3:$L$3,Data!$D$2:$L$2,"",1,1)))</f>
        <v/>
      </c>
      <c r="L240" s="160" t="str" cm="1">
        <f t="array" ref="L240">IFERROR(_xlfn.IFNA(
                      _xlfn.IFS(
                      G240="", "",
                      AND(E240="U12B",G240&lt;=Data!$M$3), "U12 Boys record",
                      AND(E240="U12G",G240&lt;=Data!$M$10), "U12 Girls record"
                       ),""), "")</f>
        <v/>
      </c>
      <c r="M240" s="18" cm="1">
        <f t="array" ref="M240">_xlfn.IFS($G240="",0, AND(NOT(ISNUMBER($G240)),LOWER($G240)&lt;&gt;"dnf"),"Not a valid time",OR(LOWER($G240)="dnf",$G240&gt;ScoringTable!$M$161),1,RIGHT($E240,1)="B",_xlfn.XLOOKUP($G240,ScoringTable!$M$2:$M$161,ScoringTable!$L$2:$L$161,,1),TRUE,_xlfn.XLOOKUP($G240,ScoringTable!$S$2:$S$161,ScoringTable!$R$2:$R$161,,1))</f>
        <v>0</v>
      </c>
    </row>
    <row r="241" spans="1:13" s="7" customFormat="1" ht="16.05" customHeight="1">
      <c r="A241" s="243" t="s">
        <v>85</v>
      </c>
      <c r="B241" s="114" t="str">
        <f>IF(ISNA(VLOOKUP($F241,Declarations!B$6:C$185,2,FALSE)),"",IF(VLOOKUP($F241,Declarations!B$6:C$185,2,FALSE)="","NOT DECLARED",IF(ISNA(_xlfn.TEXTBEFORE(VLOOKUP($F241,Declarations!B$6:C$185,2,FALSE)," ")),VLOOKUP($F241,Declarations!B$6:C$185,2,FALSE),_xlfn.TEXTBEFORE(VLOOKUP($F241,Declarations!B$6:C$185,2,FALSE)," "))))</f>
        <v/>
      </c>
      <c r="C241" s="114" t="str">
        <f>IF(ISNA(VLOOKUP($F241,Declarations!B$6:C$185,2,FALSE)),"",IF(VLOOKUP($F241,Declarations!B$6:C$185,2,FALSE)="","NOT DECLARED",IF(ISNA(_xlfn.TEXTAFTER(VLOOKUP($F241,Declarations!B$6:C$185,2,FALSE)," ")),VLOOKUP($F241,Declarations!B$6:C$185,2,FALSE),_xlfn.TEXTAFTER(VLOOKUP($F241,Declarations!B$6:C$185,2,FALSE)," "))))</f>
        <v/>
      </c>
      <c r="D241" s="114" t="str">
        <f>IF(ISNA(VLOOKUP($F241,Declarations!$B$6:$F$185,5,FALSE)),"",IF(VLOOKUP($F241,Declarations!$B$6:$F$185,5,FALSE)="","NOT DECLARED",VLOOKUP($F241,Declarations!$B$6:$F$185,5,FALSE)))</f>
        <v/>
      </c>
      <c r="E241" s="112" t="str">
        <f>IF(ISNA(VLOOKUP($F241,Declarations!$B$6:$D$185,3,FALSE)),"",IF(VLOOKUP($F241,Declarations!$B$6:$D$185,3,FALSE)="","NOT DECLARED",VLOOKUP($F241,Declarations!$B$6:$D$185,3,FALSE)&amp;LEFT(VLOOKUP($F241,Declarations!$B$6:$E$185,4,FALSE))))</f>
        <v/>
      </c>
      <c r="F241" s="58"/>
      <c r="G241" s="122"/>
      <c r="H241" s="122"/>
      <c r="I241" s="114" t="str">
        <f>IF(ISNA(VLOOKUP(F241,Declarations!B$6:C$185,2,FALSE)),"",IF(VLOOKUP(F241,Declarations!B$6:C$185,2,FALSE)="","NOT DECLARED",VLOOKUP(F241,Declarations!B$6:C$185,2,FALSE)))</f>
        <v/>
      </c>
      <c r="J241" s="112">
        <f>IF(LOWER(G241)="dnf",1,IF(G241&lt;ScoringTable!B$3,ScoringTable!I$2,VLOOKUP((1000-G241),ScoringTable!G$2:I$95,3)))</f>
        <v>0</v>
      </c>
      <c r="K241" s="112" t="str">
        <f>IF(OR(E241="",G241=""),"",IF(RIGHT(E241,1)="G",_xlfn.XLOOKUP(G241,Data!$D$10:$L$10,Data!$D$9:$L$9,"",1,1),_xlfn.XLOOKUP(G241,Data!$D$3:$L$3,Data!$D$2:$L$2,"",1,1)))</f>
        <v/>
      </c>
      <c r="L241" s="160" t="str" cm="1">
        <f t="array" ref="L241">IFERROR(_xlfn.IFNA(
                      _xlfn.IFS(
                      G241="", "",
                      AND(E241="U12B",G241&lt;=Data!$M$3), "U12 Boys record",
                      AND(E241="U12G",G241&lt;=Data!$M$10), "U12 Girls record"
                       ),""), "")</f>
        <v/>
      </c>
      <c r="M241" s="18" cm="1">
        <f t="array" ref="M241">_xlfn.IFS($G241="",0, AND(NOT(ISNUMBER($G241)),LOWER($G241)&lt;&gt;"dnf"),"Not a valid time",OR(LOWER($G241)="dnf",$G241&gt;ScoringTable!$M$161),1,RIGHT($E241,1)="B",_xlfn.XLOOKUP($G241,ScoringTable!$M$2:$M$161,ScoringTable!$L$2:$L$161,,1),TRUE,_xlfn.XLOOKUP($G241,ScoringTable!$S$2:$S$161,ScoringTable!$R$2:$R$161,,1))</f>
        <v>0</v>
      </c>
    </row>
    <row r="242" spans="1:13" s="7" customFormat="1" ht="16.05" customHeight="1">
      <c r="A242" s="243" t="s">
        <v>85</v>
      </c>
      <c r="B242" s="114" t="str">
        <f>IF(ISNA(VLOOKUP($F242,Declarations!B$6:C$185,2,FALSE)),"",IF(VLOOKUP($F242,Declarations!B$6:C$185,2,FALSE)="","NOT DECLARED",IF(ISNA(_xlfn.TEXTBEFORE(VLOOKUP($F242,Declarations!B$6:C$185,2,FALSE)," ")),VLOOKUP($F242,Declarations!B$6:C$185,2,FALSE),_xlfn.TEXTBEFORE(VLOOKUP($F242,Declarations!B$6:C$185,2,FALSE)," "))))</f>
        <v/>
      </c>
      <c r="C242" s="114" t="str">
        <f>IF(ISNA(VLOOKUP($F242,Declarations!B$6:C$185,2,FALSE)),"",IF(VLOOKUP($F242,Declarations!B$6:C$185,2,FALSE)="","NOT DECLARED",IF(ISNA(_xlfn.TEXTAFTER(VLOOKUP($F242,Declarations!B$6:C$185,2,FALSE)," ")),VLOOKUP($F242,Declarations!B$6:C$185,2,FALSE),_xlfn.TEXTAFTER(VLOOKUP($F242,Declarations!B$6:C$185,2,FALSE)," "))))</f>
        <v/>
      </c>
      <c r="D242" s="114" t="str">
        <f>IF(ISNA(VLOOKUP($F242,Declarations!$B$6:$F$185,5,FALSE)),"",IF(VLOOKUP($F242,Declarations!$B$6:$F$185,5,FALSE)="","NOT DECLARED",VLOOKUP($F242,Declarations!$B$6:$F$185,5,FALSE)))</f>
        <v/>
      </c>
      <c r="E242" s="112" t="str">
        <f>IF(ISNA(VLOOKUP($F242,Declarations!$B$6:$D$185,3,FALSE)),"",IF(VLOOKUP($F242,Declarations!$B$6:$D$185,3,FALSE)="","NOT DECLARED",VLOOKUP($F242,Declarations!$B$6:$D$185,3,FALSE)&amp;LEFT(VLOOKUP($F242,Declarations!$B$6:$E$185,4,FALSE))))</f>
        <v/>
      </c>
      <c r="F242" s="58"/>
      <c r="G242" s="122"/>
      <c r="H242" s="122"/>
      <c r="I242" s="114" t="str">
        <f>IF(ISNA(VLOOKUP(F242,Declarations!B$6:C$185,2,FALSE)),"",IF(VLOOKUP(F242,Declarations!B$6:C$185,2,FALSE)="","NOT DECLARED",VLOOKUP(F242,Declarations!B$6:C$185,2,FALSE)))</f>
        <v/>
      </c>
      <c r="J242" s="112">
        <f>IF(LOWER(G242)="dnf",1,IF(G242&lt;ScoringTable!B$3,ScoringTable!I$2,VLOOKUP((1000-G242),ScoringTable!G$2:I$95,3)))</f>
        <v>0</v>
      </c>
      <c r="K242" s="112" t="str">
        <f>IF(OR(E242="",G242=""),"",IF(RIGHT(E242,1)="G",_xlfn.XLOOKUP(G242,Data!$D$10:$L$10,Data!$D$9:$L$9,"",1,1),_xlfn.XLOOKUP(G242,Data!$D$3:$L$3,Data!$D$2:$L$2,"",1,1)))</f>
        <v/>
      </c>
      <c r="L242" s="160" t="str" cm="1">
        <f t="array" ref="L242">IFERROR(_xlfn.IFNA(
                      _xlfn.IFS(
                      G242="", "",
                      AND(E242="U12B",G242&lt;=Data!$M$3), "U12 Boys record",
                      AND(E242="U12G",G242&lt;=Data!$M$10), "U12 Girls record"
                       ),""), "")</f>
        <v/>
      </c>
      <c r="M242" s="18" cm="1">
        <f t="array" ref="M242">_xlfn.IFS($G242="",0, AND(NOT(ISNUMBER($G242)),LOWER($G242)&lt;&gt;"dnf"),"Not a valid time",OR(LOWER($G242)="dnf",$G242&gt;ScoringTable!$M$161),1,RIGHT($E242,1)="B",_xlfn.XLOOKUP($G242,ScoringTable!$M$2:$M$161,ScoringTable!$L$2:$L$161,,1),TRUE,_xlfn.XLOOKUP($G242,ScoringTable!$S$2:$S$161,ScoringTable!$R$2:$R$161,,1))</f>
        <v>0</v>
      </c>
    </row>
    <row r="243" spans="1:13" s="7" customFormat="1" ht="16.05" customHeight="1">
      <c r="A243" s="243" t="s">
        <v>85</v>
      </c>
      <c r="B243" s="114" t="str">
        <f>IF(ISNA(VLOOKUP($F243,Declarations!B$6:C$185,2,FALSE)),"",IF(VLOOKUP($F243,Declarations!B$6:C$185,2,FALSE)="","NOT DECLARED",IF(ISNA(_xlfn.TEXTBEFORE(VLOOKUP($F243,Declarations!B$6:C$185,2,FALSE)," ")),VLOOKUP($F243,Declarations!B$6:C$185,2,FALSE),_xlfn.TEXTBEFORE(VLOOKUP($F243,Declarations!B$6:C$185,2,FALSE)," "))))</f>
        <v/>
      </c>
      <c r="C243" s="114" t="str">
        <f>IF(ISNA(VLOOKUP($F243,Declarations!B$6:C$185,2,FALSE)),"",IF(VLOOKUP($F243,Declarations!B$6:C$185,2,FALSE)="","NOT DECLARED",IF(ISNA(_xlfn.TEXTAFTER(VLOOKUP($F243,Declarations!B$6:C$185,2,FALSE)," ")),VLOOKUP($F243,Declarations!B$6:C$185,2,FALSE),_xlfn.TEXTAFTER(VLOOKUP($F243,Declarations!B$6:C$185,2,FALSE)," "))))</f>
        <v/>
      </c>
      <c r="D243" s="114" t="str">
        <f>IF(ISNA(VLOOKUP($F243,Declarations!$B$6:$F$185,5,FALSE)),"",IF(VLOOKUP($F243,Declarations!$B$6:$F$185,5,FALSE)="","NOT DECLARED",VLOOKUP($F243,Declarations!$B$6:$F$185,5,FALSE)))</f>
        <v/>
      </c>
      <c r="E243" s="112" t="str">
        <f>IF(ISNA(VLOOKUP($F243,Declarations!$B$6:$D$185,3,FALSE)),"",IF(VLOOKUP($F243,Declarations!$B$6:$D$185,3,FALSE)="","NOT DECLARED",VLOOKUP($F243,Declarations!$B$6:$D$185,3,FALSE)&amp;LEFT(VLOOKUP($F243,Declarations!$B$6:$E$185,4,FALSE))))</f>
        <v/>
      </c>
      <c r="F243" s="58"/>
      <c r="G243" s="122"/>
      <c r="H243" s="122"/>
      <c r="I243" s="114" t="str">
        <f>IF(ISNA(VLOOKUP(F243,Declarations!B$6:C$185,2,FALSE)),"",IF(VLOOKUP(F243,Declarations!B$6:C$185,2,FALSE)="","NOT DECLARED",VLOOKUP(F243,Declarations!B$6:C$185,2,FALSE)))</f>
        <v/>
      </c>
      <c r="J243" s="112">
        <f>IF(LOWER(G243)="dnf",1,IF(G243&lt;ScoringTable!B$3,ScoringTable!I$2,VLOOKUP((1000-G243),ScoringTable!G$2:I$95,3)))</f>
        <v>0</v>
      </c>
      <c r="K243" s="112" t="str">
        <f>IF(OR(E243="",G243=""),"",IF(RIGHT(E243,1)="G",_xlfn.XLOOKUP(G243,Data!$D$10:$L$10,Data!$D$9:$L$9,"",1,1),_xlfn.XLOOKUP(G243,Data!$D$3:$L$3,Data!$D$2:$L$2,"",1,1)))</f>
        <v/>
      </c>
      <c r="L243" s="160" t="str" cm="1">
        <f t="array" ref="L243">IFERROR(_xlfn.IFNA(
                      _xlfn.IFS(
                      G243="", "",
                      AND(E243="U12B",G243&lt;=Data!$M$3), "U12 Boys record",
                      AND(E243="U12G",G243&lt;=Data!$M$10), "U12 Girls record"
                       ),""), "")</f>
        <v/>
      </c>
      <c r="M243" s="18" cm="1">
        <f t="array" ref="M243">_xlfn.IFS($G243="",0, AND(NOT(ISNUMBER($G243)),LOWER($G243)&lt;&gt;"dnf"),"Not a valid time",OR(LOWER($G243)="dnf",$G243&gt;ScoringTable!$M$161),1,RIGHT($E243,1)="B",_xlfn.XLOOKUP($G243,ScoringTable!$M$2:$M$161,ScoringTable!$L$2:$L$161,,1),TRUE,_xlfn.XLOOKUP($G243,ScoringTable!$S$2:$S$161,ScoringTable!$R$2:$R$161,,1))</f>
        <v>0</v>
      </c>
    </row>
    <row r="244" spans="1:13" s="7" customFormat="1" ht="16.05" customHeight="1">
      <c r="A244" s="243" t="s">
        <v>85</v>
      </c>
      <c r="B244" s="114" t="str">
        <f>IF(ISNA(VLOOKUP($F244,Declarations!B$6:C$185,2,FALSE)),"",IF(VLOOKUP($F244,Declarations!B$6:C$185,2,FALSE)="","NOT DECLARED",IF(ISNA(_xlfn.TEXTBEFORE(VLOOKUP($F244,Declarations!B$6:C$185,2,FALSE)," ")),VLOOKUP($F244,Declarations!B$6:C$185,2,FALSE),_xlfn.TEXTBEFORE(VLOOKUP($F244,Declarations!B$6:C$185,2,FALSE)," "))))</f>
        <v/>
      </c>
      <c r="C244" s="114" t="str">
        <f>IF(ISNA(VLOOKUP($F244,Declarations!B$6:C$185,2,FALSE)),"",IF(VLOOKUP($F244,Declarations!B$6:C$185,2,FALSE)="","NOT DECLARED",IF(ISNA(_xlfn.TEXTAFTER(VLOOKUP($F244,Declarations!B$6:C$185,2,FALSE)," ")),VLOOKUP($F244,Declarations!B$6:C$185,2,FALSE),_xlfn.TEXTAFTER(VLOOKUP($F244,Declarations!B$6:C$185,2,FALSE)," "))))</f>
        <v/>
      </c>
      <c r="D244" s="114" t="str">
        <f>IF(ISNA(VLOOKUP($F244,Declarations!$B$6:$F$185,5,FALSE)),"",IF(VLOOKUP($F244,Declarations!$B$6:$F$185,5,FALSE)="","NOT DECLARED",VLOOKUP($F244,Declarations!$B$6:$F$185,5,FALSE)))</f>
        <v/>
      </c>
      <c r="E244" s="112" t="str">
        <f>IF(ISNA(VLOOKUP($F244,Declarations!$B$6:$D$185,3,FALSE)),"",IF(VLOOKUP($F244,Declarations!$B$6:$D$185,3,FALSE)="","NOT DECLARED",VLOOKUP($F244,Declarations!$B$6:$D$185,3,FALSE)&amp;LEFT(VLOOKUP($F244,Declarations!$B$6:$E$185,4,FALSE))))</f>
        <v/>
      </c>
      <c r="F244" s="58"/>
      <c r="G244" s="122"/>
      <c r="H244" s="122"/>
      <c r="I244" s="114" t="str">
        <f>IF(ISNA(VLOOKUP(F244,Declarations!B$6:C$185,2,FALSE)),"",IF(VLOOKUP(F244,Declarations!B$6:C$185,2,FALSE)="","NOT DECLARED",VLOOKUP(F244,Declarations!B$6:C$185,2,FALSE)))</f>
        <v/>
      </c>
      <c r="J244" s="112">
        <f>IF(LOWER(G244)="dnf",1,IF(G244&lt;ScoringTable!B$3,ScoringTable!I$2,VLOOKUP((1000-G244),ScoringTable!G$2:I$95,3)))</f>
        <v>0</v>
      </c>
      <c r="K244" s="112" t="str">
        <f>IF(OR(E244="",G244=""),"",IF(RIGHT(E244,1)="G",_xlfn.XLOOKUP(G244,Data!$D$10:$L$10,Data!$D$9:$L$9,"",1,1),_xlfn.XLOOKUP(G244,Data!$D$3:$L$3,Data!$D$2:$L$2,"",1,1)))</f>
        <v/>
      </c>
      <c r="L244" s="160" t="str" cm="1">
        <f t="array" ref="L244">IFERROR(_xlfn.IFNA(
                      _xlfn.IFS(
                      G244="", "",
                      AND(E244="U12B",G244&lt;=Data!$M$3), "U12 Boys record",
                      AND(E244="U12G",G244&lt;=Data!$M$10), "U12 Girls record"
                       ),""), "")</f>
        <v/>
      </c>
      <c r="M244" s="18" cm="1">
        <f t="array" ref="M244">_xlfn.IFS($G244="",0, AND(NOT(ISNUMBER($G244)),LOWER($G244)&lt;&gt;"dnf"),"Not a valid time",OR(LOWER($G244)="dnf",$G244&gt;ScoringTable!$M$161),1,RIGHT($E244,1)="B",_xlfn.XLOOKUP($G244,ScoringTable!$M$2:$M$161,ScoringTable!$L$2:$L$161,,1),TRUE,_xlfn.XLOOKUP($G244,ScoringTable!$S$2:$S$161,ScoringTable!$R$2:$R$161,,1))</f>
        <v>0</v>
      </c>
    </row>
    <row r="245" spans="1:13" s="7" customFormat="1" ht="16.05" customHeight="1">
      <c r="A245" s="243" t="s">
        <v>85</v>
      </c>
      <c r="B245" s="114" t="str">
        <f>IF(ISNA(VLOOKUP($F245,Declarations!B$6:C$185,2,FALSE)),"",IF(VLOOKUP($F245,Declarations!B$6:C$185,2,FALSE)="","NOT DECLARED",IF(ISNA(_xlfn.TEXTBEFORE(VLOOKUP($F245,Declarations!B$6:C$185,2,FALSE)," ")),VLOOKUP($F245,Declarations!B$6:C$185,2,FALSE),_xlfn.TEXTBEFORE(VLOOKUP($F245,Declarations!B$6:C$185,2,FALSE)," "))))</f>
        <v/>
      </c>
      <c r="C245" s="114" t="str">
        <f>IF(ISNA(VLOOKUP($F245,Declarations!B$6:C$185,2,FALSE)),"",IF(VLOOKUP($F245,Declarations!B$6:C$185,2,FALSE)="","NOT DECLARED",IF(ISNA(_xlfn.TEXTAFTER(VLOOKUP($F245,Declarations!B$6:C$185,2,FALSE)," ")),VLOOKUP($F245,Declarations!B$6:C$185,2,FALSE),_xlfn.TEXTAFTER(VLOOKUP($F245,Declarations!B$6:C$185,2,FALSE)," "))))</f>
        <v/>
      </c>
      <c r="D245" s="114" t="str">
        <f>IF(ISNA(VLOOKUP($F245,Declarations!$B$6:$F$185,5,FALSE)),"",IF(VLOOKUP($F245,Declarations!$B$6:$F$185,5,FALSE)="","NOT DECLARED",VLOOKUP($F245,Declarations!$B$6:$F$185,5,FALSE)))</f>
        <v/>
      </c>
      <c r="E245" s="112" t="str">
        <f>IF(ISNA(VLOOKUP($F245,Declarations!$B$6:$D$185,3,FALSE)),"",IF(VLOOKUP($F245,Declarations!$B$6:$D$185,3,FALSE)="","NOT DECLARED",VLOOKUP($F245,Declarations!$B$6:$D$185,3,FALSE)&amp;LEFT(VLOOKUP($F245,Declarations!$B$6:$E$185,4,FALSE))))</f>
        <v/>
      </c>
      <c r="F245" s="58"/>
      <c r="G245" s="122"/>
      <c r="H245" s="122"/>
      <c r="I245" s="114" t="str">
        <f>IF(ISNA(VLOOKUP(F245,Declarations!B$6:C$185,2,FALSE)),"",IF(VLOOKUP(F245,Declarations!B$6:C$185,2,FALSE)="","NOT DECLARED",VLOOKUP(F245,Declarations!B$6:C$185,2,FALSE)))</f>
        <v/>
      </c>
      <c r="J245" s="112">
        <f>IF(LOWER(G245)="dnf",1,IF(G245&lt;ScoringTable!B$3,ScoringTable!I$2,VLOOKUP((1000-G245),ScoringTable!G$2:I$95,3)))</f>
        <v>0</v>
      </c>
      <c r="K245" s="112" t="str">
        <f>IF(OR(E245="",G245=""),"",IF(RIGHT(E245,1)="G",_xlfn.XLOOKUP(G245,Data!$D$10:$L$10,Data!$D$9:$L$9,"",1,1),_xlfn.XLOOKUP(G245,Data!$D$3:$L$3,Data!$D$2:$L$2,"",1,1)))</f>
        <v/>
      </c>
      <c r="L245" s="160" t="str" cm="1">
        <f t="array" ref="L245">IFERROR(_xlfn.IFNA(
                      _xlfn.IFS(
                      G245="", "",
                      AND(E245="U12B",G245&lt;=Data!$M$3), "U12 Boys record",
                      AND(E245="U12G",G245&lt;=Data!$M$10), "U12 Girls record"
                       ),""), "")</f>
        <v/>
      </c>
      <c r="M245" s="18" cm="1">
        <f t="array" ref="M245">_xlfn.IFS($G245="",0, AND(NOT(ISNUMBER($G245)),LOWER($G245)&lt;&gt;"dnf"),"Not a valid time",OR(LOWER($G245)="dnf",$G245&gt;ScoringTable!$M$161),1,RIGHT($E245,1)="B",_xlfn.XLOOKUP($G245,ScoringTable!$M$2:$M$161,ScoringTable!$L$2:$L$161,,1),TRUE,_xlfn.XLOOKUP($G245,ScoringTable!$S$2:$S$161,ScoringTable!$R$2:$R$161,,1))</f>
        <v>0</v>
      </c>
    </row>
    <row r="246" spans="1:13" s="7" customFormat="1" ht="16.05" customHeight="1">
      <c r="A246" s="243" t="s">
        <v>85</v>
      </c>
      <c r="B246" s="114" t="str">
        <f>IF(ISNA(VLOOKUP($F246,Declarations!B$6:C$185,2,FALSE)),"",IF(VLOOKUP($F246,Declarations!B$6:C$185,2,FALSE)="","NOT DECLARED",IF(ISNA(_xlfn.TEXTBEFORE(VLOOKUP($F246,Declarations!B$6:C$185,2,FALSE)," ")),VLOOKUP($F246,Declarations!B$6:C$185,2,FALSE),_xlfn.TEXTBEFORE(VLOOKUP($F246,Declarations!B$6:C$185,2,FALSE)," "))))</f>
        <v/>
      </c>
      <c r="C246" s="114" t="str">
        <f>IF(ISNA(VLOOKUP($F246,Declarations!B$6:C$185,2,FALSE)),"",IF(VLOOKUP($F246,Declarations!B$6:C$185,2,FALSE)="","NOT DECLARED",IF(ISNA(_xlfn.TEXTAFTER(VLOOKUP($F246,Declarations!B$6:C$185,2,FALSE)," ")),VLOOKUP($F246,Declarations!B$6:C$185,2,FALSE),_xlfn.TEXTAFTER(VLOOKUP($F246,Declarations!B$6:C$185,2,FALSE)," "))))</f>
        <v/>
      </c>
      <c r="D246" s="114" t="str">
        <f>IF(ISNA(VLOOKUP($F246,Declarations!$B$6:$F$185,5,FALSE)),"",IF(VLOOKUP($F246,Declarations!$B$6:$F$185,5,FALSE)="","NOT DECLARED",VLOOKUP($F246,Declarations!$B$6:$F$185,5,FALSE)))</f>
        <v/>
      </c>
      <c r="E246" s="112" t="str">
        <f>IF(ISNA(VLOOKUP($F246,Declarations!$B$6:$D$185,3,FALSE)),"",IF(VLOOKUP($F246,Declarations!$B$6:$D$185,3,FALSE)="","NOT DECLARED",VLOOKUP($F246,Declarations!$B$6:$D$185,3,FALSE)&amp;LEFT(VLOOKUP($F246,Declarations!$B$6:$E$185,4,FALSE))))</f>
        <v/>
      </c>
      <c r="F246" s="58"/>
      <c r="G246" s="122"/>
      <c r="H246" s="122"/>
      <c r="I246" s="114" t="str">
        <f>IF(ISNA(VLOOKUP(F246,Declarations!B$6:C$185,2,FALSE)),"",IF(VLOOKUP(F246,Declarations!B$6:C$185,2,FALSE)="","NOT DECLARED",VLOOKUP(F246,Declarations!B$6:C$185,2,FALSE)))</f>
        <v/>
      </c>
      <c r="J246" s="112">
        <f>IF(LOWER(G246)="dnf",1,IF(G246&lt;ScoringTable!B$3,ScoringTable!I$2,VLOOKUP((1000-G246),ScoringTable!G$2:I$95,3)))</f>
        <v>0</v>
      </c>
      <c r="K246" s="112" t="str">
        <f>IF(OR(E246="",G246=""),"",IF(RIGHT(E246,1)="G",_xlfn.XLOOKUP(G246,Data!$D$10:$L$10,Data!$D$9:$L$9,"",1,1),_xlfn.XLOOKUP(G246,Data!$D$3:$L$3,Data!$D$2:$L$2,"",1,1)))</f>
        <v/>
      </c>
      <c r="L246" s="160" t="str" cm="1">
        <f t="array" ref="L246">IFERROR(_xlfn.IFNA(
                      _xlfn.IFS(
                      G246="", "",
                      AND(E246="U12B",G246&lt;=Data!$M$3), "U12 Boys record",
                      AND(E246="U12G",G246&lt;=Data!$M$10), "U12 Girls record"
                       ),""), "")</f>
        <v/>
      </c>
      <c r="M246" s="18" cm="1">
        <f t="array" ref="M246">_xlfn.IFS($G246="",0, AND(NOT(ISNUMBER($G246)),LOWER($G246)&lt;&gt;"dnf"),"Not a valid time",OR(LOWER($G246)="dnf",$G246&gt;ScoringTable!$M$161),1,RIGHT($E246,1)="B",_xlfn.XLOOKUP($G246,ScoringTable!$M$2:$M$161,ScoringTable!$L$2:$L$161,,1),TRUE,_xlfn.XLOOKUP($G246,ScoringTable!$S$2:$S$161,ScoringTable!$R$2:$R$161,,1))</f>
        <v>0</v>
      </c>
    </row>
    <row r="247" spans="1:13" s="7" customFormat="1" ht="16.05" customHeight="1">
      <c r="A247" s="243" t="s">
        <v>85</v>
      </c>
      <c r="B247" s="114" t="str">
        <f>IF(ISNA(VLOOKUP($F247,Declarations!B$6:C$185,2,FALSE)),"",IF(VLOOKUP($F247,Declarations!B$6:C$185,2,FALSE)="","NOT DECLARED",IF(ISNA(_xlfn.TEXTBEFORE(VLOOKUP($F247,Declarations!B$6:C$185,2,FALSE)," ")),VLOOKUP($F247,Declarations!B$6:C$185,2,FALSE),_xlfn.TEXTBEFORE(VLOOKUP($F247,Declarations!B$6:C$185,2,FALSE)," "))))</f>
        <v/>
      </c>
      <c r="C247" s="114" t="str">
        <f>IF(ISNA(VLOOKUP($F247,Declarations!B$6:C$185,2,FALSE)),"",IF(VLOOKUP($F247,Declarations!B$6:C$185,2,FALSE)="","NOT DECLARED",IF(ISNA(_xlfn.TEXTAFTER(VLOOKUP($F247,Declarations!B$6:C$185,2,FALSE)," ")),VLOOKUP($F247,Declarations!B$6:C$185,2,FALSE),_xlfn.TEXTAFTER(VLOOKUP($F247,Declarations!B$6:C$185,2,FALSE)," "))))</f>
        <v/>
      </c>
      <c r="D247" s="114" t="str">
        <f>IF(ISNA(VLOOKUP($F247,Declarations!$B$6:$F$185,5,FALSE)),"",IF(VLOOKUP($F247,Declarations!$B$6:$F$185,5,FALSE)="","NOT DECLARED",VLOOKUP($F247,Declarations!$B$6:$F$185,5,FALSE)))</f>
        <v/>
      </c>
      <c r="E247" s="112" t="str">
        <f>IF(ISNA(VLOOKUP($F247,Declarations!$B$6:$D$185,3,FALSE)),"",IF(VLOOKUP($F247,Declarations!$B$6:$D$185,3,FALSE)="","NOT DECLARED",VLOOKUP($F247,Declarations!$B$6:$D$185,3,FALSE)&amp;LEFT(VLOOKUP($F247,Declarations!$B$6:$E$185,4,FALSE))))</f>
        <v/>
      </c>
      <c r="F247" s="58"/>
      <c r="G247" s="122"/>
      <c r="H247" s="122"/>
      <c r="I247" s="114" t="str">
        <f>IF(ISNA(VLOOKUP(F247,Declarations!B$6:C$185,2,FALSE)),"",IF(VLOOKUP(F247,Declarations!B$6:C$185,2,FALSE)="","NOT DECLARED",VLOOKUP(F247,Declarations!B$6:C$185,2,FALSE)))</f>
        <v/>
      </c>
      <c r="J247" s="112">
        <f>IF(LOWER(G247)="dnf",1,IF(G247&lt;ScoringTable!B$3,ScoringTable!I$2,VLOOKUP((1000-G247),ScoringTable!G$2:I$95,3)))</f>
        <v>0</v>
      </c>
      <c r="K247" s="112" t="str">
        <f>IF(OR(E247="",G247=""),"",IF(RIGHT(E247,1)="G",_xlfn.XLOOKUP(G247,Data!$D$10:$L$10,Data!$D$9:$L$9,"",1,1),_xlfn.XLOOKUP(G247,Data!$D$3:$L$3,Data!$D$2:$L$2,"",1,1)))</f>
        <v/>
      </c>
      <c r="L247" s="160" t="str" cm="1">
        <f t="array" ref="L247">IFERROR(_xlfn.IFNA(
                      _xlfn.IFS(
                      G247="", "",
                      AND(E247="U12B",G247&lt;=Data!$M$3), "U12 Boys record",
                      AND(E247="U12G",G247&lt;=Data!$M$10), "U12 Girls record"
                       ),""), "")</f>
        <v/>
      </c>
      <c r="M247" s="18" cm="1">
        <f t="array" ref="M247">_xlfn.IFS($G247="",0, AND(NOT(ISNUMBER($G247)),LOWER($G247)&lt;&gt;"dnf"),"Not a valid time",OR(LOWER($G247)="dnf",$G247&gt;ScoringTable!$M$161),1,RIGHT($E247,1)="B",_xlfn.XLOOKUP($G247,ScoringTable!$M$2:$M$161,ScoringTable!$L$2:$L$161,,1),TRUE,_xlfn.XLOOKUP($G247,ScoringTable!$S$2:$S$161,ScoringTable!$R$2:$R$161,,1))</f>
        <v>0</v>
      </c>
    </row>
    <row r="248" spans="1:13" s="7" customFormat="1" ht="16.05" customHeight="1">
      <c r="A248" s="243" t="s">
        <v>85</v>
      </c>
      <c r="B248" s="114" t="str">
        <f>IF(ISNA(VLOOKUP($F248,Declarations!B$6:C$185,2,FALSE)),"",IF(VLOOKUP($F248,Declarations!B$6:C$185,2,FALSE)="","NOT DECLARED",IF(ISNA(_xlfn.TEXTBEFORE(VLOOKUP($F248,Declarations!B$6:C$185,2,FALSE)," ")),VLOOKUP($F248,Declarations!B$6:C$185,2,FALSE),_xlfn.TEXTBEFORE(VLOOKUP($F248,Declarations!B$6:C$185,2,FALSE)," "))))</f>
        <v/>
      </c>
      <c r="C248" s="114" t="str">
        <f>IF(ISNA(VLOOKUP($F248,Declarations!B$6:C$185,2,FALSE)),"",IF(VLOOKUP($F248,Declarations!B$6:C$185,2,FALSE)="","NOT DECLARED",IF(ISNA(_xlfn.TEXTAFTER(VLOOKUP($F248,Declarations!B$6:C$185,2,FALSE)," ")),VLOOKUP($F248,Declarations!B$6:C$185,2,FALSE),_xlfn.TEXTAFTER(VLOOKUP($F248,Declarations!B$6:C$185,2,FALSE)," "))))</f>
        <v/>
      </c>
      <c r="D248" s="114" t="str">
        <f>IF(ISNA(VLOOKUP($F248,Declarations!$B$6:$F$185,5,FALSE)),"",IF(VLOOKUP($F248,Declarations!$B$6:$F$185,5,FALSE)="","NOT DECLARED",VLOOKUP($F248,Declarations!$B$6:$F$185,5,FALSE)))</f>
        <v/>
      </c>
      <c r="E248" s="112" t="str">
        <f>IF(ISNA(VLOOKUP($F248,Declarations!$B$6:$D$185,3,FALSE)),"",IF(VLOOKUP($F248,Declarations!$B$6:$D$185,3,FALSE)="","NOT DECLARED",VLOOKUP($F248,Declarations!$B$6:$D$185,3,FALSE)&amp;LEFT(VLOOKUP($F248,Declarations!$B$6:$E$185,4,FALSE))))</f>
        <v/>
      </c>
      <c r="F248" s="58"/>
      <c r="G248" s="122"/>
      <c r="H248" s="122"/>
      <c r="I248" s="114" t="str">
        <f>IF(ISNA(VLOOKUP(F248,Declarations!B$6:C$185,2,FALSE)),"",IF(VLOOKUP(F248,Declarations!B$6:C$185,2,FALSE)="","NOT DECLARED",VLOOKUP(F248,Declarations!B$6:C$185,2,FALSE)))</f>
        <v/>
      </c>
      <c r="J248" s="112">
        <f>IF(LOWER(G248)="dnf",1,IF(G248&lt;ScoringTable!B$3,ScoringTable!I$2,VLOOKUP((1000-G248),ScoringTable!G$2:I$95,3)))</f>
        <v>0</v>
      </c>
      <c r="K248" s="112" t="str">
        <f>IF(OR(E248="",G248=""),"",IF(RIGHT(E248,1)="G",_xlfn.XLOOKUP(G248,Data!$D$10:$L$10,Data!$D$9:$L$9,"",1,1),_xlfn.XLOOKUP(G248,Data!$D$3:$L$3,Data!$D$2:$L$2,"",1,1)))</f>
        <v/>
      </c>
      <c r="L248" s="160" t="str" cm="1">
        <f t="array" ref="L248">IFERROR(_xlfn.IFNA(
                      _xlfn.IFS(
                      G248="", "",
                      AND(E248="U12B",G248&lt;=Data!$M$3), "U12 Boys record",
                      AND(E248="U12G",G248&lt;=Data!$M$10), "U12 Girls record"
                       ),""), "")</f>
        <v/>
      </c>
      <c r="M248" s="18" cm="1">
        <f t="array" ref="M248">_xlfn.IFS($G248="",0, AND(NOT(ISNUMBER($G248)),LOWER($G248)&lt;&gt;"dnf"),"Not a valid time",OR(LOWER($G248)="dnf",$G248&gt;ScoringTable!$M$161),1,RIGHT($E248,1)="B",_xlfn.XLOOKUP($G248,ScoringTable!$M$2:$M$161,ScoringTable!$L$2:$L$161,,1),TRUE,_xlfn.XLOOKUP($G248,ScoringTable!$S$2:$S$161,ScoringTable!$R$2:$R$161,,1))</f>
        <v>0</v>
      </c>
    </row>
    <row r="249" spans="1:13" s="7" customFormat="1" ht="16.05" customHeight="1">
      <c r="A249" s="243" t="s">
        <v>85</v>
      </c>
      <c r="B249" s="114" t="str">
        <f>IF(ISNA(VLOOKUP($F249,Declarations!B$6:C$185,2,FALSE)),"",IF(VLOOKUP($F249,Declarations!B$6:C$185,2,FALSE)="","NOT DECLARED",IF(ISNA(_xlfn.TEXTBEFORE(VLOOKUP($F249,Declarations!B$6:C$185,2,FALSE)," ")),VLOOKUP($F249,Declarations!B$6:C$185,2,FALSE),_xlfn.TEXTBEFORE(VLOOKUP($F249,Declarations!B$6:C$185,2,FALSE)," "))))</f>
        <v/>
      </c>
      <c r="C249" s="114" t="str">
        <f>IF(ISNA(VLOOKUP($F249,Declarations!B$6:C$185,2,FALSE)),"",IF(VLOOKUP($F249,Declarations!B$6:C$185,2,FALSE)="","NOT DECLARED",IF(ISNA(_xlfn.TEXTAFTER(VLOOKUP($F249,Declarations!B$6:C$185,2,FALSE)," ")),VLOOKUP($F249,Declarations!B$6:C$185,2,FALSE),_xlfn.TEXTAFTER(VLOOKUP($F249,Declarations!B$6:C$185,2,FALSE)," "))))</f>
        <v/>
      </c>
      <c r="D249" s="114" t="str">
        <f>IF(ISNA(VLOOKUP($F249,Declarations!$B$6:$F$185,5,FALSE)),"",IF(VLOOKUP($F249,Declarations!$B$6:$F$185,5,FALSE)="","NOT DECLARED",VLOOKUP($F249,Declarations!$B$6:$F$185,5,FALSE)))</f>
        <v/>
      </c>
      <c r="E249" s="112" t="str">
        <f>IF(ISNA(VLOOKUP($F249,Declarations!$B$6:$D$185,3,FALSE)),"",IF(VLOOKUP($F249,Declarations!$B$6:$D$185,3,FALSE)="","NOT DECLARED",VLOOKUP($F249,Declarations!$B$6:$D$185,3,FALSE)&amp;LEFT(VLOOKUP($F249,Declarations!$B$6:$E$185,4,FALSE))))</f>
        <v/>
      </c>
      <c r="F249" s="58"/>
      <c r="G249" s="122"/>
      <c r="H249" s="122"/>
      <c r="I249" s="114" t="str">
        <f>IF(ISNA(VLOOKUP(F249,Declarations!B$6:C$185,2,FALSE)),"",IF(VLOOKUP(F249,Declarations!B$6:C$185,2,FALSE)="","NOT DECLARED",VLOOKUP(F249,Declarations!B$6:C$185,2,FALSE)))</f>
        <v/>
      </c>
      <c r="J249" s="112">
        <f>IF(LOWER(G249)="dnf",1,IF(G249&lt;ScoringTable!B$3,ScoringTable!I$2,VLOOKUP((1000-G249),ScoringTable!G$2:I$95,3)))</f>
        <v>0</v>
      </c>
      <c r="K249" s="112" t="str">
        <f>IF(OR(E249="",G249=""),"",IF(RIGHT(E249,1)="G",_xlfn.XLOOKUP(G249,Data!$D$10:$L$10,Data!$D$9:$L$9,"",1,1),_xlfn.XLOOKUP(G249,Data!$D$3:$L$3,Data!$D$2:$L$2,"",1,1)))</f>
        <v/>
      </c>
      <c r="L249" s="160" t="str" cm="1">
        <f t="array" ref="L249">IFERROR(_xlfn.IFNA(
                      _xlfn.IFS(
                      G249="", "",
                      AND(E249="U12B",G249&lt;=Data!$M$3), "U12 Boys record",
                      AND(E249="U12G",G249&lt;=Data!$M$10), "U12 Girls record"
                       ),""), "")</f>
        <v/>
      </c>
      <c r="M249" s="18" cm="1">
        <f t="array" ref="M249">_xlfn.IFS($G249="",0, AND(NOT(ISNUMBER($G249)),LOWER($G249)&lt;&gt;"dnf"),"Not a valid time",OR(LOWER($G249)="dnf",$G249&gt;ScoringTable!$M$161),1,RIGHT($E249,1)="B",_xlfn.XLOOKUP($G249,ScoringTable!$M$2:$M$161,ScoringTable!$L$2:$L$161,,1),TRUE,_xlfn.XLOOKUP($G249,ScoringTable!$S$2:$S$161,ScoringTable!$R$2:$R$161,,1))</f>
        <v>0</v>
      </c>
    </row>
    <row r="250" spans="1:13" s="7" customFormat="1" ht="16.05" customHeight="1">
      <c r="A250" s="243" t="s">
        <v>85</v>
      </c>
      <c r="B250" s="114" t="str">
        <f>IF(ISNA(VLOOKUP($F250,Declarations!B$6:C$185,2,FALSE)),"",IF(VLOOKUP($F250,Declarations!B$6:C$185,2,FALSE)="","NOT DECLARED",IF(ISNA(_xlfn.TEXTBEFORE(VLOOKUP($F250,Declarations!B$6:C$185,2,FALSE)," ")),VLOOKUP($F250,Declarations!B$6:C$185,2,FALSE),_xlfn.TEXTBEFORE(VLOOKUP($F250,Declarations!B$6:C$185,2,FALSE)," "))))</f>
        <v/>
      </c>
      <c r="C250" s="114" t="str">
        <f>IF(ISNA(VLOOKUP($F250,Declarations!B$6:C$185,2,FALSE)),"",IF(VLOOKUP($F250,Declarations!B$6:C$185,2,FALSE)="","NOT DECLARED",IF(ISNA(_xlfn.TEXTAFTER(VLOOKUP($F250,Declarations!B$6:C$185,2,FALSE)," ")),VLOOKUP($F250,Declarations!B$6:C$185,2,FALSE),_xlfn.TEXTAFTER(VLOOKUP($F250,Declarations!B$6:C$185,2,FALSE)," "))))</f>
        <v/>
      </c>
      <c r="D250" s="114" t="str">
        <f>IF(ISNA(VLOOKUP($F250,Declarations!$B$6:$F$185,5,FALSE)),"",IF(VLOOKUP($F250,Declarations!$B$6:$F$185,5,FALSE)="","NOT DECLARED",VLOOKUP($F250,Declarations!$B$6:$F$185,5,FALSE)))</f>
        <v/>
      </c>
      <c r="E250" s="112" t="str">
        <f>IF(ISNA(VLOOKUP($F250,Declarations!$B$6:$D$185,3,FALSE)),"",IF(VLOOKUP($F250,Declarations!$B$6:$D$185,3,FALSE)="","NOT DECLARED",VLOOKUP($F250,Declarations!$B$6:$D$185,3,FALSE)&amp;LEFT(VLOOKUP($F250,Declarations!$B$6:$E$185,4,FALSE))))</f>
        <v/>
      </c>
      <c r="F250" s="58"/>
      <c r="G250" s="122"/>
      <c r="H250" s="122"/>
      <c r="I250" s="114" t="str">
        <f>IF(ISNA(VLOOKUP(F250,Declarations!B$6:C$185,2,FALSE)),"",IF(VLOOKUP(F250,Declarations!B$6:C$185,2,FALSE)="","NOT DECLARED",VLOOKUP(F250,Declarations!B$6:C$185,2,FALSE)))</f>
        <v/>
      </c>
      <c r="J250" s="112">
        <f>IF(LOWER(G250)="dnf",1,IF(G250&lt;ScoringTable!B$3,ScoringTable!I$2,VLOOKUP((1000-G250),ScoringTable!G$2:I$95,3)))</f>
        <v>0</v>
      </c>
      <c r="K250" s="112" t="str">
        <f>IF(OR(E250="",G250=""),"",IF(RIGHT(E250,1)="G",_xlfn.XLOOKUP(G250,Data!$D$10:$L$10,Data!$D$9:$L$9,"",1,1),_xlfn.XLOOKUP(G250,Data!$D$3:$L$3,Data!$D$2:$L$2,"",1,1)))</f>
        <v/>
      </c>
      <c r="L250" s="160" t="str" cm="1">
        <f t="array" ref="L250">IFERROR(_xlfn.IFNA(
                      _xlfn.IFS(
                      G250="", "",
                      AND(E250="U12B",G250&lt;=Data!$M$3), "U12 Boys record",
                      AND(E250="U12G",G250&lt;=Data!$M$10), "U12 Girls record"
                       ),""), "")</f>
        <v/>
      </c>
      <c r="M250" s="18" cm="1">
        <f t="array" ref="M250">_xlfn.IFS($G250="",0, AND(NOT(ISNUMBER($G250)),LOWER($G250)&lt;&gt;"dnf"),"Not a valid time",OR(LOWER($G250)="dnf",$G250&gt;ScoringTable!$M$161),1,RIGHT($E250,1)="B",_xlfn.XLOOKUP($G250,ScoringTable!$M$2:$M$161,ScoringTable!$L$2:$L$161,,1),TRUE,_xlfn.XLOOKUP($G250,ScoringTable!$S$2:$S$161,ScoringTable!$R$2:$R$161,,1))</f>
        <v>0</v>
      </c>
    </row>
    <row r="251" spans="1:13" s="7" customFormat="1" ht="16.05" customHeight="1">
      <c r="A251" s="243" t="s">
        <v>85</v>
      </c>
      <c r="B251" s="114" t="str">
        <f>IF(ISNA(VLOOKUP($F251,Declarations!B$6:C$185,2,FALSE)),"",IF(VLOOKUP($F251,Declarations!B$6:C$185,2,FALSE)="","NOT DECLARED",IF(ISNA(_xlfn.TEXTBEFORE(VLOOKUP($F251,Declarations!B$6:C$185,2,FALSE)," ")),VLOOKUP($F251,Declarations!B$6:C$185,2,FALSE),_xlfn.TEXTBEFORE(VLOOKUP($F251,Declarations!B$6:C$185,2,FALSE)," "))))</f>
        <v/>
      </c>
      <c r="C251" s="114" t="str">
        <f>IF(ISNA(VLOOKUP($F251,Declarations!B$6:C$185,2,FALSE)),"",IF(VLOOKUP($F251,Declarations!B$6:C$185,2,FALSE)="","NOT DECLARED",IF(ISNA(_xlfn.TEXTAFTER(VLOOKUP($F251,Declarations!B$6:C$185,2,FALSE)," ")),VLOOKUP($F251,Declarations!B$6:C$185,2,FALSE),_xlfn.TEXTAFTER(VLOOKUP($F251,Declarations!B$6:C$185,2,FALSE)," "))))</f>
        <v/>
      </c>
      <c r="D251" s="114" t="str">
        <f>IF(ISNA(VLOOKUP($F251,Declarations!$B$6:$F$185,5,FALSE)),"",IF(VLOOKUP($F251,Declarations!$B$6:$F$185,5,FALSE)="","NOT DECLARED",VLOOKUP($F251,Declarations!$B$6:$F$185,5,FALSE)))</f>
        <v/>
      </c>
      <c r="E251" s="112" t="str">
        <f>IF(ISNA(VLOOKUP($F251,Declarations!$B$6:$D$185,3,FALSE)),"",IF(VLOOKUP($F251,Declarations!$B$6:$D$185,3,FALSE)="","NOT DECLARED",VLOOKUP($F251,Declarations!$B$6:$D$185,3,FALSE)&amp;LEFT(VLOOKUP($F251,Declarations!$B$6:$E$185,4,FALSE))))</f>
        <v/>
      </c>
      <c r="F251" s="58"/>
      <c r="G251" s="122"/>
      <c r="H251" s="122"/>
      <c r="I251" s="114" t="str">
        <f>IF(ISNA(VLOOKUP(F251,Declarations!B$6:C$185,2,FALSE)),"",IF(VLOOKUP(F251,Declarations!B$6:C$185,2,FALSE)="","NOT DECLARED",VLOOKUP(F251,Declarations!B$6:C$185,2,FALSE)))</f>
        <v/>
      </c>
      <c r="J251" s="112">
        <f>IF(LOWER(G251)="dnf",1,IF(G251&lt;ScoringTable!B$3,ScoringTable!I$2,VLOOKUP((1000-G251),ScoringTable!G$2:I$95,3)))</f>
        <v>0</v>
      </c>
      <c r="K251" s="112" t="str">
        <f>IF(OR(E251="",G251=""),"",IF(RIGHT(E251,1)="G",_xlfn.XLOOKUP(G251,Data!$D$10:$L$10,Data!$D$9:$L$9,"",1,1),_xlfn.XLOOKUP(G251,Data!$D$3:$L$3,Data!$D$2:$L$2,"",1,1)))</f>
        <v/>
      </c>
      <c r="L251" s="160" t="str" cm="1">
        <f t="array" ref="L251">IFERROR(_xlfn.IFNA(
                      _xlfn.IFS(
                      G251="", "",
                      AND(E251="U12B",G251&lt;=Data!$M$3), "U12 Boys record",
                      AND(E251="U12G",G251&lt;=Data!$M$10), "U12 Girls record"
                       ),""), "")</f>
        <v/>
      </c>
      <c r="M251" s="18" cm="1">
        <f t="array" ref="M251">_xlfn.IFS($G251="",0, AND(NOT(ISNUMBER($G251)),LOWER($G251)&lt;&gt;"dnf"),"Not a valid time",OR(LOWER($G251)="dnf",$G251&gt;ScoringTable!$M$161),1,RIGHT($E251,1)="B",_xlfn.XLOOKUP($G251,ScoringTable!$M$2:$M$161,ScoringTable!$L$2:$L$161,,1),TRUE,_xlfn.XLOOKUP($G251,ScoringTable!$S$2:$S$161,ScoringTable!$R$2:$R$161,,1))</f>
        <v>0</v>
      </c>
    </row>
    <row r="252" spans="1:13" s="7" customFormat="1" ht="16.05" customHeight="1">
      <c r="A252" s="243" t="s">
        <v>85</v>
      </c>
      <c r="B252" s="114" t="str">
        <f>IF(ISNA(VLOOKUP($F252,Declarations!B$6:C$185,2,FALSE)),"",IF(VLOOKUP($F252,Declarations!B$6:C$185,2,FALSE)="","NOT DECLARED",IF(ISNA(_xlfn.TEXTBEFORE(VLOOKUP($F252,Declarations!B$6:C$185,2,FALSE)," ")),VLOOKUP($F252,Declarations!B$6:C$185,2,FALSE),_xlfn.TEXTBEFORE(VLOOKUP($F252,Declarations!B$6:C$185,2,FALSE)," "))))</f>
        <v/>
      </c>
      <c r="C252" s="114" t="str">
        <f>IF(ISNA(VLOOKUP($F252,Declarations!B$6:C$185,2,FALSE)),"",IF(VLOOKUP($F252,Declarations!B$6:C$185,2,FALSE)="","NOT DECLARED",IF(ISNA(_xlfn.TEXTAFTER(VLOOKUP($F252,Declarations!B$6:C$185,2,FALSE)," ")),VLOOKUP($F252,Declarations!B$6:C$185,2,FALSE),_xlfn.TEXTAFTER(VLOOKUP($F252,Declarations!B$6:C$185,2,FALSE)," "))))</f>
        <v/>
      </c>
      <c r="D252" s="114" t="str">
        <f>IF(ISNA(VLOOKUP($F252,Declarations!$B$6:$F$185,5,FALSE)),"",IF(VLOOKUP($F252,Declarations!$B$6:$F$185,5,FALSE)="","NOT DECLARED",VLOOKUP($F252,Declarations!$B$6:$F$185,5,FALSE)))</f>
        <v/>
      </c>
      <c r="E252" s="112" t="str">
        <f>IF(ISNA(VLOOKUP($F252,Declarations!$B$6:$D$185,3,FALSE)),"",IF(VLOOKUP($F252,Declarations!$B$6:$D$185,3,FALSE)="","NOT DECLARED",VLOOKUP($F252,Declarations!$B$6:$D$185,3,FALSE)&amp;LEFT(VLOOKUP($F252,Declarations!$B$6:$E$185,4,FALSE))))</f>
        <v/>
      </c>
      <c r="F252" s="58"/>
      <c r="G252" s="122"/>
      <c r="H252" s="122"/>
      <c r="I252" s="114" t="str">
        <f>IF(ISNA(VLOOKUP(F252,Declarations!B$6:C$185,2,FALSE)),"",IF(VLOOKUP(F252,Declarations!B$6:C$185,2,FALSE)="","NOT DECLARED",VLOOKUP(F252,Declarations!B$6:C$185,2,FALSE)))</f>
        <v/>
      </c>
      <c r="J252" s="112">
        <f>IF(LOWER(G252)="dnf",1,IF(G252&lt;ScoringTable!B$3,ScoringTable!I$2,VLOOKUP((1000-G252),ScoringTable!G$2:I$95,3)))</f>
        <v>0</v>
      </c>
      <c r="K252" s="112" t="str">
        <f>IF(OR(E252="",G252=""),"",IF(RIGHT(E252,1)="G",_xlfn.XLOOKUP(G252,Data!$D$10:$L$10,Data!$D$9:$L$9,"",1,1),_xlfn.XLOOKUP(G252,Data!$D$3:$L$3,Data!$D$2:$L$2,"",1,1)))</f>
        <v/>
      </c>
      <c r="L252" s="160" t="str" cm="1">
        <f t="array" ref="L252">IFERROR(_xlfn.IFNA(
                      _xlfn.IFS(
                      G252="", "",
                      AND(E252="U12B",G252&lt;=Data!$M$3), "U12 Boys record",
                      AND(E252="U12G",G252&lt;=Data!$M$10), "U12 Girls record"
                       ),""), "")</f>
        <v/>
      </c>
      <c r="M252" s="18" cm="1">
        <f t="array" ref="M252">_xlfn.IFS($G252="",0, AND(NOT(ISNUMBER($G252)),LOWER($G252)&lt;&gt;"dnf"),"Not a valid time",OR(LOWER($G252)="dnf",$G252&gt;ScoringTable!$M$161),1,RIGHT($E252,1)="B",_xlfn.XLOOKUP($G252,ScoringTable!$M$2:$M$161,ScoringTable!$L$2:$L$161,,1),TRUE,_xlfn.XLOOKUP($G252,ScoringTable!$S$2:$S$161,ScoringTable!$R$2:$R$161,,1))</f>
        <v>0</v>
      </c>
    </row>
    <row r="253" spans="1:13" s="7" customFormat="1" ht="16.05" customHeight="1">
      <c r="A253" s="243" t="s">
        <v>85</v>
      </c>
      <c r="B253" s="114" t="str">
        <f>IF(ISNA(VLOOKUP($F253,Declarations!B$6:C$185,2,FALSE)),"",IF(VLOOKUP($F253,Declarations!B$6:C$185,2,FALSE)="","NOT DECLARED",IF(ISNA(_xlfn.TEXTBEFORE(VLOOKUP($F253,Declarations!B$6:C$185,2,FALSE)," ")),VLOOKUP($F253,Declarations!B$6:C$185,2,FALSE),_xlfn.TEXTBEFORE(VLOOKUP($F253,Declarations!B$6:C$185,2,FALSE)," "))))</f>
        <v/>
      </c>
      <c r="C253" s="114" t="str">
        <f>IF(ISNA(VLOOKUP($F253,Declarations!B$6:C$185,2,FALSE)),"",IF(VLOOKUP($F253,Declarations!B$6:C$185,2,FALSE)="","NOT DECLARED",IF(ISNA(_xlfn.TEXTAFTER(VLOOKUP($F253,Declarations!B$6:C$185,2,FALSE)," ")),VLOOKUP($F253,Declarations!B$6:C$185,2,FALSE),_xlfn.TEXTAFTER(VLOOKUP($F253,Declarations!B$6:C$185,2,FALSE)," "))))</f>
        <v/>
      </c>
      <c r="D253" s="114" t="str">
        <f>IF(ISNA(VLOOKUP($F253,Declarations!$B$6:$F$185,5,FALSE)),"",IF(VLOOKUP($F253,Declarations!$B$6:$F$185,5,FALSE)="","NOT DECLARED",VLOOKUP($F253,Declarations!$B$6:$F$185,5,FALSE)))</f>
        <v/>
      </c>
      <c r="E253" s="112" t="str">
        <f>IF(ISNA(VLOOKUP($F253,Declarations!$B$6:$D$185,3,FALSE)),"",IF(VLOOKUP($F253,Declarations!$B$6:$D$185,3,FALSE)="","NOT DECLARED",VLOOKUP($F253,Declarations!$B$6:$D$185,3,FALSE)&amp;LEFT(VLOOKUP($F253,Declarations!$B$6:$E$185,4,FALSE))))</f>
        <v/>
      </c>
      <c r="F253" s="58"/>
      <c r="G253" s="122"/>
      <c r="H253" s="122"/>
      <c r="I253" s="114" t="str">
        <f>IF(ISNA(VLOOKUP(F253,Declarations!B$6:C$185,2,FALSE)),"",IF(VLOOKUP(F253,Declarations!B$6:C$185,2,FALSE)="","NOT DECLARED",VLOOKUP(F253,Declarations!B$6:C$185,2,FALSE)))</f>
        <v/>
      </c>
      <c r="J253" s="112">
        <f>IF(LOWER(G253)="dnf",1,IF(G253&lt;ScoringTable!B$3,ScoringTable!I$2,VLOOKUP((1000-G253),ScoringTable!G$2:I$95,3)))</f>
        <v>0</v>
      </c>
      <c r="K253" s="112" t="str">
        <f>IF(OR(E253="",G253=""),"",IF(RIGHT(E253,1)="G",_xlfn.XLOOKUP(G253,Data!$D$10:$L$10,Data!$D$9:$L$9,"",1,1),_xlfn.XLOOKUP(G253,Data!$D$3:$L$3,Data!$D$2:$L$2,"",1,1)))</f>
        <v/>
      </c>
      <c r="L253" s="160" t="str" cm="1">
        <f t="array" ref="L253">IFERROR(_xlfn.IFNA(
                      _xlfn.IFS(
                      G253="", "",
                      AND(E253="U12B",G253&lt;=Data!$M$3), "U12 Boys record",
                      AND(E253="U12G",G253&lt;=Data!$M$10), "U12 Girls record"
                       ),""), "")</f>
        <v/>
      </c>
      <c r="M253" s="18" cm="1">
        <f t="array" ref="M253">_xlfn.IFS($G253="",0, AND(NOT(ISNUMBER($G253)),LOWER($G253)&lt;&gt;"dnf"),"Not a valid time",OR(LOWER($G253)="dnf",$G253&gt;ScoringTable!$M$161),1,RIGHT($E253,1)="B",_xlfn.XLOOKUP($G253,ScoringTable!$M$2:$M$161,ScoringTable!$L$2:$L$161,,1),TRUE,_xlfn.XLOOKUP($G253,ScoringTable!$S$2:$S$161,ScoringTable!$R$2:$R$161,,1))</f>
        <v>0</v>
      </c>
    </row>
    <row r="254" spans="1:13" s="7" customFormat="1" ht="16.05" customHeight="1">
      <c r="A254" s="243" t="s">
        <v>85</v>
      </c>
      <c r="B254" s="114" t="str">
        <f>IF(ISNA(VLOOKUP($F254,Declarations!B$6:C$185,2,FALSE)),"",IF(VLOOKUP($F254,Declarations!B$6:C$185,2,FALSE)="","NOT DECLARED",IF(ISNA(_xlfn.TEXTBEFORE(VLOOKUP($F254,Declarations!B$6:C$185,2,FALSE)," ")),VLOOKUP($F254,Declarations!B$6:C$185,2,FALSE),_xlfn.TEXTBEFORE(VLOOKUP($F254,Declarations!B$6:C$185,2,FALSE)," "))))</f>
        <v/>
      </c>
      <c r="C254" s="114" t="str">
        <f>IF(ISNA(VLOOKUP($F254,Declarations!B$6:C$185,2,FALSE)),"",IF(VLOOKUP($F254,Declarations!B$6:C$185,2,FALSE)="","NOT DECLARED",IF(ISNA(_xlfn.TEXTAFTER(VLOOKUP($F254,Declarations!B$6:C$185,2,FALSE)," ")),VLOOKUP($F254,Declarations!B$6:C$185,2,FALSE),_xlfn.TEXTAFTER(VLOOKUP($F254,Declarations!B$6:C$185,2,FALSE)," "))))</f>
        <v/>
      </c>
      <c r="D254" s="114" t="str">
        <f>IF(ISNA(VLOOKUP($F254,Declarations!$B$6:$F$185,5,FALSE)),"",IF(VLOOKUP($F254,Declarations!$B$6:$F$185,5,FALSE)="","NOT DECLARED",VLOOKUP($F254,Declarations!$B$6:$F$185,5,FALSE)))</f>
        <v/>
      </c>
      <c r="E254" s="112" t="str">
        <f>IF(ISNA(VLOOKUP($F254,Declarations!$B$6:$D$185,3,FALSE)),"",IF(VLOOKUP($F254,Declarations!$B$6:$D$185,3,FALSE)="","NOT DECLARED",VLOOKUP($F254,Declarations!$B$6:$D$185,3,FALSE)&amp;LEFT(VLOOKUP($F254,Declarations!$B$6:$E$185,4,FALSE))))</f>
        <v/>
      </c>
      <c r="F254" s="58"/>
      <c r="G254" s="122"/>
      <c r="H254" s="122"/>
      <c r="I254" s="114" t="str">
        <f>IF(ISNA(VLOOKUP(F254,Declarations!B$6:C$185,2,FALSE)),"",IF(VLOOKUP(F254,Declarations!B$6:C$185,2,FALSE)="","NOT DECLARED",VLOOKUP(F254,Declarations!B$6:C$185,2,FALSE)))</f>
        <v/>
      </c>
      <c r="J254" s="112">
        <f>IF(LOWER(G254)="dnf",1,IF(G254&lt;ScoringTable!B$3,ScoringTable!I$2,VLOOKUP((1000-G254),ScoringTable!G$2:I$95,3)))</f>
        <v>0</v>
      </c>
      <c r="K254" s="112" t="str">
        <f>IF(OR(E254="",G254=""),"",IF(RIGHT(E254,1)="G",_xlfn.XLOOKUP(G254,Data!$D$10:$L$10,Data!$D$9:$L$9,"",1,1),_xlfn.XLOOKUP(G254,Data!$D$3:$L$3,Data!$D$2:$L$2,"",1,1)))</f>
        <v/>
      </c>
      <c r="L254" s="160" t="str" cm="1">
        <f t="array" ref="L254">IFERROR(_xlfn.IFNA(
                      _xlfn.IFS(
                      G254="", "",
                      AND(E254="U12B",G254&lt;=Data!$M$3), "U12 Boys record",
                      AND(E254="U12G",G254&lt;=Data!$M$10), "U12 Girls record"
                       ),""), "")</f>
        <v/>
      </c>
      <c r="M254" s="18" cm="1">
        <f t="array" ref="M254">_xlfn.IFS($G254="",0, AND(NOT(ISNUMBER($G254)),LOWER($G254)&lt;&gt;"dnf"),"Not a valid time",OR(LOWER($G254)="dnf",$G254&gt;ScoringTable!$M$161),1,RIGHT($E254,1)="B",_xlfn.XLOOKUP($G254,ScoringTable!$M$2:$M$161,ScoringTable!$L$2:$L$161,,1),TRUE,_xlfn.XLOOKUP($G254,ScoringTable!$S$2:$S$161,ScoringTable!$R$2:$R$161,,1))</f>
        <v>0</v>
      </c>
    </row>
    <row r="255" spans="1:13" s="7" customFormat="1" ht="16.05" customHeight="1">
      <c r="A255" s="243" t="s">
        <v>85</v>
      </c>
      <c r="B255" s="114" t="str">
        <f>IF(ISNA(VLOOKUP($F255,Declarations!B$6:C$185,2,FALSE)),"",IF(VLOOKUP($F255,Declarations!B$6:C$185,2,FALSE)="","NOT DECLARED",IF(ISNA(_xlfn.TEXTBEFORE(VLOOKUP($F255,Declarations!B$6:C$185,2,FALSE)," ")),VLOOKUP($F255,Declarations!B$6:C$185,2,FALSE),_xlfn.TEXTBEFORE(VLOOKUP($F255,Declarations!B$6:C$185,2,FALSE)," "))))</f>
        <v/>
      </c>
      <c r="C255" s="114" t="str">
        <f>IF(ISNA(VLOOKUP($F255,Declarations!B$6:C$185,2,FALSE)),"",IF(VLOOKUP($F255,Declarations!B$6:C$185,2,FALSE)="","NOT DECLARED",IF(ISNA(_xlfn.TEXTAFTER(VLOOKUP($F255,Declarations!B$6:C$185,2,FALSE)," ")),VLOOKUP($F255,Declarations!B$6:C$185,2,FALSE),_xlfn.TEXTAFTER(VLOOKUP($F255,Declarations!B$6:C$185,2,FALSE)," "))))</f>
        <v/>
      </c>
      <c r="D255" s="114" t="str">
        <f>IF(ISNA(VLOOKUP($F255,Declarations!$B$6:$F$185,5,FALSE)),"",IF(VLOOKUP($F255,Declarations!$B$6:$F$185,5,FALSE)="","NOT DECLARED",VLOOKUP($F255,Declarations!$B$6:$F$185,5,FALSE)))</f>
        <v/>
      </c>
      <c r="E255" s="112" t="str">
        <f>IF(ISNA(VLOOKUP($F255,Declarations!$B$6:$D$185,3,FALSE)),"",IF(VLOOKUP($F255,Declarations!$B$6:$D$185,3,FALSE)="","NOT DECLARED",VLOOKUP($F255,Declarations!$B$6:$D$185,3,FALSE)&amp;LEFT(VLOOKUP($F255,Declarations!$B$6:$E$185,4,FALSE))))</f>
        <v/>
      </c>
      <c r="F255" s="58"/>
      <c r="G255" s="122"/>
      <c r="H255" s="122"/>
      <c r="I255" s="114" t="str">
        <f>IF(ISNA(VLOOKUP(F255,Declarations!B$6:C$185,2,FALSE)),"",IF(VLOOKUP(F255,Declarations!B$6:C$185,2,FALSE)="","NOT DECLARED",VLOOKUP(F255,Declarations!B$6:C$185,2,FALSE)))</f>
        <v/>
      </c>
      <c r="J255" s="112">
        <f>IF(LOWER(G255)="dnf",1,IF(G255&lt;ScoringTable!B$3,ScoringTable!I$2,VLOOKUP((1000-G255),ScoringTable!G$2:I$95,3)))</f>
        <v>0</v>
      </c>
      <c r="K255" s="112" t="str">
        <f>IF(OR(E255="",G255=""),"",IF(RIGHT(E255,1)="G",_xlfn.XLOOKUP(G255,Data!$D$10:$L$10,Data!$D$9:$L$9,"",1,1),_xlfn.XLOOKUP(G255,Data!$D$3:$L$3,Data!$D$2:$L$2,"",1,1)))</f>
        <v/>
      </c>
      <c r="L255" s="160" t="str" cm="1">
        <f t="array" ref="L255">IFERROR(_xlfn.IFNA(
                      _xlfn.IFS(
                      G255="", "",
                      AND(E255="U12B",G255&lt;=Data!$M$3), "U12 Boys record",
                      AND(E255="U12G",G255&lt;=Data!$M$10), "U12 Girls record"
                       ),""), "")</f>
        <v/>
      </c>
      <c r="M255" s="18" cm="1">
        <f t="array" ref="M255">_xlfn.IFS($G255="",0, AND(NOT(ISNUMBER($G255)),LOWER($G255)&lt;&gt;"dnf"),"Not a valid time",OR(LOWER($G255)="dnf",$G255&gt;ScoringTable!$M$161),1,RIGHT($E255,1)="B",_xlfn.XLOOKUP($G255,ScoringTable!$M$2:$M$161,ScoringTable!$L$2:$L$161,,1),TRUE,_xlfn.XLOOKUP($G255,ScoringTable!$S$2:$S$161,ScoringTable!$R$2:$R$161,,1))</f>
        <v>0</v>
      </c>
    </row>
    <row r="256" spans="1:13" s="7" customFormat="1" ht="16.05" customHeight="1">
      <c r="A256" s="243" t="s">
        <v>85</v>
      </c>
      <c r="B256" s="114" t="str">
        <f>IF(ISNA(VLOOKUP($F256,Declarations!B$6:C$185,2,FALSE)),"",IF(VLOOKUP($F256,Declarations!B$6:C$185,2,FALSE)="","NOT DECLARED",IF(ISNA(_xlfn.TEXTBEFORE(VLOOKUP($F256,Declarations!B$6:C$185,2,FALSE)," ")),VLOOKUP($F256,Declarations!B$6:C$185,2,FALSE),_xlfn.TEXTBEFORE(VLOOKUP($F256,Declarations!B$6:C$185,2,FALSE)," "))))</f>
        <v/>
      </c>
      <c r="C256" s="114" t="str">
        <f>IF(ISNA(VLOOKUP($F256,Declarations!B$6:C$185,2,FALSE)),"",IF(VLOOKUP($F256,Declarations!B$6:C$185,2,FALSE)="","NOT DECLARED",IF(ISNA(_xlfn.TEXTAFTER(VLOOKUP($F256,Declarations!B$6:C$185,2,FALSE)," ")),VLOOKUP($F256,Declarations!B$6:C$185,2,FALSE),_xlfn.TEXTAFTER(VLOOKUP($F256,Declarations!B$6:C$185,2,FALSE)," "))))</f>
        <v/>
      </c>
      <c r="D256" s="114" t="str">
        <f>IF(ISNA(VLOOKUP($F256,Declarations!$B$6:$F$185,5,FALSE)),"",IF(VLOOKUP($F256,Declarations!$B$6:$F$185,5,FALSE)="","NOT DECLARED",VLOOKUP($F256,Declarations!$B$6:$F$185,5,FALSE)))</f>
        <v/>
      </c>
      <c r="E256" s="112" t="str">
        <f>IF(ISNA(VLOOKUP($F256,Declarations!$B$6:$D$185,3,FALSE)),"",IF(VLOOKUP($F256,Declarations!$B$6:$D$185,3,FALSE)="","NOT DECLARED",VLOOKUP($F256,Declarations!$B$6:$D$185,3,FALSE)&amp;LEFT(VLOOKUP($F256,Declarations!$B$6:$E$185,4,FALSE))))</f>
        <v/>
      </c>
      <c r="F256" s="58"/>
      <c r="G256" s="122"/>
      <c r="H256" s="122"/>
      <c r="I256" s="114" t="str">
        <f>IF(ISNA(VLOOKUP(F256,Declarations!B$6:C$185,2,FALSE)),"",IF(VLOOKUP(F256,Declarations!B$6:C$185,2,FALSE)="","NOT DECLARED",VLOOKUP(F256,Declarations!B$6:C$185,2,FALSE)))</f>
        <v/>
      </c>
      <c r="J256" s="112">
        <f>IF(LOWER(G256)="dnf",1,IF(G256&lt;ScoringTable!B$3,ScoringTable!I$2,VLOOKUP((1000-G256),ScoringTable!G$2:I$95,3)))</f>
        <v>0</v>
      </c>
      <c r="K256" s="112" t="str">
        <f>IF(OR(E256="",G256=""),"",IF(RIGHT(E256,1)="G",_xlfn.XLOOKUP(G256,Data!$D$10:$L$10,Data!$D$9:$L$9,"",1,1),_xlfn.XLOOKUP(G256,Data!$D$3:$L$3,Data!$D$2:$L$2,"",1,1)))</f>
        <v/>
      </c>
      <c r="L256" s="160" t="str" cm="1">
        <f t="array" ref="L256">IFERROR(_xlfn.IFNA(
                      _xlfn.IFS(
                      G256="", "",
                      AND(E256="U12B",G256&lt;=Data!$M$3), "U12 Boys record",
                      AND(E256="U12G",G256&lt;=Data!$M$10), "U12 Girls record"
                       ),""), "")</f>
        <v/>
      </c>
      <c r="M256" s="18" cm="1">
        <f t="array" ref="M256">_xlfn.IFS($G256="",0, AND(NOT(ISNUMBER($G256)),LOWER($G256)&lt;&gt;"dnf"),"Not a valid time",OR(LOWER($G256)="dnf",$G256&gt;ScoringTable!$M$161),1,RIGHT($E256,1)="B",_xlfn.XLOOKUP($G256,ScoringTable!$M$2:$M$161,ScoringTable!$L$2:$L$161,,1),TRUE,_xlfn.XLOOKUP($G256,ScoringTable!$S$2:$S$161,ScoringTable!$R$2:$R$161,,1))</f>
        <v>0</v>
      </c>
    </row>
    <row r="257" spans="1:13" s="7" customFormat="1" ht="16.05" customHeight="1">
      <c r="A257" s="243" t="s">
        <v>85</v>
      </c>
      <c r="B257" s="114" t="str">
        <f>IF(ISNA(VLOOKUP($F257,Declarations!B$6:C$185,2,FALSE)),"",IF(VLOOKUP($F257,Declarations!B$6:C$185,2,FALSE)="","NOT DECLARED",IF(ISNA(_xlfn.TEXTBEFORE(VLOOKUP($F257,Declarations!B$6:C$185,2,FALSE)," ")),VLOOKUP($F257,Declarations!B$6:C$185,2,FALSE),_xlfn.TEXTBEFORE(VLOOKUP($F257,Declarations!B$6:C$185,2,FALSE)," "))))</f>
        <v/>
      </c>
      <c r="C257" s="114" t="str">
        <f>IF(ISNA(VLOOKUP($F257,Declarations!B$6:C$185,2,FALSE)),"",IF(VLOOKUP($F257,Declarations!B$6:C$185,2,FALSE)="","NOT DECLARED",IF(ISNA(_xlfn.TEXTAFTER(VLOOKUP($F257,Declarations!B$6:C$185,2,FALSE)," ")),VLOOKUP($F257,Declarations!B$6:C$185,2,FALSE),_xlfn.TEXTAFTER(VLOOKUP($F257,Declarations!B$6:C$185,2,FALSE)," "))))</f>
        <v/>
      </c>
      <c r="D257" s="114" t="str">
        <f>IF(ISNA(VLOOKUP($F257,Declarations!$B$6:$F$185,5,FALSE)),"",IF(VLOOKUP($F257,Declarations!$B$6:$F$185,5,FALSE)="","NOT DECLARED",VLOOKUP($F257,Declarations!$B$6:$F$185,5,FALSE)))</f>
        <v/>
      </c>
      <c r="E257" s="112" t="str">
        <f>IF(ISNA(VLOOKUP($F257,Declarations!$B$6:$D$185,3,FALSE)),"",IF(VLOOKUP($F257,Declarations!$B$6:$D$185,3,FALSE)="","NOT DECLARED",VLOOKUP($F257,Declarations!$B$6:$D$185,3,FALSE)&amp;LEFT(VLOOKUP($F257,Declarations!$B$6:$E$185,4,FALSE))))</f>
        <v/>
      </c>
      <c r="F257" s="58"/>
      <c r="G257" s="122"/>
      <c r="H257" s="122"/>
      <c r="I257" s="114" t="str">
        <f>IF(ISNA(VLOOKUP(F257,Declarations!B$6:C$185,2,FALSE)),"",IF(VLOOKUP(F257,Declarations!B$6:C$185,2,FALSE)="","NOT DECLARED",VLOOKUP(F257,Declarations!B$6:C$185,2,FALSE)))</f>
        <v/>
      </c>
      <c r="J257" s="112">
        <f>IF(LOWER(G257)="dnf",1,IF(G257&lt;ScoringTable!B$3,ScoringTable!I$2,VLOOKUP((1000-G257),ScoringTable!G$2:I$95,3)))</f>
        <v>0</v>
      </c>
      <c r="K257" s="112" t="str">
        <f>IF(OR(E257="",G257=""),"",IF(RIGHT(E257,1)="G",_xlfn.XLOOKUP(G257,Data!$D$10:$L$10,Data!$D$9:$L$9,"",1,1),_xlfn.XLOOKUP(G257,Data!$D$3:$L$3,Data!$D$2:$L$2,"",1,1)))</f>
        <v/>
      </c>
      <c r="L257" s="160" t="str" cm="1">
        <f t="array" ref="L257">IFERROR(_xlfn.IFNA(
                      _xlfn.IFS(
                      G257="", "",
                      AND(E257="U12B",G257&lt;=Data!$M$3), "U12 Boys record",
                      AND(E257="U12G",G257&lt;=Data!$M$10), "U12 Girls record"
                       ),""), "")</f>
        <v/>
      </c>
      <c r="M257" s="18" cm="1">
        <f t="array" ref="M257">_xlfn.IFS($G257="",0, AND(NOT(ISNUMBER($G257)),LOWER($G257)&lt;&gt;"dnf"),"Not a valid time",OR(LOWER($G257)="dnf",$G257&gt;ScoringTable!$M$161),1,RIGHT($E257,1)="B",_xlfn.XLOOKUP($G257,ScoringTable!$M$2:$M$161,ScoringTable!$L$2:$L$161,,1),TRUE,_xlfn.XLOOKUP($G257,ScoringTable!$S$2:$S$161,ScoringTable!$R$2:$R$161,,1))</f>
        <v>0</v>
      </c>
    </row>
    <row r="258" spans="1:13" s="7" customFormat="1" ht="16.05" customHeight="1">
      <c r="A258" s="243" t="s">
        <v>85</v>
      </c>
      <c r="B258" s="114" t="str">
        <f>IF(ISNA(VLOOKUP($F258,Declarations!B$6:C$185,2,FALSE)),"",IF(VLOOKUP($F258,Declarations!B$6:C$185,2,FALSE)="","NOT DECLARED",IF(ISNA(_xlfn.TEXTBEFORE(VLOOKUP($F258,Declarations!B$6:C$185,2,FALSE)," ")),VLOOKUP($F258,Declarations!B$6:C$185,2,FALSE),_xlfn.TEXTBEFORE(VLOOKUP($F258,Declarations!B$6:C$185,2,FALSE)," "))))</f>
        <v/>
      </c>
      <c r="C258" s="114" t="str">
        <f>IF(ISNA(VLOOKUP($F258,Declarations!B$6:C$185,2,FALSE)),"",IF(VLOOKUP($F258,Declarations!B$6:C$185,2,FALSE)="","NOT DECLARED",IF(ISNA(_xlfn.TEXTAFTER(VLOOKUP($F258,Declarations!B$6:C$185,2,FALSE)," ")),VLOOKUP($F258,Declarations!B$6:C$185,2,FALSE),_xlfn.TEXTAFTER(VLOOKUP($F258,Declarations!B$6:C$185,2,FALSE)," "))))</f>
        <v/>
      </c>
      <c r="D258" s="114" t="str">
        <f>IF(ISNA(VLOOKUP($F258,Declarations!$B$6:$F$185,5,FALSE)),"",IF(VLOOKUP($F258,Declarations!$B$6:$F$185,5,FALSE)="","NOT DECLARED",VLOOKUP($F258,Declarations!$B$6:$F$185,5,FALSE)))</f>
        <v/>
      </c>
      <c r="E258" s="112" t="str">
        <f>IF(ISNA(VLOOKUP($F258,Declarations!$B$6:$D$185,3,FALSE)),"",IF(VLOOKUP($F258,Declarations!$B$6:$D$185,3,FALSE)="","NOT DECLARED",VLOOKUP($F258,Declarations!$B$6:$D$185,3,FALSE)&amp;LEFT(VLOOKUP($F258,Declarations!$B$6:$E$185,4,FALSE))))</f>
        <v/>
      </c>
      <c r="F258" s="58"/>
      <c r="G258" s="122"/>
      <c r="H258" s="122"/>
      <c r="I258" s="114" t="str">
        <f>IF(ISNA(VLOOKUP(F258,Declarations!B$6:C$185,2,FALSE)),"",IF(VLOOKUP(F258,Declarations!B$6:C$185,2,FALSE)="","NOT DECLARED",VLOOKUP(F258,Declarations!B$6:C$185,2,FALSE)))</f>
        <v/>
      </c>
      <c r="J258" s="112">
        <f>IF(LOWER(G258)="dnf",1,IF(G258&lt;ScoringTable!B$3,ScoringTable!I$2,VLOOKUP((1000-G258),ScoringTable!G$2:I$95,3)))</f>
        <v>0</v>
      </c>
      <c r="K258" s="112" t="str">
        <f>IF(OR(E258="",G258=""),"",IF(RIGHT(E258,1)="G",_xlfn.XLOOKUP(G258,Data!$D$10:$L$10,Data!$D$9:$L$9,"",1,1),_xlfn.XLOOKUP(G258,Data!$D$3:$L$3,Data!$D$2:$L$2,"",1,1)))</f>
        <v/>
      </c>
      <c r="L258" s="160" t="str" cm="1">
        <f t="array" ref="L258">IFERROR(_xlfn.IFNA(
                      _xlfn.IFS(
                      G258="", "",
                      AND(E258="U12B",G258&lt;=Data!$M$3), "U12 Boys record",
                      AND(E258="U12G",G258&lt;=Data!$M$10), "U12 Girls record"
                       ),""), "")</f>
        <v/>
      </c>
      <c r="M258" s="18" cm="1">
        <f t="array" ref="M258">_xlfn.IFS($G258="",0, AND(NOT(ISNUMBER($G258)),LOWER($G258)&lt;&gt;"dnf"),"Not a valid time",OR(LOWER($G258)="dnf",$G258&gt;ScoringTable!$M$161),1,RIGHT($E258,1)="B",_xlfn.XLOOKUP($G258,ScoringTable!$M$2:$M$161,ScoringTable!$L$2:$L$161,,1),TRUE,_xlfn.XLOOKUP($G258,ScoringTable!$S$2:$S$161,ScoringTable!$R$2:$R$161,,1))</f>
        <v>0</v>
      </c>
    </row>
    <row r="259" spans="1:13" s="7" customFormat="1" ht="16.05" customHeight="1">
      <c r="A259" s="243" t="s">
        <v>85</v>
      </c>
      <c r="B259" s="114" t="str">
        <f>IF(ISNA(VLOOKUP($F259,Declarations!B$6:C$185,2,FALSE)),"",IF(VLOOKUP($F259,Declarations!B$6:C$185,2,FALSE)="","NOT DECLARED",IF(ISNA(_xlfn.TEXTBEFORE(VLOOKUP($F259,Declarations!B$6:C$185,2,FALSE)," ")),VLOOKUP($F259,Declarations!B$6:C$185,2,FALSE),_xlfn.TEXTBEFORE(VLOOKUP($F259,Declarations!B$6:C$185,2,FALSE)," "))))</f>
        <v/>
      </c>
      <c r="C259" s="114" t="str">
        <f>IF(ISNA(VLOOKUP($F259,Declarations!B$6:C$185,2,FALSE)),"",IF(VLOOKUP($F259,Declarations!B$6:C$185,2,FALSE)="","NOT DECLARED",IF(ISNA(_xlfn.TEXTAFTER(VLOOKUP($F259,Declarations!B$6:C$185,2,FALSE)," ")),VLOOKUP($F259,Declarations!B$6:C$185,2,FALSE),_xlfn.TEXTAFTER(VLOOKUP($F259,Declarations!B$6:C$185,2,FALSE)," "))))</f>
        <v/>
      </c>
      <c r="D259" s="114" t="str">
        <f>IF(ISNA(VLOOKUP($F259,Declarations!$B$6:$F$185,5,FALSE)),"",IF(VLOOKUP($F259,Declarations!$B$6:$F$185,5,FALSE)="","NOT DECLARED",VLOOKUP($F259,Declarations!$B$6:$F$185,5,FALSE)))</f>
        <v/>
      </c>
      <c r="E259" s="112" t="str">
        <f>IF(ISNA(VLOOKUP($F259,Declarations!$B$6:$D$185,3,FALSE)),"",IF(VLOOKUP($F259,Declarations!$B$6:$D$185,3,FALSE)="","NOT DECLARED",VLOOKUP($F259,Declarations!$B$6:$D$185,3,FALSE)&amp;LEFT(VLOOKUP($F259,Declarations!$B$6:$E$185,4,FALSE))))</f>
        <v/>
      </c>
      <c r="F259" s="58"/>
      <c r="G259" s="122"/>
      <c r="H259" s="122"/>
      <c r="I259" s="114" t="str">
        <f>IF(ISNA(VLOOKUP(F259,Declarations!B$6:C$185,2,FALSE)),"",IF(VLOOKUP(F259,Declarations!B$6:C$185,2,FALSE)="","NOT DECLARED",VLOOKUP(F259,Declarations!B$6:C$185,2,FALSE)))</f>
        <v/>
      </c>
      <c r="J259" s="112">
        <f>IF(LOWER(G259)="dnf",1,IF(G259&lt;ScoringTable!B$3,ScoringTable!I$2,VLOOKUP((1000-G259),ScoringTable!G$2:I$95,3)))</f>
        <v>0</v>
      </c>
      <c r="K259" s="112" t="str">
        <f>IF(OR(E259="",G259=""),"",IF(RIGHT(E259,1)="G",_xlfn.XLOOKUP(G259,Data!$D$10:$L$10,Data!$D$9:$L$9,"",1,1),_xlfn.XLOOKUP(G259,Data!$D$3:$L$3,Data!$D$2:$L$2,"",1,1)))</f>
        <v/>
      </c>
      <c r="L259" s="160" t="str" cm="1">
        <f t="array" ref="L259">IFERROR(_xlfn.IFNA(
                      _xlfn.IFS(
                      G259="", "",
                      AND(E259="U12B",G259&lt;=Data!$M$3), "U12 Boys record",
                      AND(E259="U12G",G259&lt;=Data!$M$10), "U12 Girls record"
                       ),""), "")</f>
        <v/>
      </c>
      <c r="M259" s="18" cm="1">
        <f t="array" ref="M259">_xlfn.IFS($G259="",0, AND(NOT(ISNUMBER($G259)),LOWER($G259)&lt;&gt;"dnf"),"Not a valid time",OR(LOWER($G259)="dnf",$G259&gt;ScoringTable!$M$161),1,RIGHT($E259,1)="B",_xlfn.XLOOKUP($G259,ScoringTable!$M$2:$M$161,ScoringTable!$L$2:$L$161,,1),TRUE,_xlfn.XLOOKUP($G259,ScoringTable!$S$2:$S$161,ScoringTable!$R$2:$R$161,,1))</f>
        <v>0</v>
      </c>
    </row>
    <row r="260" spans="1:13" s="7" customFormat="1" ht="16.05" customHeight="1">
      <c r="A260" s="243" t="s">
        <v>85</v>
      </c>
      <c r="B260" s="114" t="str">
        <f>IF(ISNA(VLOOKUP($F260,Declarations!B$6:C$185,2,FALSE)),"",IF(VLOOKUP($F260,Declarations!B$6:C$185,2,FALSE)="","NOT DECLARED",IF(ISNA(_xlfn.TEXTBEFORE(VLOOKUP($F260,Declarations!B$6:C$185,2,FALSE)," ")),VLOOKUP($F260,Declarations!B$6:C$185,2,FALSE),_xlfn.TEXTBEFORE(VLOOKUP($F260,Declarations!B$6:C$185,2,FALSE)," "))))</f>
        <v/>
      </c>
      <c r="C260" s="114" t="str">
        <f>IF(ISNA(VLOOKUP($F260,Declarations!B$6:C$185,2,FALSE)),"",IF(VLOOKUP($F260,Declarations!B$6:C$185,2,FALSE)="","NOT DECLARED",IF(ISNA(_xlfn.TEXTAFTER(VLOOKUP($F260,Declarations!B$6:C$185,2,FALSE)," ")),VLOOKUP($F260,Declarations!B$6:C$185,2,FALSE),_xlfn.TEXTAFTER(VLOOKUP($F260,Declarations!B$6:C$185,2,FALSE)," "))))</f>
        <v/>
      </c>
      <c r="D260" s="114" t="str">
        <f>IF(ISNA(VLOOKUP($F260,Declarations!$B$6:$F$185,5,FALSE)),"",IF(VLOOKUP($F260,Declarations!$B$6:$F$185,5,FALSE)="","NOT DECLARED",VLOOKUP($F260,Declarations!$B$6:$F$185,5,FALSE)))</f>
        <v/>
      </c>
      <c r="E260" s="112" t="str">
        <f>IF(ISNA(VLOOKUP($F260,Declarations!$B$6:$D$185,3,FALSE)),"",IF(VLOOKUP($F260,Declarations!$B$6:$D$185,3,FALSE)="","NOT DECLARED",VLOOKUP($F260,Declarations!$B$6:$D$185,3,FALSE)&amp;LEFT(VLOOKUP($F260,Declarations!$B$6:$E$185,4,FALSE))))</f>
        <v/>
      </c>
      <c r="F260" s="58"/>
      <c r="G260" s="122"/>
      <c r="H260" s="122"/>
      <c r="I260" s="114" t="str">
        <f>IF(ISNA(VLOOKUP(F260,Declarations!B$6:C$185,2,FALSE)),"",IF(VLOOKUP(F260,Declarations!B$6:C$185,2,FALSE)="","NOT DECLARED",VLOOKUP(F260,Declarations!B$6:C$185,2,FALSE)))</f>
        <v/>
      </c>
      <c r="J260" s="112">
        <f>IF(LOWER(G260)="dnf",1,IF(G260&lt;ScoringTable!B$3,ScoringTable!I$2,VLOOKUP((1000-G260),ScoringTable!G$2:I$95,3)))</f>
        <v>0</v>
      </c>
      <c r="K260" s="112" t="str">
        <f>IF(OR(E260="",G260=""),"",IF(RIGHT(E260,1)="G",_xlfn.XLOOKUP(G260,Data!$D$10:$L$10,Data!$D$9:$L$9,"",1,1),_xlfn.XLOOKUP(G260,Data!$D$3:$L$3,Data!$D$2:$L$2,"",1,1)))</f>
        <v/>
      </c>
      <c r="L260" s="160" t="str" cm="1">
        <f t="array" ref="L260">IFERROR(_xlfn.IFNA(
                      _xlfn.IFS(
                      G260="", "",
                      AND(E260="U12B",G260&lt;=Data!$M$3), "U12 Boys record",
                      AND(E260="U12G",G260&lt;=Data!$M$10), "U12 Girls record"
                       ),""), "")</f>
        <v/>
      </c>
      <c r="M260" s="18" cm="1">
        <f t="array" ref="M260">_xlfn.IFS($G260="",0, AND(NOT(ISNUMBER($G260)),LOWER($G260)&lt;&gt;"dnf"),"Not a valid time",OR(LOWER($G260)="dnf",$G260&gt;ScoringTable!$M$161),1,RIGHT($E260,1)="B",_xlfn.XLOOKUP($G260,ScoringTable!$M$2:$M$161,ScoringTable!$L$2:$L$161,,1),TRUE,_xlfn.XLOOKUP($G260,ScoringTable!$S$2:$S$161,ScoringTable!$R$2:$R$161,,1))</f>
        <v>0</v>
      </c>
    </row>
    <row r="261" spans="1:13" s="7" customFormat="1" ht="16.05" customHeight="1">
      <c r="A261" s="243" t="s">
        <v>85</v>
      </c>
      <c r="B261" s="114" t="str">
        <f>IF(ISNA(VLOOKUP($F261,Declarations!B$6:C$185,2,FALSE)),"",IF(VLOOKUP($F261,Declarations!B$6:C$185,2,FALSE)="","NOT DECLARED",IF(ISNA(_xlfn.TEXTBEFORE(VLOOKUP($F261,Declarations!B$6:C$185,2,FALSE)," ")),VLOOKUP($F261,Declarations!B$6:C$185,2,FALSE),_xlfn.TEXTBEFORE(VLOOKUP($F261,Declarations!B$6:C$185,2,FALSE)," "))))</f>
        <v/>
      </c>
      <c r="C261" s="114" t="str">
        <f>IF(ISNA(VLOOKUP($F261,Declarations!B$6:C$185,2,FALSE)),"",IF(VLOOKUP($F261,Declarations!B$6:C$185,2,FALSE)="","NOT DECLARED",IF(ISNA(_xlfn.TEXTAFTER(VLOOKUP($F261,Declarations!B$6:C$185,2,FALSE)," ")),VLOOKUP($F261,Declarations!B$6:C$185,2,FALSE),_xlfn.TEXTAFTER(VLOOKUP($F261,Declarations!B$6:C$185,2,FALSE)," "))))</f>
        <v/>
      </c>
      <c r="D261" s="114" t="str">
        <f>IF(ISNA(VLOOKUP($F261,Declarations!$B$6:$F$185,5,FALSE)),"",IF(VLOOKUP($F261,Declarations!$B$6:$F$185,5,FALSE)="","NOT DECLARED",VLOOKUP($F261,Declarations!$B$6:$F$185,5,FALSE)))</f>
        <v/>
      </c>
      <c r="E261" s="112" t="str">
        <f>IF(ISNA(VLOOKUP($F261,Declarations!$B$6:$D$185,3,FALSE)),"",IF(VLOOKUP($F261,Declarations!$B$6:$D$185,3,FALSE)="","NOT DECLARED",VLOOKUP($F261,Declarations!$B$6:$D$185,3,FALSE)&amp;LEFT(VLOOKUP($F261,Declarations!$B$6:$E$185,4,FALSE))))</f>
        <v/>
      </c>
      <c r="F261" s="58"/>
      <c r="G261" s="122"/>
      <c r="H261" s="122"/>
      <c r="I261" s="114" t="str">
        <f>IF(ISNA(VLOOKUP(F261,Declarations!B$6:C$185,2,FALSE)),"",IF(VLOOKUP(F261,Declarations!B$6:C$185,2,FALSE)="","NOT DECLARED",VLOOKUP(F261,Declarations!B$6:C$185,2,FALSE)))</f>
        <v/>
      </c>
      <c r="J261" s="112">
        <f>IF(LOWER(G261)="dnf",1,IF(G261&lt;ScoringTable!B$3,ScoringTable!I$2,VLOOKUP((1000-G261),ScoringTable!G$2:I$95,3)))</f>
        <v>0</v>
      </c>
      <c r="K261" s="112" t="str">
        <f>IF(OR(E261="",G261=""),"",IF(RIGHT(E261,1)="G",_xlfn.XLOOKUP(G261,Data!$D$10:$L$10,Data!$D$9:$L$9,"",1,1),_xlfn.XLOOKUP(G261,Data!$D$3:$L$3,Data!$D$2:$L$2,"",1,1)))</f>
        <v/>
      </c>
      <c r="L261" s="160" t="str" cm="1">
        <f t="array" ref="L261">IFERROR(_xlfn.IFNA(
                      _xlfn.IFS(
                      G261="", "",
                      AND(E261="U12B",G261&lt;=Data!$M$3), "U12 Boys record",
                      AND(E261="U12G",G261&lt;=Data!$M$10), "U12 Girls record"
                       ),""), "")</f>
        <v/>
      </c>
      <c r="M261" s="18" cm="1">
        <f t="array" ref="M261">_xlfn.IFS($G261="",0, AND(NOT(ISNUMBER($G261)),LOWER($G261)&lt;&gt;"dnf"),"Not a valid time",OR(LOWER($G261)="dnf",$G261&gt;ScoringTable!$M$161),1,RIGHT($E261,1)="B",_xlfn.XLOOKUP($G261,ScoringTable!$M$2:$M$161,ScoringTable!$L$2:$L$161,,1),TRUE,_xlfn.XLOOKUP($G261,ScoringTable!$S$2:$S$161,ScoringTable!$R$2:$R$161,,1))</f>
        <v>0</v>
      </c>
    </row>
    <row r="262" spans="1:13" s="7" customFormat="1" ht="16.05" customHeight="1">
      <c r="A262" s="243" t="s">
        <v>85</v>
      </c>
      <c r="B262" s="114" t="str">
        <f>IF(ISNA(VLOOKUP($F262,Declarations!B$6:C$185,2,FALSE)),"",IF(VLOOKUP($F262,Declarations!B$6:C$185,2,FALSE)="","NOT DECLARED",IF(ISNA(_xlfn.TEXTBEFORE(VLOOKUP($F262,Declarations!B$6:C$185,2,FALSE)," ")),VLOOKUP($F262,Declarations!B$6:C$185,2,FALSE),_xlfn.TEXTBEFORE(VLOOKUP($F262,Declarations!B$6:C$185,2,FALSE)," "))))</f>
        <v/>
      </c>
      <c r="C262" s="114" t="str">
        <f>IF(ISNA(VLOOKUP($F262,Declarations!B$6:C$185,2,FALSE)),"",IF(VLOOKUP($F262,Declarations!B$6:C$185,2,FALSE)="","NOT DECLARED",IF(ISNA(_xlfn.TEXTAFTER(VLOOKUP($F262,Declarations!B$6:C$185,2,FALSE)," ")),VLOOKUP($F262,Declarations!B$6:C$185,2,FALSE),_xlfn.TEXTAFTER(VLOOKUP($F262,Declarations!B$6:C$185,2,FALSE)," "))))</f>
        <v/>
      </c>
      <c r="D262" s="114" t="str">
        <f>IF(ISNA(VLOOKUP($F262,Declarations!$B$6:$F$185,5,FALSE)),"",IF(VLOOKUP($F262,Declarations!$B$6:$F$185,5,FALSE)="","NOT DECLARED",VLOOKUP($F262,Declarations!$B$6:$F$185,5,FALSE)))</f>
        <v/>
      </c>
      <c r="E262" s="112" t="str">
        <f>IF(ISNA(VLOOKUP($F262,Declarations!$B$6:$D$185,3,FALSE)),"",IF(VLOOKUP($F262,Declarations!$B$6:$D$185,3,FALSE)="","NOT DECLARED",VLOOKUP($F262,Declarations!$B$6:$D$185,3,FALSE)&amp;LEFT(VLOOKUP($F262,Declarations!$B$6:$E$185,4,FALSE))))</f>
        <v/>
      </c>
      <c r="F262" s="58"/>
      <c r="G262" s="122"/>
      <c r="H262" s="122"/>
      <c r="I262" s="114" t="str">
        <f>IF(ISNA(VLOOKUP(F262,Declarations!B$6:C$185,2,FALSE)),"",IF(VLOOKUP(F262,Declarations!B$6:C$185,2,FALSE)="","NOT DECLARED",VLOOKUP(F262,Declarations!B$6:C$185,2,FALSE)))</f>
        <v/>
      </c>
      <c r="J262" s="112">
        <f>IF(LOWER(G262)="dnf",1,IF(G262&lt;ScoringTable!B$3,ScoringTable!I$2,VLOOKUP((1000-G262),ScoringTable!G$2:I$95,3)))</f>
        <v>0</v>
      </c>
      <c r="K262" s="112" t="str">
        <f>IF(OR(E262="",G262=""),"",IF(RIGHT(E262,1)="G",_xlfn.XLOOKUP(G262,Data!$D$10:$L$10,Data!$D$9:$L$9,"",1,1),_xlfn.XLOOKUP(G262,Data!$D$3:$L$3,Data!$D$2:$L$2,"",1,1)))</f>
        <v/>
      </c>
      <c r="L262" s="160" t="str" cm="1">
        <f t="array" ref="L262">IFERROR(_xlfn.IFNA(
                      _xlfn.IFS(
                      G262="", "",
                      AND(E262="U12B",G262&lt;=Data!$M$3), "U12 Boys record",
                      AND(E262="U12G",G262&lt;=Data!$M$10), "U12 Girls record"
                       ),""), "")</f>
        <v/>
      </c>
      <c r="M262" s="18" cm="1">
        <f t="array" ref="M262">_xlfn.IFS($G262="",0, AND(NOT(ISNUMBER($G262)),LOWER($G262)&lt;&gt;"dnf"),"Not a valid time",OR(LOWER($G262)="dnf",$G262&gt;ScoringTable!$M$161),1,RIGHT($E262,1)="B",_xlfn.XLOOKUP($G262,ScoringTable!$M$2:$M$161,ScoringTable!$L$2:$L$161,,1),TRUE,_xlfn.XLOOKUP($G262,ScoringTable!$S$2:$S$161,ScoringTable!$R$2:$R$161,,1))</f>
        <v>0</v>
      </c>
    </row>
    <row r="263" spans="1:13" s="7" customFormat="1" ht="16.05" customHeight="1">
      <c r="A263" s="243" t="s">
        <v>85</v>
      </c>
      <c r="B263" s="114" t="str">
        <f>IF(ISNA(VLOOKUP($F263,Declarations!B$6:C$185,2,FALSE)),"",IF(VLOOKUP($F263,Declarations!B$6:C$185,2,FALSE)="","NOT DECLARED",IF(ISNA(_xlfn.TEXTBEFORE(VLOOKUP($F263,Declarations!B$6:C$185,2,FALSE)," ")),VLOOKUP($F263,Declarations!B$6:C$185,2,FALSE),_xlfn.TEXTBEFORE(VLOOKUP($F263,Declarations!B$6:C$185,2,FALSE)," "))))</f>
        <v/>
      </c>
      <c r="C263" s="114" t="str">
        <f>IF(ISNA(VLOOKUP($F263,Declarations!B$6:C$185,2,FALSE)),"",IF(VLOOKUP($F263,Declarations!B$6:C$185,2,FALSE)="","NOT DECLARED",IF(ISNA(_xlfn.TEXTAFTER(VLOOKUP($F263,Declarations!B$6:C$185,2,FALSE)," ")),VLOOKUP($F263,Declarations!B$6:C$185,2,FALSE),_xlfn.TEXTAFTER(VLOOKUP($F263,Declarations!B$6:C$185,2,FALSE)," "))))</f>
        <v/>
      </c>
      <c r="D263" s="114" t="str">
        <f>IF(ISNA(VLOOKUP($F263,Declarations!$B$6:$F$185,5,FALSE)),"",IF(VLOOKUP($F263,Declarations!$B$6:$F$185,5,FALSE)="","NOT DECLARED",VLOOKUP($F263,Declarations!$B$6:$F$185,5,FALSE)))</f>
        <v/>
      </c>
      <c r="E263" s="112" t="str">
        <f>IF(ISNA(VLOOKUP($F263,Declarations!$B$6:$D$185,3,FALSE)),"",IF(VLOOKUP($F263,Declarations!$B$6:$D$185,3,FALSE)="","NOT DECLARED",VLOOKUP($F263,Declarations!$B$6:$D$185,3,FALSE)&amp;LEFT(VLOOKUP($F263,Declarations!$B$6:$E$185,4,FALSE))))</f>
        <v/>
      </c>
      <c r="F263" s="58"/>
      <c r="G263" s="122"/>
      <c r="H263" s="122"/>
      <c r="I263" s="114" t="str">
        <f>IF(ISNA(VLOOKUP(F263,Declarations!B$6:C$185,2,FALSE)),"",IF(VLOOKUP(F263,Declarations!B$6:C$185,2,FALSE)="","NOT DECLARED",VLOOKUP(F263,Declarations!B$6:C$185,2,FALSE)))</f>
        <v/>
      </c>
      <c r="J263" s="112">
        <f>IF(LOWER(G263)="dnf",1,IF(G263&lt;ScoringTable!B$3,ScoringTable!I$2,VLOOKUP((1000-G263),ScoringTable!G$2:I$95,3)))</f>
        <v>0</v>
      </c>
      <c r="K263" s="112" t="str">
        <f>IF(OR(E263="",G263=""),"",IF(RIGHT(E263,1)="G",_xlfn.XLOOKUP(G263,Data!$D$10:$L$10,Data!$D$9:$L$9,"",1,1),_xlfn.XLOOKUP(G263,Data!$D$3:$L$3,Data!$D$2:$L$2,"",1,1)))</f>
        <v/>
      </c>
      <c r="L263" s="160" t="str" cm="1">
        <f t="array" ref="L263">IFERROR(_xlfn.IFNA(
                      _xlfn.IFS(
                      G263="", "",
                      AND(E263="U12B",G263&lt;=Data!$M$3), "U12 Boys record",
                      AND(E263="U12G",G263&lt;=Data!$M$10), "U12 Girls record"
                       ),""), "")</f>
        <v/>
      </c>
      <c r="M263" s="18" cm="1">
        <f t="array" ref="M263">_xlfn.IFS($G263="",0, AND(NOT(ISNUMBER($G263)),LOWER($G263)&lt;&gt;"dnf"),"Not a valid time",OR(LOWER($G263)="dnf",$G263&gt;ScoringTable!$M$161),1,RIGHT($E263,1)="B",_xlfn.XLOOKUP($G263,ScoringTable!$M$2:$M$161,ScoringTable!$L$2:$L$161,,1),TRUE,_xlfn.XLOOKUP($G263,ScoringTable!$S$2:$S$161,ScoringTable!$R$2:$R$161,,1))</f>
        <v>0</v>
      </c>
    </row>
    <row r="264" spans="1:13" s="7" customFormat="1" ht="16.05" customHeight="1">
      <c r="A264" s="243" t="s">
        <v>85</v>
      </c>
      <c r="B264" s="114" t="str">
        <f>IF(ISNA(VLOOKUP($F264,Declarations!B$6:C$185,2,FALSE)),"",IF(VLOOKUP($F264,Declarations!B$6:C$185,2,FALSE)="","NOT DECLARED",IF(ISNA(_xlfn.TEXTBEFORE(VLOOKUP($F264,Declarations!B$6:C$185,2,FALSE)," ")),VLOOKUP($F264,Declarations!B$6:C$185,2,FALSE),_xlfn.TEXTBEFORE(VLOOKUP($F264,Declarations!B$6:C$185,2,FALSE)," "))))</f>
        <v/>
      </c>
      <c r="C264" s="114" t="str">
        <f>IF(ISNA(VLOOKUP($F264,Declarations!B$6:C$185,2,FALSE)),"",IF(VLOOKUP($F264,Declarations!B$6:C$185,2,FALSE)="","NOT DECLARED",IF(ISNA(_xlfn.TEXTAFTER(VLOOKUP($F264,Declarations!B$6:C$185,2,FALSE)," ")),VLOOKUP($F264,Declarations!B$6:C$185,2,FALSE),_xlfn.TEXTAFTER(VLOOKUP($F264,Declarations!B$6:C$185,2,FALSE)," "))))</f>
        <v/>
      </c>
      <c r="D264" s="114" t="str">
        <f>IF(ISNA(VLOOKUP($F264,Declarations!$B$6:$F$185,5,FALSE)),"",IF(VLOOKUP($F264,Declarations!$B$6:$F$185,5,FALSE)="","NOT DECLARED",VLOOKUP($F264,Declarations!$B$6:$F$185,5,FALSE)))</f>
        <v/>
      </c>
      <c r="E264" s="112" t="str">
        <f>IF(ISNA(VLOOKUP($F264,Declarations!$B$6:$D$185,3,FALSE)),"",IF(VLOOKUP($F264,Declarations!$B$6:$D$185,3,FALSE)="","NOT DECLARED",VLOOKUP($F264,Declarations!$B$6:$D$185,3,FALSE)&amp;LEFT(VLOOKUP($F264,Declarations!$B$6:$E$185,4,FALSE))))</f>
        <v/>
      </c>
      <c r="F264" s="58"/>
      <c r="G264" s="122"/>
      <c r="H264" s="122"/>
      <c r="I264" s="114" t="str">
        <f>IF(ISNA(VLOOKUP(F264,Declarations!B$6:C$185,2,FALSE)),"",IF(VLOOKUP(F264,Declarations!B$6:C$185,2,FALSE)="","NOT DECLARED",VLOOKUP(F264,Declarations!B$6:C$185,2,FALSE)))</f>
        <v/>
      </c>
      <c r="J264" s="112">
        <f>IF(LOWER(G264)="dnf",1,IF(G264&lt;ScoringTable!B$3,ScoringTable!I$2,VLOOKUP((1000-G264),ScoringTable!G$2:I$95,3)))</f>
        <v>0</v>
      </c>
      <c r="K264" s="112" t="str">
        <f>IF(OR(E264="",G264=""),"",IF(RIGHT(E264,1)="G",_xlfn.XLOOKUP(G264,Data!$D$10:$L$10,Data!$D$9:$L$9,"",1,1),_xlfn.XLOOKUP(G264,Data!$D$3:$L$3,Data!$D$2:$L$2,"",1,1)))</f>
        <v/>
      </c>
      <c r="L264" s="160" t="str" cm="1">
        <f t="array" ref="L264">IFERROR(_xlfn.IFNA(
                      _xlfn.IFS(
                      G264="", "",
                      AND(E264="U12B",G264&lt;=Data!$M$3), "U12 Boys record",
                      AND(E264="U12G",G264&lt;=Data!$M$10), "U12 Girls record"
                       ),""), "")</f>
        <v/>
      </c>
      <c r="M264" s="18" cm="1">
        <f t="array" ref="M264">_xlfn.IFS($G264="",0, AND(NOT(ISNUMBER($G264)),LOWER($G264)&lt;&gt;"dnf"),"Not a valid time",OR(LOWER($G264)="dnf",$G264&gt;ScoringTable!$M$161),1,RIGHT($E264,1)="B",_xlfn.XLOOKUP($G264,ScoringTable!$M$2:$M$161,ScoringTable!$L$2:$L$161,,1),TRUE,_xlfn.XLOOKUP($G264,ScoringTable!$S$2:$S$161,ScoringTable!$R$2:$R$161,,1))</f>
        <v>0</v>
      </c>
    </row>
    <row r="265" spans="1:13" s="7" customFormat="1" ht="16.05" customHeight="1">
      <c r="A265" s="243" t="s">
        <v>85</v>
      </c>
      <c r="B265" s="114" t="str">
        <f>IF(ISNA(VLOOKUP($F265,Declarations!B$6:C$185,2,FALSE)),"",IF(VLOOKUP($F265,Declarations!B$6:C$185,2,FALSE)="","NOT DECLARED",IF(ISNA(_xlfn.TEXTBEFORE(VLOOKUP($F265,Declarations!B$6:C$185,2,FALSE)," ")),VLOOKUP($F265,Declarations!B$6:C$185,2,FALSE),_xlfn.TEXTBEFORE(VLOOKUP($F265,Declarations!B$6:C$185,2,FALSE)," "))))</f>
        <v/>
      </c>
      <c r="C265" s="114" t="str">
        <f>IF(ISNA(VLOOKUP($F265,Declarations!B$6:C$185,2,FALSE)),"",IF(VLOOKUP($F265,Declarations!B$6:C$185,2,FALSE)="","NOT DECLARED",IF(ISNA(_xlfn.TEXTAFTER(VLOOKUP($F265,Declarations!B$6:C$185,2,FALSE)," ")),VLOOKUP($F265,Declarations!B$6:C$185,2,FALSE),_xlfn.TEXTAFTER(VLOOKUP($F265,Declarations!B$6:C$185,2,FALSE)," "))))</f>
        <v/>
      </c>
      <c r="D265" s="114" t="str">
        <f>IF(ISNA(VLOOKUP($F265,Declarations!$B$6:$F$185,5,FALSE)),"",IF(VLOOKUP($F265,Declarations!$B$6:$F$185,5,FALSE)="","NOT DECLARED",VLOOKUP($F265,Declarations!$B$6:$F$185,5,FALSE)))</f>
        <v/>
      </c>
      <c r="E265" s="112" t="str">
        <f>IF(ISNA(VLOOKUP($F265,Declarations!$B$6:$D$185,3,FALSE)),"",IF(VLOOKUP($F265,Declarations!$B$6:$D$185,3,FALSE)="","NOT DECLARED",VLOOKUP($F265,Declarations!$B$6:$D$185,3,FALSE)&amp;LEFT(VLOOKUP($F265,Declarations!$B$6:$E$185,4,FALSE))))</f>
        <v/>
      </c>
      <c r="F265" s="58"/>
      <c r="G265" s="122"/>
      <c r="H265" s="122"/>
      <c r="I265" s="114" t="str">
        <f>IF(ISNA(VLOOKUP(F265,Declarations!B$6:C$185,2,FALSE)),"",IF(VLOOKUP(F265,Declarations!B$6:C$185,2,FALSE)="","NOT DECLARED",VLOOKUP(F265,Declarations!B$6:C$185,2,FALSE)))</f>
        <v/>
      </c>
      <c r="J265" s="112">
        <f>IF(LOWER(G265)="dnf",1,IF(G265&lt;ScoringTable!B$3,ScoringTable!I$2,VLOOKUP((1000-G265),ScoringTable!G$2:I$95,3)))</f>
        <v>0</v>
      </c>
      <c r="K265" s="112" t="str">
        <f>IF(OR(E265="",G265=""),"",IF(RIGHT(E265,1)="G",_xlfn.XLOOKUP(G265,Data!$D$10:$L$10,Data!$D$9:$L$9,"",1,1),_xlfn.XLOOKUP(G265,Data!$D$3:$L$3,Data!$D$2:$L$2,"",1,1)))</f>
        <v/>
      </c>
      <c r="L265" s="160" t="str" cm="1">
        <f t="array" ref="L265">IFERROR(_xlfn.IFNA(
                      _xlfn.IFS(
                      G265="", "",
                      AND(E265="U12B",G265&lt;=Data!$M$3), "U12 Boys record",
                      AND(E265="U12G",G265&lt;=Data!$M$10), "U12 Girls record"
                       ),""), "")</f>
        <v/>
      </c>
      <c r="M265" s="18" cm="1">
        <f t="array" ref="M265">_xlfn.IFS($G265="",0, AND(NOT(ISNUMBER($G265)),LOWER($G265)&lt;&gt;"dnf"),"Not a valid time",OR(LOWER($G265)="dnf",$G265&gt;ScoringTable!$M$161),1,RIGHT($E265,1)="B",_xlfn.XLOOKUP($G265,ScoringTable!$M$2:$M$161,ScoringTable!$L$2:$L$161,,1),TRUE,_xlfn.XLOOKUP($G265,ScoringTable!$S$2:$S$161,ScoringTable!$R$2:$R$161,,1))</f>
        <v>0</v>
      </c>
    </row>
    <row r="266" spans="1:13" s="7" customFormat="1" ht="16.05" customHeight="1">
      <c r="A266" s="243" t="s">
        <v>85</v>
      </c>
      <c r="B266" s="114" t="str">
        <f>IF(ISNA(VLOOKUP($F266,Declarations!B$6:C$185,2,FALSE)),"",IF(VLOOKUP($F266,Declarations!B$6:C$185,2,FALSE)="","NOT DECLARED",IF(ISNA(_xlfn.TEXTBEFORE(VLOOKUP($F266,Declarations!B$6:C$185,2,FALSE)," ")),VLOOKUP($F266,Declarations!B$6:C$185,2,FALSE),_xlfn.TEXTBEFORE(VLOOKUP($F266,Declarations!B$6:C$185,2,FALSE)," "))))</f>
        <v/>
      </c>
      <c r="C266" s="114" t="str">
        <f>IF(ISNA(VLOOKUP($F266,Declarations!B$6:C$185,2,FALSE)),"",IF(VLOOKUP($F266,Declarations!B$6:C$185,2,FALSE)="","NOT DECLARED",IF(ISNA(_xlfn.TEXTAFTER(VLOOKUP($F266,Declarations!B$6:C$185,2,FALSE)," ")),VLOOKUP($F266,Declarations!B$6:C$185,2,FALSE),_xlfn.TEXTAFTER(VLOOKUP($F266,Declarations!B$6:C$185,2,FALSE)," "))))</f>
        <v/>
      </c>
      <c r="D266" s="114" t="str">
        <f>IF(ISNA(VLOOKUP($F266,Declarations!$B$6:$F$185,5,FALSE)),"",IF(VLOOKUP($F266,Declarations!$B$6:$F$185,5,FALSE)="","NOT DECLARED",VLOOKUP($F266,Declarations!$B$6:$F$185,5,FALSE)))</f>
        <v/>
      </c>
      <c r="E266" s="112" t="str">
        <f>IF(ISNA(VLOOKUP($F266,Declarations!$B$6:$D$185,3,FALSE)),"",IF(VLOOKUP($F266,Declarations!$B$6:$D$185,3,FALSE)="","NOT DECLARED",VLOOKUP($F266,Declarations!$B$6:$D$185,3,FALSE)&amp;LEFT(VLOOKUP($F266,Declarations!$B$6:$E$185,4,FALSE))))</f>
        <v/>
      </c>
      <c r="F266" s="58"/>
      <c r="G266" s="122"/>
      <c r="H266" s="122"/>
      <c r="I266" s="114" t="str">
        <f>IF(ISNA(VLOOKUP(F266,Declarations!B$6:C$185,2,FALSE)),"",IF(VLOOKUP(F266,Declarations!B$6:C$185,2,FALSE)="","NOT DECLARED",VLOOKUP(F266,Declarations!B$6:C$185,2,FALSE)))</f>
        <v/>
      </c>
      <c r="J266" s="112">
        <f>IF(LOWER(G266)="dnf",1,IF(G266&lt;ScoringTable!B$3,ScoringTable!I$2,VLOOKUP((1000-G266),ScoringTable!G$2:I$95,3)))</f>
        <v>0</v>
      </c>
      <c r="K266" s="112" t="str">
        <f>IF(OR(E266="",G266=""),"",IF(RIGHT(E266,1)="G",_xlfn.XLOOKUP(G266,Data!$D$10:$L$10,Data!$D$9:$L$9,"",1,1),_xlfn.XLOOKUP(G266,Data!$D$3:$L$3,Data!$D$2:$L$2,"",1,1)))</f>
        <v/>
      </c>
      <c r="L266" s="160" t="str" cm="1">
        <f t="array" ref="L266">IFERROR(_xlfn.IFNA(
                      _xlfn.IFS(
                      G266="", "",
                      AND(E266="U12B",G266&lt;=Data!$M$3), "U12 Boys record",
                      AND(E266="U12G",G266&lt;=Data!$M$10), "U12 Girls record"
                       ),""), "")</f>
        <v/>
      </c>
      <c r="M266" s="18" cm="1">
        <f t="array" ref="M266">_xlfn.IFS($G266="",0, AND(NOT(ISNUMBER($G266)),LOWER($G266)&lt;&gt;"dnf"),"Not a valid time",OR(LOWER($G266)="dnf",$G266&gt;ScoringTable!$M$161),1,RIGHT($E266,1)="B",_xlfn.XLOOKUP($G266,ScoringTable!$M$2:$M$161,ScoringTable!$L$2:$L$161,,1),TRUE,_xlfn.XLOOKUP($G266,ScoringTable!$S$2:$S$161,ScoringTable!$R$2:$R$161,,1))</f>
        <v>0</v>
      </c>
    </row>
    <row r="267" spans="1:13" s="7" customFormat="1" ht="16.05" customHeight="1">
      <c r="A267" s="243" t="s">
        <v>85</v>
      </c>
      <c r="B267" s="114" t="str">
        <f>IF(ISNA(VLOOKUP($F267,Declarations!B$6:C$185,2,FALSE)),"",IF(VLOOKUP($F267,Declarations!B$6:C$185,2,FALSE)="","NOT DECLARED",IF(ISNA(_xlfn.TEXTBEFORE(VLOOKUP($F267,Declarations!B$6:C$185,2,FALSE)," ")),VLOOKUP($F267,Declarations!B$6:C$185,2,FALSE),_xlfn.TEXTBEFORE(VLOOKUP($F267,Declarations!B$6:C$185,2,FALSE)," "))))</f>
        <v/>
      </c>
      <c r="C267" s="114" t="str">
        <f>IF(ISNA(VLOOKUP($F267,Declarations!B$6:C$185,2,FALSE)),"",IF(VLOOKUP($F267,Declarations!B$6:C$185,2,FALSE)="","NOT DECLARED",IF(ISNA(_xlfn.TEXTAFTER(VLOOKUP($F267,Declarations!B$6:C$185,2,FALSE)," ")),VLOOKUP($F267,Declarations!B$6:C$185,2,FALSE),_xlfn.TEXTAFTER(VLOOKUP($F267,Declarations!B$6:C$185,2,FALSE)," "))))</f>
        <v/>
      </c>
      <c r="D267" s="114" t="str">
        <f>IF(ISNA(VLOOKUP($F267,Declarations!$B$6:$F$185,5,FALSE)),"",IF(VLOOKUP($F267,Declarations!$B$6:$F$185,5,FALSE)="","NOT DECLARED",VLOOKUP($F267,Declarations!$B$6:$F$185,5,FALSE)))</f>
        <v/>
      </c>
      <c r="E267" s="112" t="str">
        <f>IF(ISNA(VLOOKUP($F267,Declarations!$B$6:$D$185,3,FALSE)),"",IF(VLOOKUP($F267,Declarations!$B$6:$D$185,3,FALSE)="","NOT DECLARED",VLOOKUP($F267,Declarations!$B$6:$D$185,3,FALSE)&amp;LEFT(VLOOKUP($F267,Declarations!$B$6:$E$185,4,FALSE))))</f>
        <v/>
      </c>
      <c r="F267" s="58"/>
      <c r="G267" s="122"/>
      <c r="H267" s="122"/>
      <c r="I267" s="114" t="str">
        <f>IF(ISNA(VLOOKUP(F267,Declarations!B$6:C$185,2,FALSE)),"",IF(VLOOKUP(F267,Declarations!B$6:C$185,2,FALSE)="","NOT DECLARED",VLOOKUP(F267,Declarations!B$6:C$185,2,FALSE)))</f>
        <v/>
      </c>
      <c r="J267" s="112">
        <f>IF(LOWER(G267)="dnf",1,IF(G267&lt;ScoringTable!B$3,ScoringTable!I$2,VLOOKUP((1000-G267),ScoringTable!G$2:I$95,3)))</f>
        <v>0</v>
      </c>
      <c r="K267" s="112" t="str">
        <f>IF(OR(E267="",G267=""),"",IF(RIGHT(E267,1)="G",_xlfn.XLOOKUP(G267,Data!$D$10:$L$10,Data!$D$9:$L$9,"",1,1),_xlfn.XLOOKUP(G267,Data!$D$3:$L$3,Data!$D$2:$L$2,"",1,1)))</f>
        <v/>
      </c>
      <c r="L267" s="160" t="str" cm="1">
        <f t="array" ref="L267">IFERROR(_xlfn.IFNA(
                      _xlfn.IFS(
                      G267="", "",
                      AND(E267="U12B",G267&lt;=Data!$M$3), "U12 Boys record",
                      AND(E267="U12G",G267&lt;=Data!$M$10), "U12 Girls record"
                       ),""), "")</f>
        <v/>
      </c>
      <c r="M267" s="18" cm="1">
        <f t="array" ref="M267">_xlfn.IFS($G267="",0, AND(NOT(ISNUMBER($G267)),LOWER($G267)&lt;&gt;"dnf"),"Not a valid time",OR(LOWER($G267)="dnf",$G267&gt;ScoringTable!$M$161),1,RIGHT($E267,1)="B",_xlfn.XLOOKUP($G267,ScoringTable!$M$2:$M$161,ScoringTable!$L$2:$L$161,,1),TRUE,_xlfn.XLOOKUP($G267,ScoringTable!$S$2:$S$161,ScoringTable!$R$2:$R$161,,1))</f>
        <v>0</v>
      </c>
    </row>
    <row r="268" spans="1:13" s="7" customFormat="1" ht="16.05" customHeight="1">
      <c r="A268" s="243" t="s">
        <v>85</v>
      </c>
      <c r="B268" s="114" t="str">
        <f>IF(ISNA(VLOOKUP($F268,Declarations!B$6:C$185,2,FALSE)),"",IF(VLOOKUP($F268,Declarations!B$6:C$185,2,FALSE)="","NOT DECLARED",IF(ISNA(_xlfn.TEXTBEFORE(VLOOKUP($F268,Declarations!B$6:C$185,2,FALSE)," ")),VLOOKUP($F268,Declarations!B$6:C$185,2,FALSE),_xlfn.TEXTBEFORE(VLOOKUP($F268,Declarations!B$6:C$185,2,FALSE)," "))))</f>
        <v/>
      </c>
      <c r="C268" s="114" t="str">
        <f>IF(ISNA(VLOOKUP($F268,Declarations!B$6:C$185,2,FALSE)),"",IF(VLOOKUP($F268,Declarations!B$6:C$185,2,FALSE)="","NOT DECLARED",IF(ISNA(_xlfn.TEXTAFTER(VLOOKUP($F268,Declarations!B$6:C$185,2,FALSE)," ")),VLOOKUP($F268,Declarations!B$6:C$185,2,FALSE),_xlfn.TEXTAFTER(VLOOKUP($F268,Declarations!B$6:C$185,2,FALSE)," "))))</f>
        <v/>
      </c>
      <c r="D268" s="114" t="str">
        <f>IF(ISNA(VLOOKUP($F268,Declarations!$B$6:$F$185,5,FALSE)),"",IF(VLOOKUP($F268,Declarations!$B$6:$F$185,5,FALSE)="","NOT DECLARED",VLOOKUP($F268,Declarations!$B$6:$F$185,5,FALSE)))</f>
        <v/>
      </c>
      <c r="E268" s="112" t="str">
        <f>IF(ISNA(VLOOKUP($F268,Declarations!$B$6:$D$185,3,FALSE)),"",IF(VLOOKUP($F268,Declarations!$B$6:$D$185,3,FALSE)="","NOT DECLARED",VLOOKUP($F268,Declarations!$B$6:$D$185,3,FALSE)&amp;LEFT(VLOOKUP($F268,Declarations!$B$6:$E$185,4,FALSE))))</f>
        <v/>
      </c>
      <c r="F268" s="58"/>
      <c r="G268" s="122"/>
      <c r="H268" s="122"/>
      <c r="I268" s="114" t="str">
        <f>IF(ISNA(VLOOKUP(F268,Declarations!B$6:C$185,2,FALSE)),"",IF(VLOOKUP(F268,Declarations!B$6:C$185,2,FALSE)="","NOT DECLARED",VLOOKUP(F268,Declarations!B$6:C$185,2,FALSE)))</f>
        <v/>
      </c>
      <c r="J268" s="112">
        <f>IF(LOWER(G268)="dnf",1,IF(G268&lt;ScoringTable!B$3,ScoringTable!I$2,VLOOKUP((1000-G268),ScoringTable!G$2:I$95,3)))</f>
        <v>0</v>
      </c>
      <c r="K268" s="112" t="str">
        <f>IF(OR(E268="",G268=""),"",IF(RIGHT(E268,1)="G",_xlfn.XLOOKUP(G268,Data!$D$10:$L$10,Data!$D$9:$L$9,"",1,1),_xlfn.XLOOKUP(G268,Data!$D$3:$L$3,Data!$D$2:$L$2,"",1,1)))</f>
        <v/>
      </c>
      <c r="L268" s="160" t="str" cm="1">
        <f t="array" ref="L268">IFERROR(_xlfn.IFNA(
                      _xlfn.IFS(
                      G268="", "",
                      AND(E268="U12B",G268&lt;=Data!$M$3), "U12 Boys record",
                      AND(E268="U12G",G268&lt;=Data!$M$10), "U12 Girls record"
                       ),""), "")</f>
        <v/>
      </c>
      <c r="M268" s="18" cm="1">
        <f t="array" ref="M268">_xlfn.IFS($G268="",0, AND(NOT(ISNUMBER($G268)),LOWER($G268)&lt;&gt;"dnf"),"Not a valid time",OR(LOWER($G268)="dnf",$G268&gt;ScoringTable!$M$161),1,RIGHT($E268,1)="B",_xlfn.XLOOKUP($G268,ScoringTable!$M$2:$M$161,ScoringTable!$L$2:$L$161,,1),TRUE,_xlfn.XLOOKUP($G268,ScoringTable!$S$2:$S$161,ScoringTable!$R$2:$R$161,,1))</f>
        <v>0</v>
      </c>
    </row>
    <row r="269" spans="1:13" s="7" customFormat="1" ht="16.05" customHeight="1">
      <c r="A269" s="243" t="s">
        <v>85</v>
      </c>
      <c r="B269" s="114" t="str">
        <f>IF(ISNA(VLOOKUP($F269,Declarations!B$6:C$185,2,FALSE)),"",IF(VLOOKUP($F269,Declarations!B$6:C$185,2,FALSE)="","NOT DECLARED",IF(ISNA(_xlfn.TEXTBEFORE(VLOOKUP($F269,Declarations!B$6:C$185,2,FALSE)," ")),VLOOKUP($F269,Declarations!B$6:C$185,2,FALSE),_xlfn.TEXTBEFORE(VLOOKUP($F269,Declarations!B$6:C$185,2,FALSE)," "))))</f>
        <v/>
      </c>
      <c r="C269" s="114" t="str">
        <f>IF(ISNA(VLOOKUP($F269,Declarations!B$6:C$185,2,FALSE)),"",IF(VLOOKUP($F269,Declarations!B$6:C$185,2,FALSE)="","NOT DECLARED",IF(ISNA(_xlfn.TEXTAFTER(VLOOKUP($F269,Declarations!B$6:C$185,2,FALSE)," ")),VLOOKUP($F269,Declarations!B$6:C$185,2,FALSE),_xlfn.TEXTAFTER(VLOOKUP($F269,Declarations!B$6:C$185,2,FALSE)," "))))</f>
        <v/>
      </c>
      <c r="D269" s="114" t="str">
        <f>IF(ISNA(VLOOKUP($F269,Declarations!$B$6:$F$185,5,FALSE)),"",IF(VLOOKUP($F269,Declarations!$B$6:$F$185,5,FALSE)="","NOT DECLARED",VLOOKUP($F269,Declarations!$B$6:$F$185,5,FALSE)))</f>
        <v/>
      </c>
      <c r="E269" s="112" t="str">
        <f>IF(ISNA(VLOOKUP($F269,Declarations!$B$6:$D$185,3,FALSE)),"",IF(VLOOKUP($F269,Declarations!$B$6:$D$185,3,FALSE)="","NOT DECLARED",VLOOKUP($F269,Declarations!$B$6:$D$185,3,FALSE)&amp;LEFT(VLOOKUP($F269,Declarations!$B$6:$E$185,4,FALSE))))</f>
        <v/>
      </c>
      <c r="F269" s="58"/>
      <c r="G269" s="122"/>
      <c r="H269" s="122"/>
      <c r="I269" s="114" t="str">
        <f>IF(ISNA(VLOOKUP(F269,Declarations!B$6:C$185,2,FALSE)),"",IF(VLOOKUP(F269,Declarations!B$6:C$185,2,FALSE)="","NOT DECLARED",VLOOKUP(F269,Declarations!B$6:C$185,2,FALSE)))</f>
        <v/>
      </c>
      <c r="J269" s="112">
        <f>IF(LOWER(G269)="dnf",1,IF(G269&lt;ScoringTable!B$3,ScoringTable!I$2,VLOOKUP((1000-G269),ScoringTable!G$2:I$95,3)))</f>
        <v>0</v>
      </c>
      <c r="K269" s="112" t="str">
        <f>IF(OR(E269="",G269=""),"",IF(RIGHT(E269,1)="G",_xlfn.XLOOKUP(G269,Data!$D$10:$L$10,Data!$D$9:$L$9,"",1,1),_xlfn.XLOOKUP(G269,Data!$D$3:$L$3,Data!$D$2:$L$2,"",1,1)))</f>
        <v/>
      </c>
      <c r="L269" s="160" t="str" cm="1">
        <f t="array" ref="L269">IFERROR(_xlfn.IFNA(
                      _xlfn.IFS(
                      G269="", "",
                      AND(E269="U12B",G269&lt;=Data!$M$3), "U12 Boys record",
                      AND(E269="U12G",G269&lt;=Data!$M$10), "U12 Girls record"
                       ),""), "")</f>
        <v/>
      </c>
      <c r="M269" s="18" cm="1">
        <f t="array" ref="M269">_xlfn.IFS($G269="",0, AND(NOT(ISNUMBER($G269)),LOWER($G269)&lt;&gt;"dnf"),"Not a valid time",OR(LOWER($G269)="dnf",$G269&gt;ScoringTable!$M$161),1,RIGHT($E269,1)="B",_xlfn.XLOOKUP($G269,ScoringTable!$M$2:$M$161,ScoringTable!$L$2:$L$161,,1),TRUE,_xlfn.XLOOKUP($G269,ScoringTable!$S$2:$S$161,ScoringTable!$R$2:$R$161,,1))</f>
        <v>0</v>
      </c>
    </row>
    <row r="270" spans="1:13" s="7" customFormat="1" ht="16.05" customHeight="1">
      <c r="A270" s="243" t="s">
        <v>85</v>
      </c>
      <c r="B270" s="114" t="str">
        <f>IF(ISNA(VLOOKUP($F270,Declarations!B$6:C$185,2,FALSE)),"",IF(VLOOKUP($F270,Declarations!B$6:C$185,2,FALSE)="","NOT DECLARED",IF(ISNA(_xlfn.TEXTBEFORE(VLOOKUP($F270,Declarations!B$6:C$185,2,FALSE)," ")),VLOOKUP($F270,Declarations!B$6:C$185,2,FALSE),_xlfn.TEXTBEFORE(VLOOKUP($F270,Declarations!B$6:C$185,2,FALSE)," "))))</f>
        <v/>
      </c>
      <c r="C270" s="114" t="str">
        <f>IF(ISNA(VLOOKUP($F270,Declarations!B$6:C$185,2,FALSE)),"",IF(VLOOKUP($F270,Declarations!B$6:C$185,2,FALSE)="","NOT DECLARED",IF(ISNA(_xlfn.TEXTAFTER(VLOOKUP($F270,Declarations!B$6:C$185,2,FALSE)," ")),VLOOKUP($F270,Declarations!B$6:C$185,2,FALSE),_xlfn.TEXTAFTER(VLOOKUP($F270,Declarations!B$6:C$185,2,FALSE)," "))))</f>
        <v/>
      </c>
      <c r="D270" s="114" t="str">
        <f>IF(ISNA(VLOOKUP($F270,Declarations!$B$6:$F$185,5,FALSE)),"",IF(VLOOKUP($F270,Declarations!$B$6:$F$185,5,FALSE)="","NOT DECLARED",VLOOKUP($F270,Declarations!$B$6:$F$185,5,FALSE)))</f>
        <v/>
      </c>
      <c r="E270" s="112" t="str">
        <f>IF(ISNA(VLOOKUP($F270,Declarations!$B$6:$D$185,3,FALSE)),"",IF(VLOOKUP($F270,Declarations!$B$6:$D$185,3,FALSE)="","NOT DECLARED",VLOOKUP($F270,Declarations!$B$6:$D$185,3,FALSE)&amp;LEFT(VLOOKUP($F270,Declarations!$B$6:$E$185,4,FALSE))))</f>
        <v/>
      </c>
      <c r="F270" s="58"/>
      <c r="G270" s="122"/>
      <c r="H270" s="122"/>
      <c r="I270" s="114" t="str">
        <f>IF(ISNA(VLOOKUP(F270,Declarations!B$6:C$185,2,FALSE)),"",IF(VLOOKUP(F270,Declarations!B$6:C$185,2,FALSE)="","NOT DECLARED",VLOOKUP(F270,Declarations!B$6:C$185,2,FALSE)))</f>
        <v/>
      </c>
      <c r="J270" s="112">
        <f>IF(LOWER(G270)="dnf",1,IF(G270&lt;ScoringTable!B$3,ScoringTable!I$2,VLOOKUP((1000-G270),ScoringTable!G$2:I$95,3)))</f>
        <v>0</v>
      </c>
      <c r="K270" s="112" t="str">
        <f>IF(OR(E270="",G270=""),"",IF(RIGHT(E270,1)="G",_xlfn.XLOOKUP(G270,Data!$D$10:$L$10,Data!$D$9:$L$9,"",1,1),_xlfn.XLOOKUP(G270,Data!$D$3:$L$3,Data!$D$2:$L$2,"",1,1)))</f>
        <v/>
      </c>
      <c r="L270" s="160" t="str" cm="1">
        <f t="array" ref="L270">IFERROR(_xlfn.IFNA(
                      _xlfn.IFS(
                      G270="", "",
                      AND(E270="U12B",G270&lt;=Data!$M$3), "U12 Boys record",
                      AND(E270="U12G",G270&lt;=Data!$M$10), "U12 Girls record"
                       ),""), "")</f>
        <v/>
      </c>
      <c r="M270" s="18" cm="1">
        <f t="array" ref="M270">_xlfn.IFS($G270="",0, AND(NOT(ISNUMBER($G270)),LOWER($G270)&lt;&gt;"dnf"),"Not a valid time",OR(LOWER($G270)="dnf",$G270&gt;ScoringTable!$M$161),1,RIGHT($E270,1)="B",_xlfn.XLOOKUP($G270,ScoringTable!$M$2:$M$161,ScoringTable!$L$2:$L$161,,1),TRUE,_xlfn.XLOOKUP($G270,ScoringTable!$S$2:$S$161,ScoringTable!$R$2:$R$161,,1))</f>
        <v>0</v>
      </c>
    </row>
    <row r="271" spans="1:13" s="7" customFormat="1" ht="16.05" customHeight="1">
      <c r="A271" s="243" t="s">
        <v>85</v>
      </c>
      <c r="B271" s="114" t="str">
        <f>IF(ISNA(VLOOKUP($F271,Declarations!B$6:C$185,2,FALSE)),"",IF(VLOOKUP($F271,Declarations!B$6:C$185,2,FALSE)="","NOT DECLARED",IF(ISNA(_xlfn.TEXTBEFORE(VLOOKUP($F271,Declarations!B$6:C$185,2,FALSE)," ")),VLOOKUP($F271,Declarations!B$6:C$185,2,FALSE),_xlfn.TEXTBEFORE(VLOOKUP($F271,Declarations!B$6:C$185,2,FALSE)," "))))</f>
        <v/>
      </c>
      <c r="C271" s="114" t="str">
        <f>IF(ISNA(VLOOKUP($F271,Declarations!B$6:C$185,2,FALSE)),"",IF(VLOOKUP($F271,Declarations!B$6:C$185,2,FALSE)="","NOT DECLARED",IF(ISNA(_xlfn.TEXTAFTER(VLOOKUP($F271,Declarations!B$6:C$185,2,FALSE)," ")),VLOOKUP($F271,Declarations!B$6:C$185,2,FALSE),_xlfn.TEXTAFTER(VLOOKUP($F271,Declarations!B$6:C$185,2,FALSE)," "))))</f>
        <v/>
      </c>
      <c r="D271" s="114" t="str">
        <f>IF(ISNA(VLOOKUP($F271,Declarations!$B$6:$F$185,5,FALSE)),"",IF(VLOOKUP($F271,Declarations!$B$6:$F$185,5,FALSE)="","NOT DECLARED",VLOOKUP($F271,Declarations!$B$6:$F$185,5,FALSE)))</f>
        <v/>
      </c>
      <c r="E271" s="112" t="str">
        <f>IF(ISNA(VLOOKUP($F271,Declarations!$B$6:$D$185,3,FALSE)),"",IF(VLOOKUP($F271,Declarations!$B$6:$D$185,3,FALSE)="","NOT DECLARED",VLOOKUP($F271,Declarations!$B$6:$D$185,3,FALSE)&amp;LEFT(VLOOKUP($F271,Declarations!$B$6:$E$185,4,FALSE))))</f>
        <v/>
      </c>
      <c r="F271" s="58"/>
      <c r="G271" s="122"/>
      <c r="H271" s="122"/>
      <c r="I271" s="114" t="str">
        <f>IF(ISNA(VLOOKUP(F271,Declarations!B$6:C$185,2,FALSE)),"",IF(VLOOKUP(F271,Declarations!B$6:C$185,2,FALSE)="","NOT DECLARED",VLOOKUP(F271,Declarations!B$6:C$185,2,FALSE)))</f>
        <v/>
      </c>
      <c r="J271" s="112">
        <f>IF(LOWER(G271)="dnf",1,IF(G271&lt;ScoringTable!B$3,ScoringTable!I$2,VLOOKUP((1000-G271),ScoringTable!G$2:I$95,3)))</f>
        <v>0</v>
      </c>
      <c r="K271" s="112" t="str">
        <f>IF(OR(E271="",G271=""),"",IF(RIGHT(E271,1)="G",_xlfn.XLOOKUP(G271,Data!$D$10:$L$10,Data!$D$9:$L$9,"",1,1),_xlfn.XLOOKUP(G271,Data!$D$3:$L$3,Data!$D$2:$L$2,"",1,1)))</f>
        <v/>
      </c>
      <c r="L271" s="160" t="str" cm="1">
        <f t="array" ref="L271">IFERROR(_xlfn.IFNA(
                      _xlfn.IFS(
                      G271="", "",
                      AND(E271="U12B",G271&lt;=Data!$M$3), "U12 Boys record",
                      AND(E271="U12G",G271&lt;=Data!$M$10), "U12 Girls record"
                       ),""), "")</f>
        <v/>
      </c>
      <c r="M271" s="18" cm="1">
        <f t="array" ref="M271">_xlfn.IFS($G271="",0, AND(NOT(ISNUMBER($G271)),LOWER($G271)&lt;&gt;"dnf"),"Not a valid time",OR(LOWER($G271)="dnf",$G271&gt;ScoringTable!$M$161),1,RIGHT($E271,1)="B",_xlfn.XLOOKUP($G271,ScoringTable!$M$2:$M$161,ScoringTable!$L$2:$L$161,,1),TRUE,_xlfn.XLOOKUP($G271,ScoringTable!$S$2:$S$161,ScoringTable!$R$2:$R$161,,1))</f>
        <v>0</v>
      </c>
    </row>
    <row r="272" spans="1:13" s="7" customFormat="1" ht="16.05" customHeight="1">
      <c r="A272" s="243" t="s">
        <v>85</v>
      </c>
      <c r="B272" s="114" t="str">
        <f>IF(ISNA(VLOOKUP($F272,Declarations!B$6:C$185,2,FALSE)),"",IF(VLOOKUP($F272,Declarations!B$6:C$185,2,FALSE)="","NOT DECLARED",IF(ISNA(_xlfn.TEXTBEFORE(VLOOKUP($F272,Declarations!B$6:C$185,2,FALSE)," ")),VLOOKUP($F272,Declarations!B$6:C$185,2,FALSE),_xlfn.TEXTBEFORE(VLOOKUP($F272,Declarations!B$6:C$185,2,FALSE)," "))))</f>
        <v/>
      </c>
      <c r="C272" s="114" t="str">
        <f>IF(ISNA(VLOOKUP($F272,Declarations!B$6:C$185,2,FALSE)),"",IF(VLOOKUP($F272,Declarations!B$6:C$185,2,FALSE)="","NOT DECLARED",IF(ISNA(_xlfn.TEXTAFTER(VLOOKUP($F272,Declarations!B$6:C$185,2,FALSE)," ")),VLOOKUP($F272,Declarations!B$6:C$185,2,FALSE),_xlfn.TEXTAFTER(VLOOKUP($F272,Declarations!B$6:C$185,2,FALSE)," "))))</f>
        <v/>
      </c>
      <c r="D272" s="114" t="str">
        <f>IF(ISNA(VLOOKUP($F272,Declarations!$B$6:$F$185,5,FALSE)),"",IF(VLOOKUP($F272,Declarations!$B$6:$F$185,5,FALSE)="","NOT DECLARED",VLOOKUP($F272,Declarations!$B$6:$F$185,5,FALSE)))</f>
        <v/>
      </c>
      <c r="E272" s="112" t="str">
        <f>IF(ISNA(VLOOKUP($F272,Declarations!$B$6:$D$185,3,FALSE)),"",IF(VLOOKUP($F272,Declarations!$B$6:$D$185,3,FALSE)="","NOT DECLARED",VLOOKUP($F272,Declarations!$B$6:$D$185,3,FALSE)&amp;LEFT(VLOOKUP($F272,Declarations!$B$6:$E$185,4,FALSE))))</f>
        <v/>
      </c>
      <c r="F272" s="58"/>
      <c r="G272" s="122"/>
      <c r="H272" s="122"/>
      <c r="I272" s="114" t="str">
        <f>IF(ISNA(VLOOKUP(F272,Declarations!B$6:C$185,2,FALSE)),"",IF(VLOOKUP(F272,Declarations!B$6:C$185,2,FALSE)="","NOT DECLARED",VLOOKUP(F272,Declarations!B$6:C$185,2,FALSE)))</f>
        <v/>
      </c>
      <c r="J272" s="112">
        <f>IF(LOWER(G272)="dnf",1,IF(G272&lt;ScoringTable!B$3,ScoringTable!I$2,VLOOKUP((1000-G272),ScoringTable!G$2:I$95,3)))</f>
        <v>0</v>
      </c>
      <c r="K272" s="112" t="str">
        <f>IF(OR(E272="",G272=""),"",IF(RIGHT(E272,1)="G",_xlfn.XLOOKUP(G272,Data!$D$10:$L$10,Data!$D$9:$L$9,"",1,1),_xlfn.XLOOKUP(G272,Data!$D$3:$L$3,Data!$D$2:$L$2,"",1,1)))</f>
        <v/>
      </c>
      <c r="L272" s="160" t="str" cm="1">
        <f t="array" ref="L272">IFERROR(_xlfn.IFNA(
                      _xlfn.IFS(
                      G272="", "",
                      AND(E272="U12B",G272&lt;=Data!$M$3), "U12 Boys record",
                      AND(E272="U12G",G272&lt;=Data!$M$10), "U12 Girls record"
                       ),""), "")</f>
        <v/>
      </c>
      <c r="M272" s="18" cm="1">
        <f t="array" ref="M272">_xlfn.IFS($G272="",0, AND(NOT(ISNUMBER($G272)),LOWER($G272)&lt;&gt;"dnf"),"Not a valid time",OR(LOWER($G272)="dnf",$G272&gt;ScoringTable!$M$161),1,RIGHT($E272,1)="B",_xlfn.XLOOKUP($G272,ScoringTable!$M$2:$M$161,ScoringTable!$L$2:$L$161,,1),TRUE,_xlfn.XLOOKUP($G272,ScoringTable!$S$2:$S$161,ScoringTable!$R$2:$R$161,,1))</f>
        <v>0</v>
      </c>
    </row>
    <row r="273" spans="1:13" s="7" customFormat="1" ht="16.05" customHeight="1">
      <c r="A273" s="243" t="s">
        <v>85</v>
      </c>
      <c r="B273" s="114" t="str">
        <f>IF(ISNA(VLOOKUP($F273,Declarations!B$6:C$185,2,FALSE)),"",IF(VLOOKUP($F273,Declarations!B$6:C$185,2,FALSE)="","NOT DECLARED",IF(ISNA(_xlfn.TEXTBEFORE(VLOOKUP($F273,Declarations!B$6:C$185,2,FALSE)," ")),VLOOKUP($F273,Declarations!B$6:C$185,2,FALSE),_xlfn.TEXTBEFORE(VLOOKUP($F273,Declarations!B$6:C$185,2,FALSE)," "))))</f>
        <v/>
      </c>
      <c r="C273" s="114" t="str">
        <f>IF(ISNA(VLOOKUP($F273,Declarations!B$6:C$185,2,FALSE)),"",IF(VLOOKUP($F273,Declarations!B$6:C$185,2,FALSE)="","NOT DECLARED",IF(ISNA(_xlfn.TEXTAFTER(VLOOKUP($F273,Declarations!B$6:C$185,2,FALSE)," ")),VLOOKUP($F273,Declarations!B$6:C$185,2,FALSE),_xlfn.TEXTAFTER(VLOOKUP($F273,Declarations!B$6:C$185,2,FALSE)," "))))</f>
        <v/>
      </c>
      <c r="D273" s="114" t="str">
        <f>IF(ISNA(VLOOKUP($F273,Declarations!$B$6:$F$185,5,FALSE)),"",IF(VLOOKUP($F273,Declarations!$B$6:$F$185,5,FALSE)="","NOT DECLARED",VLOOKUP($F273,Declarations!$B$6:$F$185,5,FALSE)))</f>
        <v/>
      </c>
      <c r="E273" s="112" t="str">
        <f>IF(ISNA(VLOOKUP($F273,Declarations!$B$6:$D$185,3,FALSE)),"",IF(VLOOKUP($F273,Declarations!$B$6:$D$185,3,FALSE)="","NOT DECLARED",VLOOKUP($F273,Declarations!$B$6:$D$185,3,FALSE)&amp;LEFT(VLOOKUP($F273,Declarations!$B$6:$E$185,4,FALSE))))</f>
        <v/>
      </c>
      <c r="F273" s="58"/>
      <c r="G273" s="122"/>
      <c r="H273" s="122"/>
      <c r="I273" s="114" t="str">
        <f>IF(ISNA(VLOOKUP(F273,Declarations!B$6:C$185,2,FALSE)),"",IF(VLOOKUP(F273,Declarations!B$6:C$185,2,FALSE)="","NOT DECLARED",VLOOKUP(F273,Declarations!B$6:C$185,2,FALSE)))</f>
        <v/>
      </c>
      <c r="J273" s="112">
        <f>IF(LOWER(G273)="dnf",1,IF(G273&lt;ScoringTable!B$3,ScoringTable!I$2,VLOOKUP((1000-G273),ScoringTable!G$2:I$95,3)))</f>
        <v>0</v>
      </c>
      <c r="K273" s="112" t="str">
        <f>IF(OR(E273="",G273=""),"",IF(RIGHT(E273,1)="G",_xlfn.XLOOKUP(G273,Data!$D$10:$L$10,Data!$D$9:$L$9,"",1,1),_xlfn.XLOOKUP(G273,Data!$D$3:$L$3,Data!$D$2:$L$2,"",1,1)))</f>
        <v/>
      </c>
      <c r="L273" s="160" t="str" cm="1">
        <f t="array" ref="L273">IFERROR(_xlfn.IFNA(
                      _xlfn.IFS(
                      G273="", "",
                      AND(E273="U12B",G273&lt;=Data!$M$3), "U12 Boys record",
                      AND(E273="U12G",G273&lt;=Data!$M$10), "U12 Girls record"
                       ),""), "")</f>
        <v/>
      </c>
      <c r="M273" s="18" cm="1">
        <f t="array" ref="M273">_xlfn.IFS($G273="",0, AND(NOT(ISNUMBER($G273)),LOWER($G273)&lt;&gt;"dnf"),"Not a valid time",OR(LOWER($G273)="dnf",$G273&gt;ScoringTable!$M$161),1,RIGHT($E273,1)="B",_xlfn.XLOOKUP($G273,ScoringTable!$M$2:$M$161,ScoringTable!$L$2:$L$161,,1),TRUE,_xlfn.XLOOKUP($G273,ScoringTable!$S$2:$S$161,ScoringTable!$R$2:$R$161,,1))</f>
        <v>0</v>
      </c>
    </row>
    <row r="274" spans="1:13" s="7" customFormat="1" ht="16.05" customHeight="1">
      <c r="A274" s="243" t="s">
        <v>85</v>
      </c>
      <c r="B274" s="114" t="str">
        <f>IF(ISNA(VLOOKUP($F274,Declarations!B$6:C$185,2,FALSE)),"",IF(VLOOKUP($F274,Declarations!B$6:C$185,2,FALSE)="","NOT DECLARED",IF(ISNA(_xlfn.TEXTBEFORE(VLOOKUP($F274,Declarations!B$6:C$185,2,FALSE)," ")),VLOOKUP($F274,Declarations!B$6:C$185,2,FALSE),_xlfn.TEXTBEFORE(VLOOKUP($F274,Declarations!B$6:C$185,2,FALSE)," "))))</f>
        <v/>
      </c>
      <c r="C274" s="114" t="str">
        <f>IF(ISNA(VLOOKUP($F274,Declarations!B$6:C$185,2,FALSE)),"",IF(VLOOKUP($F274,Declarations!B$6:C$185,2,FALSE)="","NOT DECLARED",IF(ISNA(_xlfn.TEXTAFTER(VLOOKUP($F274,Declarations!B$6:C$185,2,FALSE)," ")),VLOOKUP($F274,Declarations!B$6:C$185,2,FALSE),_xlfn.TEXTAFTER(VLOOKUP($F274,Declarations!B$6:C$185,2,FALSE)," "))))</f>
        <v/>
      </c>
      <c r="D274" s="114" t="str">
        <f>IF(ISNA(VLOOKUP($F274,Declarations!$B$6:$F$185,5,FALSE)),"",IF(VLOOKUP($F274,Declarations!$B$6:$F$185,5,FALSE)="","NOT DECLARED",VLOOKUP($F274,Declarations!$B$6:$F$185,5,FALSE)))</f>
        <v/>
      </c>
      <c r="E274" s="112" t="str">
        <f>IF(ISNA(VLOOKUP($F274,Declarations!$B$6:$D$185,3,FALSE)),"",IF(VLOOKUP($F274,Declarations!$B$6:$D$185,3,FALSE)="","NOT DECLARED",VLOOKUP($F274,Declarations!$B$6:$D$185,3,FALSE)&amp;LEFT(VLOOKUP($F274,Declarations!$B$6:$E$185,4,FALSE))))</f>
        <v/>
      </c>
      <c r="F274" s="58"/>
      <c r="G274" s="122"/>
      <c r="H274" s="122"/>
      <c r="I274" s="114" t="str">
        <f>IF(ISNA(VLOOKUP(F274,Declarations!B$6:C$185,2,FALSE)),"",IF(VLOOKUP(F274,Declarations!B$6:C$185,2,FALSE)="","NOT DECLARED",VLOOKUP(F274,Declarations!B$6:C$185,2,FALSE)))</f>
        <v/>
      </c>
      <c r="J274" s="112">
        <f>IF(LOWER(G274)="dnf",1,IF(G274&lt;ScoringTable!B$3,ScoringTable!I$2,VLOOKUP((1000-G274),ScoringTable!G$2:I$95,3)))</f>
        <v>0</v>
      </c>
      <c r="K274" s="112" t="str">
        <f>IF(OR(E274="",G274=""),"",IF(RIGHT(E274,1)="G",_xlfn.XLOOKUP(G274,Data!$D$10:$L$10,Data!$D$9:$L$9,"",1,1),_xlfn.XLOOKUP(G274,Data!$D$3:$L$3,Data!$D$2:$L$2,"",1,1)))</f>
        <v/>
      </c>
      <c r="L274" s="160" t="str" cm="1">
        <f t="array" ref="L274">IFERROR(_xlfn.IFNA(
                      _xlfn.IFS(
                      G274="", "",
                      AND(E274="U12B",G274&lt;=Data!$M$3), "U12 Boys record",
                      AND(E274="U12G",G274&lt;=Data!$M$10), "U12 Girls record"
                       ),""), "")</f>
        <v/>
      </c>
      <c r="M274" s="18" cm="1">
        <f t="array" ref="M274">_xlfn.IFS($G274="",0, AND(NOT(ISNUMBER($G274)),LOWER($G274)&lt;&gt;"dnf"),"Not a valid time",OR(LOWER($G274)="dnf",$G274&gt;ScoringTable!$M$161),1,RIGHT($E274,1)="B",_xlfn.XLOOKUP($G274,ScoringTable!$M$2:$M$161,ScoringTable!$L$2:$L$161,,1),TRUE,_xlfn.XLOOKUP($G274,ScoringTable!$S$2:$S$161,ScoringTable!$R$2:$R$161,,1))</f>
        <v>0</v>
      </c>
    </row>
    <row r="275" spans="1:13" s="7" customFormat="1" ht="16.05" customHeight="1">
      <c r="A275" s="243" t="s">
        <v>85</v>
      </c>
      <c r="B275" s="114" t="str">
        <f>IF(ISNA(VLOOKUP($F275,Declarations!B$6:C$185,2,FALSE)),"",IF(VLOOKUP($F275,Declarations!B$6:C$185,2,FALSE)="","NOT DECLARED",IF(ISNA(_xlfn.TEXTBEFORE(VLOOKUP($F275,Declarations!B$6:C$185,2,FALSE)," ")),VLOOKUP($F275,Declarations!B$6:C$185,2,FALSE),_xlfn.TEXTBEFORE(VLOOKUP($F275,Declarations!B$6:C$185,2,FALSE)," "))))</f>
        <v/>
      </c>
      <c r="C275" s="114" t="str">
        <f>IF(ISNA(VLOOKUP($F275,Declarations!B$6:C$185,2,FALSE)),"",IF(VLOOKUP($F275,Declarations!B$6:C$185,2,FALSE)="","NOT DECLARED",IF(ISNA(_xlfn.TEXTAFTER(VLOOKUP($F275,Declarations!B$6:C$185,2,FALSE)," ")),VLOOKUP($F275,Declarations!B$6:C$185,2,FALSE),_xlfn.TEXTAFTER(VLOOKUP($F275,Declarations!B$6:C$185,2,FALSE)," "))))</f>
        <v/>
      </c>
      <c r="D275" s="114" t="str">
        <f>IF(ISNA(VLOOKUP($F275,Declarations!$B$6:$F$185,5,FALSE)),"",IF(VLOOKUP($F275,Declarations!$B$6:$F$185,5,FALSE)="","NOT DECLARED",VLOOKUP($F275,Declarations!$B$6:$F$185,5,FALSE)))</f>
        <v/>
      </c>
      <c r="E275" s="112" t="str">
        <f>IF(ISNA(VLOOKUP($F275,Declarations!$B$6:$D$185,3,FALSE)),"",IF(VLOOKUP($F275,Declarations!$B$6:$D$185,3,FALSE)="","NOT DECLARED",VLOOKUP($F275,Declarations!$B$6:$D$185,3,FALSE)&amp;LEFT(VLOOKUP($F275,Declarations!$B$6:$E$185,4,FALSE))))</f>
        <v/>
      </c>
      <c r="F275" s="58"/>
      <c r="G275" s="122"/>
      <c r="H275" s="122"/>
      <c r="I275" s="114" t="str">
        <f>IF(ISNA(VLOOKUP(F275,Declarations!B$6:C$185,2,FALSE)),"",IF(VLOOKUP(F275,Declarations!B$6:C$185,2,FALSE)="","NOT DECLARED",VLOOKUP(F275,Declarations!B$6:C$185,2,FALSE)))</f>
        <v/>
      </c>
      <c r="J275" s="112">
        <f>IF(LOWER(G275)="dnf",1,IF(G275&lt;ScoringTable!B$3,ScoringTable!I$2,VLOOKUP((1000-G275),ScoringTable!G$2:I$95,3)))</f>
        <v>0</v>
      </c>
      <c r="K275" s="112" t="str">
        <f>IF(OR(E275="",G275=""),"",IF(RIGHT(E275,1)="G",_xlfn.XLOOKUP(G275,Data!$D$10:$L$10,Data!$D$9:$L$9,"",1,1),_xlfn.XLOOKUP(G275,Data!$D$3:$L$3,Data!$D$2:$L$2,"",1,1)))</f>
        <v/>
      </c>
      <c r="L275" s="160" t="str" cm="1">
        <f t="array" ref="L275">IFERROR(_xlfn.IFNA(
                      _xlfn.IFS(
                      G275="", "",
                      AND(E275="U12B",G275&lt;=Data!$M$3), "U12 Boys record",
                      AND(E275="U12G",G275&lt;=Data!$M$10), "U12 Girls record"
                       ),""), "")</f>
        <v/>
      </c>
      <c r="M275" s="18" cm="1">
        <f t="array" ref="M275">_xlfn.IFS($G275="",0, AND(NOT(ISNUMBER($G275)),LOWER($G275)&lt;&gt;"dnf"),"Not a valid time",OR(LOWER($G275)="dnf",$G275&gt;ScoringTable!$M$161),1,RIGHT($E275,1)="B",_xlfn.XLOOKUP($G275,ScoringTable!$M$2:$M$161,ScoringTable!$L$2:$L$161,,1),TRUE,_xlfn.XLOOKUP($G275,ScoringTable!$S$2:$S$161,ScoringTable!$R$2:$R$161,,1))</f>
        <v>0</v>
      </c>
    </row>
    <row r="276" spans="1:13" s="7" customFormat="1" ht="16.05" customHeight="1">
      <c r="A276" s="243" t="s">
        <v>85</v>
      </c>
      <c r="B276" s="114" t="str">
        <f>IF(ISNA(VLOOKUP($F276,Declarations!B$6:C$185,2,FALSE)),"",IF(VLOOKUP($F276,Declarations!B$6:C$185,2,FALSE)="","NOT DECLARED",IF(ISNA(_xlfn.TEXTBEFORE(VLOOKUP($F276,Declarations!B$6:C$185,2,FALSE)," ")),VLOOKUP($F276,Declarations!B$6:C$185,2,FALSE),_xlfn.TEXTBEFORE(VLOOKUP($F276,Declarations!B$6:C$185,2,FALSE)," "))))</f>
        <v/>
      </c>
      <c r="C276" s="114" t="str">
        <f>IF(ISNA(VLOOKUP($F276,Declarations!B$6:C$185,2,FALSE)),"",IF(VLOOKUP($F276,Declarations!B$6:C$185,2,FALSE)="","NOT DECLARED",IF(ISNA(_xlfn.TEXTAFTER(VLOOKUP($F276,Declarations!B$6:C$185,2,FALSE)," ")),VLOOKUP($F276,Declarations!B$6:C$185,2,FALSE),_xlfn.TEXTAFTER(VLOOKUP($F276,Declarations!B$6:C$185,2,FALSE)," "))))</f>
        <v/>
      </c>
      <c r="D276" s="114" t="str">
        <f>IF(ISNA(VLOOKUP($F276,Declarations!$B$6:$F$185,5,FALSE)),"",IF(VLOOKUP($F276,Declarations!$B$6:$F$185,5,FALSE)="","NOT DECLARED",VLOOKUP($F276,Declarations!$B$6:$F$185,5,FALSE)))</f>
        <v/>
      </c>
      <c r="E276" s="112" t="str">
        <f>IF(ISNA(VLOOKUP($F276,Declarations!$B$6:$D$185,3,FALSE)),"",IF(VLOOKUP($F276,Declarations!$B$6:$D$185,3,FALSE)="","NOT DECLARED",VLOOKUP($F276,Declarations!$B$6:$D$185,3,FALSE)&amp;LEFT(VLOOKUP($F276,Declarations!$B$6:$E$185,4,FALSE))))</f>
        <v/>
      </c>
      <c r="F276" s="58"/>
      <c r="G276" s="122"/>
      <c r="H276" s="122"/>
      <c r="I276" s="114" t="str">
        <f>IF(ISNA(VLOOKUP(F276,Declarations!B$6:C$185,2,FALSE)),"",IF(VLOOKUP(F276,Declarations!B$6:C$185,2,FALSE)="","NOT DECLARED",VLOOKUP(F276,Declarations!B$6:C$185,2,FALSE)))</f>
        <v/>
      </c>
      <c r="J276" s="112">
        <f>IF(LOWER(G276)="dnf",1,IF(G276&lt;ScoringTable!B$3,ScoringTable!I$2,VLOOKUP((1000-G276),ScoringTable!G$2:I$95,3)))</f>
        <v>0</v>
      </c>
      <c r="K276" s="112" t="str">
        <f>IF(OR(E276="",G276=""),"",IF(RIGHT(E276,1)="G",_xlfn.XLOOKUP(G276,Data!$D$10:$L$10,Data!$D$9:$L$9,"",1,1),_xlfn.XLOOKUP(G276,Data!$D$3:$L$3,Data!$D$2:$L$2,"",1,1)))</f>
        <v/>
      </c>
      <c r="L276" s="160" t="str" cm="1">
        <f t="array" ref="L276">IFERROR(_xlfn.IFNA(
                      _xlfn.IFS(
                      G276="", "",
                      AND(E276="U12B",G276&lt;=Data!$M$3), "U12 Boys record",
                      AND(E276="U12G",G276&lt;=Data!$M$10), "U12 Girls record"
                       ),""), "")</f>
        <v/>
      </c>
      <c r="M276" s="18" cm="1">
        <f t="array" ref="M276">_xlfn.IFS($G276="",0, AND(NOT(ISNUMBER($G276)),LOWER($G276)&lt;&gt;"dnf"),"Not a valid time",OR(LOWER($G276)="dnf",$G276&gt;ScoringTable!$M$161),1,RIGHT($E276,1)="B",_xlfn.XLOOKUP($G276,ScoringTable!$M$2:$M$161,ScoringTable!$L$2:$L$161,,1),TRUE,_xlfn.XLOOKUP($G276,ScoringTable!$S$2:$S$161,ScoringTable!$R$2:$R$161,,1))</f>
        <v>0</v>
      </c>
    </row>
    <row r="277" spans="1:13" s="7" customFormat="1" ht="16.05" customHeight="1">
      <c r="A277" s="243" t="s">
        <v>85</v>
      </c>
      <c r="B277" s="114" t="str">
        <f>IF(ISNA(VLOOKUP($F277,Declarations!B$6:C$185,2,FALSE)),"",IF(VLOOKUP($F277,Declarations!B$6:C$185,2,FALSE)="","NOT DECLARED",IF(ISNA(_xlfn.TEXTBEFORE(VLOOKUP($F277,Declarations!B$6:C$185,2,FALSE)," ")),VLOOKUP($F277,Declarations!B$6:C$185,2,FALSE),_xlfn.TEXTBEFORE(VLOOKUP($F277,Declarations!B$6:C$185,2,FALSE)," "))))</f>
        <v/>
      </c>
      <c r="C277" s="114" t="str">
        <f>IF(ISNA(VLOOKUP($F277,Declarations!B$6:C$185,2,FALSE)),"",IF(VLOOKUP($F277,Declarations!B$6:C$185,2,FALSE)="","NOT DECLARED",IF(ISNA(_xlfn.TEXTAFTER(VLOOKUP($F277,Declarations!B$6:C$185,2,FALSE)," ")),VLOOKUP($F277,Declarations!B$6:C$185,2,FALSE),_xlfn.TEXTAFTER(VLOOKUP($F277,Declarations!B$6:C$185,2,FALSE)," "))))</f>
        <v/>
      </c>
      <c r="D277" s="114" t="str">
        <f>IF(ISNA(VLOOKUP($F277,Declarations!$B$6:$F$185,5,FALSE)),"",IF(VLOOKUP($F277,Declarations!$B$6:$F$185,5,FALSE)="","NOT DECLARED",VLOOKUP($F277,Declarations!$B$6:$F$185,5,FALSE)))</f>
        <v/>
      </c>
      <c r="E277" s="112" t="str">
        <f>IF(ISNA(VLOOKUP($F277,Declarations!$B$6:$D$185,3,FALSE)),"",IF(VLOOKUP($F277,Declarations!$B$6:$D$185,3,FALSE)="","NOT DECLARED",VLOOKUP($F277,Declarations!$B$6:$D$185,3,FALSE)&amp;LEFT(VLOOKUP($F277,Declarations!$B$6:$E$185,4,FALSE))))</f>
        <v/>
      </c>
      <c r="F277" s="58"/>
      <c r="G277" s="122"/>
      <c r="H277" s="122"/>
      <c r="I277" s="114" t="str">
        <f>IF(ISNA(VLOOKUP(F277,Declarations!B$6:C$185,2,FALSE)),"",IF(VLOOKUP(F277,Declarations!B$6:C$185,2,FALSE)="","NOT DECLARED",VLOOKUP(F277,Declarations!B$6:C$185,2,FALSE)))</f>
        <v/>
      </c>
      <c r="J277" s="112">
        <f>IF(LOWER(G277)="dnf",1,IF(G277&lt;ScoringTable!B$3,ScoringTable!I$2,VLOOKUP((1000-G277),ScoringTable!G$2:I$95,3)))</f>
        <v>0</v>
      </c>
      <c r="K277" s="112" t="str">
        <f>IF(OR(E277="",G277=""),"",IF(RIGHT(E277,1)="G",_xlfn.XLOOKUP(G277,Data!$D$10:$L$10,Data!$D$9:$L$9,"",1,1),_xlfn.XLOOKUP(G277,Data!$D$3:$L$3,Data!$D$2:$L$2,"",1,1)))</f>
        <v/>
      </c>
      <c r="L277" s="160" t="str" cm="1">
        <f t="array" ref="L277">IFERROR(_xlfn.IFNA(
                      _xlfn.IFS(
                      G277="", "",
                      AND(E277="U12B",G277&lt;=Data!$M$3), "U12 Boys record",
                      AND(E277="U12G",G277&lt;=Data!$M$10), "U12 Girls record"
                       ),""), "")</f>
        <v/>
      </c>
      <c r="M277" s="18" cm="1">
        <f t="array" ref="M277">_xlfn.IFS($G277="",0, AND(NOT(ISNUMBER($G277)),LOWER($G277)&lt;&gt;"dnf"),"Not a valid time",OR(LOWER($G277)="dnf",$G277&gt;ScoringTable!$M$161),1,RIGHT($E277,1)="B",_xlfn.XLOOKUP($G277,ScoringTable!$M$2:$M$161,ScoringTable!$L$2:$L$161,,1),TRUE,_xlfn.XLOOKUP($G277,ScoringTable!$S$2:$S$161,ScoringTable!$R$2:$R$161,,1))</f>
        <v>0</v>
      </c>
    </row>
    <row r="278" spans="1:13" s="7" customFormat="1" ht="16.05" customHeight="1">
      <c r="A278" s="243" t="s">
        <v>85</v>
      </c>
      <c r="B278" s="114" t="str">
        <f>IF(ISNA(VLOOKUP($F278,Declarations!B$6:C$185,2,FALSE)),"",IF(VLOOKUP($F278,Declarations!B$6:C$185,2,FALSE)="","NOT DECLARED",IF(ISNA(_xlfn.TEXTBEFORE(VLOOKUP($F278,Declarations!B$6:C$185,2,FALSE)," ")),VLOOKUP($F278,Declarations!B$6:C$185,2,FALSE),_xlfn.TEXTBEFORE(VLOOKUP($F278,Declarations!B$6:C$185,2,FALSE)," "))))</f>
        <v/>
      </c>
      <c r="C278" s="114" t="str">
        <f>IF(ISNA(VLOOKUP($F278,Declarations!B$6:C$185,2,FALSE)),"",IF(VLOOKUP($F278,Declarations!B$6:C$185,2,FALSE)="","NOT DECLARED",IF(ISNA(_xlfn.TEXTAFTER(VLOOKUP($F278,Declarations!B$6:C$185,2,FALSE)," ")),VLOOKUP($F278,Declarations!B$6:C$185,2,FALSE),_xlfn.TEXTAFTER(VLOOKUP($F278,Declarations!B$6:C$185,2,FALSE)," "))))</f>
        <v/>
      </c>
      <c r="D278" s="114" t="str">
        <f>IF(ISNA(VLOOKUP($F278,Declarations!$B$6:$F$185,5,FALSE)),"",IF(VLOOKUP($F278,Declarations!$B$6:$F$185,5,FALSE)="","NOT DECLARED",VLOOKUP($F278,Declarations!$B$6:$F$185,5,FALSE)))</f>
        <v/>
      </c>
      <c r="E278" s="112" t="str">
        <f>IF(ISNA(VLOOKUP($F278,Declarations!$B$6:$D$185,3,FALSE)),"",IF(VLOOKUP($F278,Declarations!$B$6:$D$185,3,FALSE)="","NOT DECLARED",VLOOKUP($F278,Declarations!$B$6:$D$185,3,FALSE)&amp;LEFT(VLOOKUP($F278,Declarations!$B$6:$E$185,4,FALSE))))</f>
        <v/>
      </c>
      <c r="F278" s="58"/>
      <c r="G278" s="122"/>
      <c r="H278" s="122"/>
      <c r="I278" s="114" t="str">
        <f>IF(ISNA(VLOOKUP(F278,Declarations!B$6:C$185,2,FALSE)),"",IF(VLOOKUP(F278,Declarations!B$6:C$185,2,FALSE)="","NOT DECLARED",VLOOKUP(F278,Declarations!B$6:C$185,2,FALSE)))</f>
        <v/>
      </c>
      <c r="J278" s="112">
        <f>IF(LOWER(G278)="dnf",1,IF(G278&lt;ScoringTable!B$3,ScoringTable!I$2,VLOOKUP((1000-G278),ScoringTable!G$2:I$95,3)))</f>
        <v>0</v>
      </c>
      <c r="K278" s="112" t="str">
        <f>IF(OR(E278="",G278=""),"",IF(RIGHT(E278,1)="G",_xlfn.XLOOKUP(G278,Data!$D$10:$L$10,Data!$D$9:$L$9,"",1,1),_xlfn.XLOOKUP(G278,Data!$D$3:$L$3,Data!$D$2:$L$2,"",1,1)))</f>
        <v/>
      </c>
      <c r="L278" s="160" t="str" cm="1">
        <f t="array" ref="L278">IFERROR(_xlfn.IFNA(
                      _xlfn.IFS(
                      G278="", "",
                      AND(E278="U12B",G278&lt;=Data!$M$3), "U12 Boys record",
                      AND(E278="U12G",G278&lt;=Data!$M$10), "U12 Girls record"
                       ),""), "")</f>
        <v/>
      </c>
      <c r="M278" s="18" cm="1">
        <f t="array" ref="M278">_xlfn.IFS($G278="",0, AND(NOT(ISNUMBER($G278)),LOWER($G278)&lt;&gt;"dnf"),"Not a valid time",OR(LOWER($G278)="dnf",$G278&gt;ScoringTable!$M$161),1,RIGHT($E278,1)="B",_xlfn.XLOOKUP($G278,ScoringTable!$M$2:$M$161,ScoringTable!$L$2:$L$161,,1),TRUE,_xlfn.XLOOKUP($G278,ScoringTable!$S$2:$S$161,ScoringTable!$R$2:$R$161,,1))</f>
        <v>0</v>
      </c>
    </row>
    <row r="279" spans="1:13" s="7" customFormat="1" ht="16.05" customHeight="1">
      <c r="A279" s="243" t="s">
        <v>85</v>
      </c>
      <c r="B279" s="114" t="str">
        <f>IF(ISNA(VLOOKUP($F279,Declarations!B$6:C$185,2,FALSE)),"",IF(VLOOKUP($F279,Declarations!B$6:C$185,2,FALSE)="","NOT DECLARED",IF(ISNA(_xlfn.TEXTBEFORE(VLOOKUP($F279,Declarations!B$6:C$185,2,FALSE)," ")),VLOOKUP($F279,Declarations!B$6:C$185,2,FALSE),_xlfn.TEXTBEFORE(VLOOKUP($F279,Declarations!B$6:C$185,2,FALSE)," "))))</f>
        <v/>
      </c>
      <c r="C279" s="114" t="str">
        <f>IF(ISNA(VLOOKUP($F279,Declarations!B$6:C$185,2,FALSE)),"",IF(VLOOKUP($F279,Declarations!B$6:C$185,2,FALSE)="","NOT DECLARED",IF(ISNA(_xlfn.TEXTAFTER(VLOOKUP($F279,Declarations!B$6:C$185,2,FALSE)," ")),VLOOKUP($F279,Declarations!B$6:C$185,2,FALSE),_xlfn.TEXTAFTER(VLOOKUP($F279,Declarations!B$6:C$185,2,FALSE)," "))))</f>
        <v/>
      </c>
      <c r="D279" s="114" t="str">
        <f>IF(ISNA(VLOOKUP($F279,Declarations!$B$6:$F$185,5,FALSE)),"",IF(VLOOKUP($F279,Declarations!$B$6:$F$185,5,FALSE)="","NOT DECLARED",VLOOKUP($F279,Declarations!$B$6:$F$185,5,FALSE)))</f>
        <v/>
      </c>
      <c r="E279" s="112" t="str">
        <f>IF(ISNA(VLOOKUP($F279,Declarations!$B$6:$D$185,3,FALSE)),"",IF(VLOOKUP($F279,Declarations!$B$6:$D$185,3,FALSE)="","NOT DECLARED",VLOOKUP($F279,Declarations!$B$6:$D$185,3,FALSE)&amp;LEFT(VLOOKUP($F279,Declarations!$B$6:$E$185,4,FALSE))))</f>
        <v/>
      </c>
      <c r="F279" s="58"/>
      <c r="G279" s="122"/>
      <c r="H279" s="122"/>
      <c r="I279" s="114" t="str">
        <f>IF(ISNA(VLOOKUP(F279,Declarations!B$6:C$185,2,FALSE)),"",IF(VLOOKUP(F279,Declarations!B$6:C$185,2,FALSE)="","NOT DECLARED",VLOOKUP(F279,Declarations!B$6:C$185,2,FALSE)))</f>
        <v/>
      </c>
      <c r="J279" s="112">
        <f>IF(LOWER(G279)="dnf",1,IF(G279&lt;ScoringTable!B$3,ScoringTable!I$2,VLOOKUP((1000-G279),ScoringTable!G$2:I$95,3)))</f>
        <v>0</v>
      </c>
      <c r="K279" s="112" t="str">
        <f>IF(OR(E279="",G279=""),"",IF(RIGHT(E279,1)="G",_xlfn.XLOOKUP(G279,Data!$D$10:$L$10,Data!$D$9:$L$9,"",1,1),_xlfn.XLOOKUP(G279,Data!$D$3:$L$3,Data!$D$2:$L$2,"",1,1)))</f>
        <v/>
      </c>
      <c r="L279" s="160" t="str" cm="1">
        <f t="array" ref="L279">IFERROR(_xlfn.IFNA(
                      _xlfn.IFS(
                      G279="", "",
                      AND(E279="U12B",G279&lt;=Data!$M$3), "U12 Boys record",
                      AND(E279="U12G",G279&lt;=Data!$M$10), "U12 Girls record"
                       ),""), "")</f>
        <v/>
      </c>
      <c r="M279" s="18" cm="1">
        <f t="array" ref="M279">_xlfn.IFS($G279="",0, AND(NOT(ISNUMBER($G279)),LOWER($G279)&lt;&gt;"dnf"),"Not a valid time",OR(LOWER($G279)="dnf",$G279&gt;ScoringTable!$M$161),1,RIGHT($E279,1)="B",_xlfn.XLOOKUP($G279,ScoringTable!$M$2:$M$161,ScoringTable!$L$2:$L$161,,1),TRUE,_xlfn.XLOOKUP($G279,ScoringTable!$S$2:$S$161,ScoringTable!$R$2:$R$161,,1))</f>
        <v>0</v>
      </c>
    </row>
    <row r="280" spans="1:13" s="7" customFormat="1" ht="16.05" customHeight="1">
      <c r="A280" s="243" t="s">
        <v>85</v>
      </c>
      <c r="B280" s="114" t="str">
        <f>IF(ISNA(VLOOKUP($F280,Declarations!B$6:C$185,2,FALSE)),"",IF(VLOOKUP($F280,Declarations!B$6:C$185,2,FALSE)="","NOT DECLARED",IF(ISNA(_xlfn.TEXTBEFORE(VLOOKUP($F280,Declarations!B$6:C$185,2,FALSE)," ")),VLOOKUP($F280,Declarations!B$6:C$185,2,FALSE),_xlfn.TEXTBEFORE(VLOOKUP($F280,Declarations!B$6:C$185,2,FALSE)," "))))</f>
        <v/>
      </c>
      <c r="C280" s="114" t="str">
        <f>IF(ISNA(VLOOKUP($F280,Declarations!B$6:C$185,2,FALSE)),"",IF(VLOOKUP($F280,Declarations!B$6:C$185,2,FALSE)="","NOT DECLARED",IF(ISNA(_xlfn.TEXTAFTER(VLOOKUP($F280,Declarations!B$6:C$185,2,FALSE)," ")),VLOOKUP($F280,Declarations!B$6:C$185,2,FALSE),_xlfn.TEXTAFTER(VLOOKUP($F280,Declarations!B$6:C$185,2,FALSE)," "))))</f>
        <v/>
      </c>
      <c r="D280" s="114" t="str">
        <f>IF(ISNA(VLOOKUP($F280,Declarations!$B$6:$F$185,5,FALSE)),"",IF(VLOOKUP($F280,Declarations!$B$6:$F$185,5,FALSE)="","NOT DECLARED",VLOOKUP($F280,Declarations!$B$6:$F$185,5,FALSE)))</f>
        <v/>
      </c>
      <c r="E280" s="112" t="str">
        <f>IF(ISNA(VLOOKUP($F280,Declarations!$B$6:$D$185,3,FALSE)),"",IF(VLOOKUP($F280,Declarations!$B$6:$D$185,3,FALSE)="","NOT DECLARED",VLOOKUP($F280,Declarations!$B$6:$D$185,3,FALSE)&amp;LEFT(VLOOKUP($F280,Declarations!$B$6:$E$185,4,FALSE))))</f>
        <v/>
      </c>
      <c r="F280" s="58"/>
      <c r="G280" s="122"/>
      <c r="H280" s="122"/>
      <c r="I280" s="114" t="str">
        <f>IF(ISNA(VLOOKUP(F280,Declarations!B$6:C$185,2,FALSE)),"",IF(VLOOKUP(F280,Declarations!B$6:C$185,2,FALSE)="","NOT DECLARED",VLOOKUP(F280,Declarations!B$6:C$185,2,FALSE)))</f>
        <v/>
      </c>
      <c r="J280" s="112">
        <f>IF(LOWER(G280)="dnf",1,IF(G280&lt;ScoringTable!B$3,ScoringTable!I$2,VLOOKUP((1000-G280),ScoringTable!G$2:I$95,3)))</f>
        <v>0</v>
      </c>
      <c r="K280" s="112" t="str">
        <f>IF(OR(E280="",G280=""),"",IF(RIGHT(E280,1)="G",_xlfn.XLOOKUP(G280,Data!$D$10:$L$10,Data!$D$9:$L$9,"",1,1),_xlfn.XLOOKUP(G280,Data!$D$3:$L$3,Data!$D$2:$L$2,"",1,1)))</f>
        <v/>
      </c>
      <c r="L280" s="160" t="str" cm="1">
        <f t="array" ref="L280">IFERROR(_xlfn.IFNA(
                      _xlfn.IFS(
                      G280="", "",
                      AND(E280="U12B",G280&lt;=Data!$M$3), "U12 Boys record",
                      AND(E280="U12G",G280&lt;=Data!$M$10), "U12 Girls record"
                       ),""), "")</f>
        <v/>
      </c>
      <c r="M280" s="18" cm="1">
        <f t="array" ref="M280">_xlfn.IFS($G280="",0, AND(NOT(ISNUMBER($G280)),LOWER($G280)&lt;&gt;"dnf"),"Not a valid time",OR(LOWER($G280)="dnf",$G280&gt;ScoringTable!$M$161),1,RIGHT($E280,1)="B",_xlfn.XLOOKUP($G280,ScoringTable!$M$2:$M$161,ScoringTable!$L$2:$L$161,,1),TRUE,_xlfn.XLOOKUP($G280,ScoringTable!$S$2:$S$161,ScoringTable!$R$2:$R$161,,1))</f>
        <v>0</v>
      </c>
    </row>
    <row r="281" spans="1:13" s="7" customFormat="1" ht="16.05" customHeight="1">
      <c r="A281" s="243" t="s">
        <v>85</v>
      </c>
      <c r="B281" s="114" t="str">
        <f>IF(ISNA(VLOOKUP($F281,Declarations!B$6:C$185,2,FALSE)),"",IF(VLOOKUP($F281,Declarations!B$6:C$185,2,FALSE)="","NOT DECLARED",IF(ISNA(_xlfn.TEXTBEFORE(VLOOKUP($F281,Declarations!B$6:C$185,2,FALSE)," ")),VLOOKUP($F281,Declarations!B$6:C$185,2,FALSE),_xlfn.TEXTBEFORE(VLOOKUP($F281,Declarations!B$6:C$185,2,FALSE)," "))))</f>
        <v/>
      </c>
      <c r="C281" s="114" t="str">
        <f>IF(ISNA(VLOOKUP($F281,Declarations!B$6:C$185,2,FALSE)),"",IF(VLOOKUP($F281,Declarations!B$6:C$185,2,FALSE)="","NOT DECLARED",IF(ISNA(_xlfn.TEXTAFTER(VLOOKUP($F281,Declarations!B$6:C$185,2,FALSE)," ")),VLOOKUP($F281,Declarations!B$6:C$185,2,FALSE),_xlfn.TEXTAFTER(VLOOKUP($F281,Declarations!B$6:C$185,2,FALSE)," "))))</f>
        <v/>
      </c>
      <c r="D281" s="114" t="str">
        <f>IF(ISNA(VLOOKUP($F281,Declarations!$B$6:$F$185,5,FALSE)),"",IF(VLOOKUP($F281,Declarations!$B$6:$F$185,5,FALSE)="","NOT DECLARED",VLOOKUP($F281,Declarations!$B$6:$F$185,5,FALSE)))</f>
        <v/>
      </c>
      <c r="E281" s="112" t="str">
        <f>IF(ISNA(VLOOKUP($F281,Declarations!$B$6:$D$185,3,FALSE)),"",IF(VLOOKUP($F281,Declarations!$B$6:$D$185,3,FALSE)="","NOT DECLARED",VLOOKUP($F281,Declarations!$B$6:$D$185,3,FALSE)&amp;LEFT(VLOOKUP($F281,Declarations!$B$6:$E$185,4,FALSE))))</f>
        <v/>
      </c>
      <c r="F281" s="58"/>
      <c r="G281" s="122"/>
      <c r="H281" s="122"/>
      <c r="I281" s="114" t="str">
        <f>IF(ISNA(VLOOKUP(F281,Declarations!B$6:C$185,2,FALSE)),"",IF(VLOOKUP(F281,Declarations!B$6:C$185,2,FALSE)="","NOT DECLARED",VLOOKUP(F281,Declarations!B$6:C$185,2,FALSE)))</f>
        <v/>
      </c>
      <c r="J281" s="112">
        <f>IF(LOWER(G281)="dnf",1,IF(G281&lt;ScoringTable!B$3,ScoringTable!I$2,VLOOKUP((1000-G281),ScoringTable!G$2:I$95,3)))</f>
        <v>0</v>
      </c>
      <c r="K281" s="112" t="str">
        <f>IF(OR(E281="",G281=""),"",IF(RIGHT(E281,1)="G",_xlfn.XLOOKUP(G281,Data!$D$10:$L$10,Data!$D$9:$L$9,"",1,1),_xlfn.XLOOKUP(G281,Data!$D$3:$L$3,Data!$D$2:$L$2,"",1,1)))</f>
        <v/>
      </c>
      <c r="L281" s="160" t="str" cm="1">
        <f t="array" ref="L281">IFERROR(_xlfn.IFNA(
                      _xlfn.IFS(
                      G281="", "",
                      AND(E281="U12B",G281&lt;=Data!$M$3), "U12 Boys record",
                      AND(E281="U12G",G281&lt;=Data!$M$10), "U12 Girls record"
                       ),""), "")</f>
        <v/>
      </c>
      <c r="M281" s="18" cm="1">
        <f t="array" ref="M281">_xlfn.IFS($G281="",0, AND(NOT(ISNUMBER($G281)),LOWER($G281)&lt;&gt;"dnf"),"Not a valid time",OR(LOWER($G281)="dnf",$G281&gt;ScoringTable!$M$161),1,RIGHT($E281,1)="B",_xlfn.XLOOKUP($G281,ScoringTable!$M$2:$M$161,ScoringTable!$L$2:$L$161,,1),TRUE,_xlfn.XLOOKUP($G281,ScoringTable!$S$2:$S$161,ScoringTable!$R$2:$R$161,,1))</f>
        <v>0</v>
      </c>
    </row>
    <row r="282" spans="1:13" s="7" customFormat="1" ht="16.05" customHeight="1">
      <c r="A282" s="243" t="s">
        <v>85</v>
      </c>
      <c r="B282" s="114" t="str">
        <f>IF(ISNA(VLOOKUP($F282,Declarations!B$6:C$185,2,FALSE)),"",IF(VLOOKUP($F282,Declarations!B$6:C$185,2,FALSE)="","NOT DECLARED",IF(ISNA(_xlfn.TEXTBEFORE(VLOOKUP($F282,Declarations!B$6:C$185,2,FALSE)," ")),VLOOKUP($F282,Declarations!B$6:C$185,2,FALSE),_xlfn.TEXTBEFORE(VLOOKUP($F282,Declarations!B$6:C$185,2,FALSE)," "))))</f>
        <v/>
      </c>
      <c r="C282" s="114" t="str">
        <f>IF(ISNA(VLOOKUP($F282,Declarations!B$6:C$185,2,FALSE)),"",IF(VLOOKUP($F282,Declarations!B$6:C$185,2,FALSE)="","NOT DECLARED",IF(ISNA(_xlfn.TEXTAFTER(VLOOKUP($F282,Declarations!B$6:C$185,2,FALSE)," ")),VLOOKUP($F282,Declarations!B$6:C$185,2,FALSE),_xlfn.TEXTAFTER(VLOOKUP($F282,Declarations!B$6:C$185,2,FALSE)," "))))</f>
        <v/>
      </c>
      <c r="D282" s="114" t="str">
        <f>IF(ISNA(VLOOKUP($F282,Declarations!$B$6:$F$185,5,FALSE)),"",IF(VLOOKUP($F282,Declarations!$B$6:$F$185,5,FALSE)="","NOT DECLARED",VLOOKUP($F282,Declarations!$B$6:$F$185,5,FALSE)))</f>
        <v/>
      </c>
      <c r="E282" s="112" t="str">
        <f>IF(ISNA(VLOOKUP($F282,Declarations!$B$6:$D$185,3,FALSE)),"",IF(VLOOKUP($F282,Declarations!$B$6:$D$185,3,FALSE)="","NOT DECLARED",VLOOKUP($F282,Declarations!$B$6:$D$185,3,FALSE)&amp;LEFT(VLOOKUP($F282,Declarations!$B$6:$E$185,4,FALSE))))</f>
        <v/>
      </c>
      <c r="F282" s="58"/>
      <c r="G282" s="122"/>
      <c r="H282" s="122"/>
      <c r="I282" s="114" t="str">
        <f>IF(ISNA(VLOOKUP(F282,Declarations!B$6:C$185,2,FALSE)),"",IF(VLOOKUP(F282,Declarations!B$6:C$185,2,FALSE)="","NOT DECLARED",VLOOKUP(F282,Declarations!B$6:C$185,2,FALSE)))</f>
        <v/>
      </c>
      <c r="J282" s="112">
        <f>IF(LOWER(G282)="dnf",1,IF(G282&lt;ScoringTable!B$3,ScoringTable!I$2,VLOOKUP((1000-G282),ScoringTable!G$2:I$95,3)))</f>
        <v>0</v>
      </c>
      <c r="K282" s="112" t="str">
        <f>IF(OR(E282="",G282=""),"",IF(RIGHT(E282,1)="G",_xlfn.XLOOKUP(G282,Data!$D$10:$L$10,Data!$D$9:$L$9,"",1,1),_xlfn.XLOOKUP(G282,Data!$D$3:$L$3,Data!$D$2:$L$2,"",1,1)))</f>
        <v/>
      </c>
      <c r="L282" s="160" t="str" cm="1">
        <f t="array" ref="L282">IFERROR(_xlfn.IFNA(
                      _xlfn.IFS(
                      G282="", "",
                      AND(E282="U12B",G282&lt;=Data!$M$3), "U12 Boys record",
                      AND(E282="U12G",G282&lt;=Data!$M$10), "U12 Girls record"
                       ),""), "")</f>
        <v/>
      </c>
      <c r="M282" s="18" cm="1">
        <f t="array" ref="M282">_xlfn.IFS($G282="",0, AND(NOT(ISNUMBER($G282)),LOWER($G282)&lt;&gt;"dnf"),"Not a valid time",OR(LOWER($G282)="dnf",$G282&gt;ScoringTable!$M$161),1,RIGHT($E282,1)="B",_xlfn.XLOOKUP($G282,ScoringTable!$M$2:$M$161,ScoringTable!$L$2:$L$161,,1),TRUE,_xlfn.XLOOKUP($G282,ScoringTable!$S$2:$S$161,ScoringTable!$R$2:$R$161,,1))</f>
        <v>0</v>
      </c>
    </row>
    <row r="283" spans="1:13" s="7" customFormat="1" ht="16.05" customHeight="1">
      <c r="A283" s="243" t="s">
        <v>85</v>
      </c>
      <c r="B283" s="114" t="str">
        <f>IF(ISNA(VLOOKUP($F283,Declarations!B$6:C$185,2,FALSE)),"",IF(VLOOKUP($F283,Declarations!B$6:C$185,2,FALSE)="","NOT DECLARED",IF(ISNA(_xlfn.TEXTBEFORE(VLOOKUP($F283,Declarations!B$6:C$185,2,FALSE)," ")),VLOOKUP($F283,Declarations!B$6:C$185,2,FALSE),_xlfn.TEXTBEFORE(VLOOKUP($F283,Declarations!B$6:C$185,2,FALSE)," "))))</f>
        <v/>
      </c>
      <c r="C283" s="114" t="str">
        <f>IF(ISNA(VLOOKUP($F283,Declarations!B$6:C$185,2,FALSE)),"",IF(VLOOKUP($F283,Declarations!B$6:C$185,2,FALSE)="","NOT DECLARED",IF(ISNA(_xlfn.TEXTAFTER(VLOOKUP($F283,Declarations!B$6:C$185,2,FALSE)," ")),VLOOKUP($F283,Declarations!B$6:C$185,2,FALSE),_xlfn.TEXTAFTER(VLOOKUP($F283,Declarations!B$6:C$185,2,FALSE)," "))))</f>
        <v/>
      </c>
      <c r="D283" s="114" t="str">
        <f>IF(ISNA(VLOOKUP($F283,Declarations!$B$6:$F$185,5,FALSE)),"",IF(VLOOKUP($F283,Declarations!$B$6:$F$185,5,FALSE)="","NOT DECLARED",VLOOKUP($F283,Declarations!$B$6:$F$185,5,FALSE)))</f>
        <v/>
      </c>
      <c r="E283" s="112" t="str">
        <f>IF(ISNA(VLOOKUP($F283,Declarations!$B$6:$D$185,3,FALSE)),"",IF(VLOOKUP($F283,Declarations!$B$6:$D$185,3,FALSE)="","NOT DECLARED",VLOOKUP($F283,Declarations!$B$6:$D$185,3,FALSE)&amp;LEFT(VLOOKUP($F283,Declarations!$B$6:$E$185,4,FALSE))))</f>
        <v/>
      </c>
      <c r="F283" s="58"/>
      <c r="G283" s="122"/>
      <c r="H283" s="122"/>
      <c r="I283" s="114" t="str">
        <f>IF(ISNA(VLOOKUP(F283,Declarations!B$6:C$185,2,FALSE)),"",IF(VLOOKUP(F283,Declarations!B$6:C$185,2,FALSE)="","NOT DECLARED",VLOOKUP(F283,Declarations!B$6:C$185,2,FALSE)))</f>
        <v/>
      </c>
      <c r="J283" s="112">
        <f>IF(LOWER(G283)="dnf",1,IF(G283&lt;ScoringTable!B$3,ScoringTable!I$2,VLOOKUP((1000-G283),ScoringTable!G$2:I$95,3)))</f>
        <v>0</v>
      </c>
      <c r="K283" s="112" t="str">
        <f>IF(OR(E283="",G283=""),"",IF(RIGHT(E283,1)="G",_xlfn.XLOOKUP(G283,Data!$D$10:$L$10,Data!$D$9:$L$9,"",1,1),_xlfn.XLOOKUP(G283,Data!$D$3:$L$3,Data!$D$2:$L$2,"",1,1)))</f>
        <v/>
      </c>
      <c r="L283" s="160" t="str" cm="1">
        <f t="array" ref="L283">IFERROR(_xlfn.IFNA(
                      _xlfn.IFS(
                      G283="", "",
                      AND(E283="U12B",G283&lt;=Data!$M$3), "U12 Boys record",
                      AND(E283="U12G",G283&lt;=Data!$M$10), "U12 Girls record"
                       ),""), "")</f>
        <v/>
      </c>
      <c r="M283" s="18" cm="1">
        <f t="array" ref="M283">_xlfn.IFS($G283="",0, AND(NOT(ISNUMBER($G283)),LOWER($G283)&lt;&gt;"dnf"),"Not a valid time",OR(LOWER($G283)="dnf",$G283&gt;ScoringTable!$M$161),1,RIGHT($E283,1)="B",_xlfn.XLOOKUP($G283,ScoringTable!$M$2:$M$161,ScoringTable!$L$2:$L$161,,1),TRUE,_xlfn.XLOOKUP($G283,ScoringTable!$S$2:$S$161,ScoringTable!$R$2:$R$161,,1))</f>
        <v>0</v>
      </c>
    </row>
    <row r="284" spans="1:13" s="7" customFormat="1" ht="16.05" customHeight="1">
      <c r="A284" s="243" t="s">
        <v>85</v>
      </c>
      <c r="B284" s="114" t="str">
        <f>IF(ISNA(VLOOKUP($F284,Declarations!B$6:C$185,2,FALSE)),"",IF(VLOOKUP($F284,Declarations!B$6:C$185,2,FALSE)="","NOT DECLARED",IF(ISNA(_xlfn.TEXTBEFORE(VLOOKUP($F284,Declarations!B$6:C$185,2,FALSE)," ")),VLOOKUP($F284,Declarations!B$6:C$185,2,FALSE),_xlfn.TEXTBEFORE(VLOOKUP($F284,Declarations!B$6:C$185,2,FALSE)," "))))</f>
        <v/>
      </c>
      <c r="C284" s="114" t="str">
        <f>IF(ISNA(VLOOKUP($F284,Declarations!B$6:C$185,2,FALSE)),"",IF(VLOOKUP($F284,Declarations!B$6:C$185,2,FALSE)="","NOT DECLARED",IF(ISNA(_xlfn.TEXTAFTER(VLOOKUP($F284,Declarations!B$6:C$185,2,FALSE)," ")),VLOOKUP($F284,Declarations!B$6:C$185,2,FALSE),_xlfn.TEXTAFTER(VLOOKUP($F284,Declarations!B$6:C$185,2,FALSE)," "))))</f>
        <v/>
      </c>
      <c r="D284" s="114" t="str">
        <f>IF(ISNA(VLOOKUP($F284,Declarations!$B$6:$F$185,5,FALSE)),"",IF(VLOOKUP($F284,Declarations!$B$6:$F$185,5,FALSE)="","NOT DECLARED",VLOOKUP($F284,Declarations!$B$6:$F$185,5,FALSE)))</f>
        <v/>
      </c>
      <c r="E284" s="112" t="str">
        <f>IF(ISNA(VLOOKUP($F284,Declarations!$B$6:$D$185,3,FALSE)),"",IF(VLOOKUP($F284,Declarations!$B$6:$D$185,3,FALSE)="","NOT DECLARED",VLOOKUP($F284,Declarations!$B$6:$D$185,3,FALSE)&amp;LEFT(VLOOKUP($F284,Declarations!$B$6:$E$185,4,FALSE))))</f>
        <v/>
      </c>
      <c r="F284" s="58"/>
      <c r="G284" s="122"/>
      <c r="H284" s="122"/>
      <c r="I284" s="114" t="str">
        <f>IF(ISNA(VLOOKUP(F284,Declarations!B$6:C$185,2,FALSE)),"",IF(VLOOKUP(F284,Declarations!B$6:C$185,2,FALSE)="","NOT DECLARED",VLOOKUP(F284,Declarations!B$6:C$185,2,FALSE)))</f>
        <v/>
      </c>
      <c r="J284" s="112">
        <f>IF(LOWER(G284)="dnf",1,IF(G284&lt;ScoringTable!B$3,ScoringTable!I$2,VLOOKUP((1000-G284),ScoringTable!G$2:I$95,3)))</f>
        <v>0</v>
      </c>
      <c r="K284" s="112" t="str">
        <f>IF(OR(E284="",G284=""),"",IF(RIGHT(E284,1)="G",_xlfn.XLOOKUP(G284,Data!$D$10:$L$10,Data!$D$9:$L$9,"",1,1),_xlfn.XLOOKUP(G284,Data!$D$3:$L$3,Data!$D$2:$L$2,"",1,1)))</f>
        <v/>
      </c>
      <c r="L284" s="160" t="str" cm="1">
        <f t="array" ref="L284">IFERROR(_xlfn.IFNA(
                      _xlfn.IFS(
                      G284="", "",
                      AND(E284="U12B",G284&lt;=Data!$M$3), "U12 Boys record",
                      AND(E284="U12G",G284&lt;=Data!$M$10), "U12 Girls record"
                       ),""), "")</f>
        <v/>
      </c>
      <c r="M284" s="18" cm="1">
        <f t="array" ref="M284">_xlfn.IFS($G284="",0, AND(NOT(ISNUMBER($G284)),LOWER($G284)&lt;&gt;"dnf"),"Not a valid time",OR(LOWER($G284)="dnf",$G284&gt;ScoringTable!$M$161),1,RIGHT($E284,1)="B",_xlfn.XLOOKUP($G284,ScoringTable!$M$2:$M$161,ScoringTable!$L$2:$L$161,,1),TRUE,_xlfn.XLOOKUP($G284,ScoringTable!$S$2:$S$161,ScoringTable!$R$2:$R$161,,1))</f>
        <v>0</v>
      </c>
    </row>
    <row r="285" spans="1:13" s="7" customFormat="1" ht="16.05" customHeight="1">
      <c r="A285" s="243" t="s">
        <v>85</v>
      </c>
      <c r="B285" s="114" t="str">
        <f>IF(ISNA(VLOOKUP($F285,Declarations!B$6:C$185,2,FALSE)),"",IF(VLOOKUP($F285,Declarations!B$6:C$185,2,FALSE)="","NOT DECLARED",IF(ISNA(_xlfn.TEXTBEFORE(VLOOKUP($F285,Declarations!B$6:C$185,2,FALSE)," ")),VLOOKUP($F285,Declarations!B$6:C$185,2,FALSE),_xlfn.TEXTBEFORE(VLOOKUP($F285,Declarations!B$6:C$185,2,FALSE)," "))))</f>
        <v/>
      </c>
      <c r="C285" s="114" t="str">
        <f>IF(ISNA(VLOOKUP($F285,Declarations!B$6:C$185,2,FALSE)),"",IF(VLOOKUP($F285,Declarations!B$6:C$185,2,FALSE)="","NOT DECLARED",IF(ISNA(_xlfn.TEXTAFTER(VLOOKUP($F285,Declarations!B$6:C$185,2,FALSE)," ")),VLOOKUP($F285,Declarations!B$6:C$185,2,FALSE),_xlfn.TEXTAFTER(VLOOKUP($F285,Declarations!B$6:C$185,2,FALSE)," "))))</f>
        <v/>
      </c>
      <c r="D285" s="114" t="str">
        <f>IF(ISNA(VLOOKUP($F285,Declarations!$B$6:$F$185,5,FALSE)),"",IF(VLOOKUP($F285,Declarations!$B$6:$F$185,5,FALSE)="","NOT DECLARED",VLOOKUP($F285,Declarations!$B$6:$F$185,5,FALSE)))</f>
        <v/>
      </c>
      <c r="E285" s="112" t="str">
        <f>IF(ISNA(VLOOKUP($F285,Declarations!$B$6:$D$185,3,FALSE)),"",IF(VLOOKUP($F285,Declarations!$B$6:$D$185,3,FALSE)="","NOT DECLARED",VLOOKUP($F285,Declarations!$B$6:$D$185,3,FALSE)&amp;LEFT(VLOOKUP($F285,Declarations!$B$6:$E$185,4,FALSE))))</f>
        <v/>
      </c>
      <c r="F285" s="58"/>
      <c r="G285" s="122"/>
      <c r="H285" s="122"/>
      <c r="I285" s="114" t="str">
        <f>IF(ISNA(VLOOKUP(F285,Declarations!B$6:C$185,2,FALSE)),"",IF(VLOOKUP(F285,Declarations!B$6:C$185,2,FALSE)="","NOT DECLARED",VLOOKUP(F285,Declarations!B$6:C$185,2,FALSE)))</f>
        <v/>
      </c>
      <c r="J285" s="112">
        <f>IF(LOWER(G285)="dnf",1,IF(G285&lt;ScoringTable!B$3,ScoringTable!I$2,VLOOKUP((1000-G285),ScoringTable!G$2:I$95,3)))</f>
        <v>0</v>
      </c>
      <c r="K285" s="112" t="str">
        <f>IF(OR(E285="",G285=""),"",IF(RIGHT(E285,1)="G",_xlfn.XLOOKUP(G285,Data!$D$10:$L$10,Data!$D$9:$L$9,"",1,1),_xlfn.XLOOKUP(G285,Data!$D$3:$L$3,Data!$D$2:$L$2,"",1,1)))</f>
        <v/>
      </c>
      <c r="L285" s="160" t="str" cm="1">
        <f t="array" ref="L285">IFERROR(_xlfn.IFNA(
                      _xlfn.IFS(
                      G285="", "",
                      AND(E285="U12B",G285&lt;=Data!$M$3), "U12 Boys record",
                      AND(E285="U12G",G285&lt;=Data!$M$10), "U12 Girls record"
                       ),""), "")</f>
        <v/>
      </c>
      <c r="M285" s="18" cm="1">
        <f t="array" ref="M285">_xlfn.IFS($G285="",0, AND(NOT(ISNUMBER($G285)),LOWER($G285)&lt;&gt;"dnf"),"Not a valid time",OR(LOWER($G285)="dnf",$G285&gt;ScoringTable!$M$161),1,RIGHT($E285,1)="B",_xlfn.XLOOKUP($G285,ScoringTable!$M$2:$M$161,ScoringTable!$L$2:$L$161,,1),TRUE,_xlfn.XLOOKUP($G285,ScoringTable!$S$2:$S$161,ScoringTable!$R$2:$R$161,,1))</f>
        <v>0</v>
      </c>
    </row>
    <row r="286" spans="1:13" s="7" customFormat="1" ht="16.05" customHeight="1">
      <c r="A286" s="243" t="s">
        <v>85</v>
      </c>
      <c r="B286" s="114" t="str">
        <f>IF(ISNA(VLOOKUP($F286,Declarations!B$6:C$185,2,FALSE)),"",IF(VLOOKUP($F286,Declarations!B$6:C$185,2,FALSE)="","NOT DECLARED",IF(ISNA(_xlfn.TEXTBEFORE(VLOOKUP($F286,Declarations!B$6:C$185,2,FALSE)," ")),VLOOKUP($F286,Declarations!B$6:C$185,2,FALSE),_xlfn.TEXTBEFORE(VLOOKUP($F286,Declarations!B$6:C$185,2,FALSE)," "))))</f>
        <v/>
      </c>
      <c r="C286" s="114" t="str">
        <f>IF(ISNA(VLOOKUP($F286,Declarations!B$6:C$185,2,FALSE)),"",IF(VLOOKUP($F286,Declarations!B$6:C$185,2,FALSE)="","NOT DECLARED",IF(ISNA(_xlfn.TEXTAFTER(VLOOKUP($F286,Declarations!B$6:C$185,2,FALSE)," ")),VLOOKUP($F286,Declarations!B$6:C$185,2,FALSE),_xlfn.TEXTAFTER(VLOOKUP($F286,Declarations!B$6:C$185,2,FALSE)," "))))</f>
        <v/>
      </c>
      <c r="D286" s="114" t="str">
        <f>IF(ISNA(VLOOKUP($F286,Declarations!$B$6:$F$185,5,FALSE)),"",IF(VLOOKUP($F286,Declarations!$B$6:$F$185,5,FALSE)="","NOT DECLARED",VLOOKUP($F286,Declarations!$B$6:$F$185,5,FALSE)))</f>
        <v/>
      </c>
      <c r="E286" s="112" t="str">
        <f>IF(ISNA(VLOOKUP($F286,Declarations!$B$6:$D$185,3,FALSE)),"",IF(VLOOKUP($F286,Declarations!$B$6:$D$185,3,FALSE)="","NOT DECLARED",VLOOKUP($F286,Declarations!$B$6:$D$185,3,FALSE)&amp;LEFT(VLOOKUP($F286,Declarations!$B$6:$E$185,4,FALSE))))</f>
        <v/>
      </c>
      <c r="F286" s="58"/>
      <c r="G286" s="122"/>
      <c r="H286" s="122"/>
      <c r="I286" s="114" t="str">
        <f>IF(ISNA(VLOOKUP(F286,Declarations!B$6:C$185,2,FALSE)),"",IF(VLOOKUP(F286,Declarations!B$6:C$185,2,FALSE)="","NOT DECLARED",VLOOKUP(F286,Declarations!B$6:C$185,2,FALSE)))</f>
        <v/>
      </c>
      <c r="J286" s="112">
        <f>IF(LOWER(G286)="dnf",1,IF(G286&lt;ScoringTable!B$3,ScoringTable!I$2,VLOOKUP((1000-G286),ScoringTable!G$2:I$95,3)))</f>
        <v>0</v>
      </c>
      <c r="K286" s="112" t="str">
        <f>IF(OR(E286="",G286=""),"",IF(RIGHT(E286,1)="G",_xlfn.XLOOKUP(G286,Data!$D$10:$L$10,Data!$D$9:$L$9,"",1,1),_xlfn.XLOOKUP(G286,Data!$D$3:$L$3,Data!$D$2:$L$2,"",1,1)))</f>
        <v/>
      </c>
      <c r="L286" s="160" t="str" cm="1">
        <f t="array" ref="L286">IFERROR(_xlfn.IFNA(
                      _xlfn.IFS(
                      G286="", "",
                      AND(E286="U12B",G286&lt;=Data!$M$3), "U12 Boys record",
                      AND(E286="U12G",G286&lt;=Data!$M$10), "U12 Girls record"
                       ),""), "")</f>
        <v/>
      </c>
      <c r="M286" s="18" cm="1">
        <f t="array" ref="M286">_xlfn.IFS($G286="",0, AND(NOT(ISNUMBER($G286)),LOWER($G286)&lt;&gt;"dnf"),"Not a valid time",OR(LOWER($G286)="dnf",$G286&gt;ScoringTable!$M$161),1,RIGHT($E286,1)="B",_xlfn.XLOOKUP($G286,ScoringTable!$M$2:$M$161,ScoringTable!$L$2:$L$161,,1),TRUE,_xlfn.XLOOKUP($G286,ScoringTable!$S$2:$S$161,ScoringTable!$R$2:$R$161,,1))</f>
        <v>0</v>
      </c>
    </row>
    <row r="287" spans="1:13" s="7" customFormat="1" ht="16.05" customHeight="1">
      <c r="A287" s="243" t="s">
        <v>85</v>
      </c>
      <c r="B287" s="114" t="str">
        <f>IF(ISNA(VLOOKUP($F287,Declarations!B$6:C$185,2,FALSE)),"",IF(VLOOKUP($F287,Declarations!B$6:C$185,2,FALSE)="","NOT DECLARED",IF(ISNA(_xlfn.TEXTBEFORE(VLOOKUP($F287,Declarations!B$6:C$185,2,FALSE)," ")),VLOOKUP($F287,Declarations!B$6:C$185,2,FALSE),_xlfn.TEXTBEFORE(VLOOKUP($F287,Declarations!B$6:C$185,2,FALSE)," "))))</f>
        <v/>
      </c>
      <c r="C287" s="114" t="str">
        <f>IF(ISNA(VLOOKUP($F287,Declarations!B$6:C$185,2,FALSE)),"",IF(VLOOKUP($F287,Declarations!B$6:C$185,2,FALSE)="","NOT DECLARED",IF(ISNA(_xlfn.TEXTAFTER(VLOOKUP($F287,Declarations!B$6:C$185,2,FALSE)," ")),VLOOKUP($F287,Declarations!B$6:C$185,2,FALSE),_xlfn.TEXTAFTER(VLOOKUP($F287,Declarations!B$6:C$185,2,FALSE)," "))))</f>
        <v/>
      </c>
      <c r="D287" s="114" t="str">
        <f>IF(ISNA(VLOOKUP($F287,Declarations!$B$6:$F$185,5,FALSE)),"",IF(VLOOKUP($F287,Declarations!$B$6:$F$185,5,FALSE)="","NOT DECLARED",VLOOKUP($F287,Declarations!$B$6:$F$185,5,FALSE)))</f>
        <v/>
      </c>
      <c r="E287" s="112" t="str">
        <f>IF(ISNA(VLOOKUP($F287,Declarations!$B$6:$D$185,3,FALSE)),"",IF(VLOOKUP($F287,Declarations!$B$6:$D$185,3,FALSE)="","NOT DECLARED",VLOOKUP($F287,Declarations!$B$6:$D$185,3,FALSE)&amp;LEFT(VLOOKUP($F287,Declarations!$B$6:$E$185,4,FALSE))))</f>
        <v/>
      </c>
      <c r="F287" s="58"/>
      <c r="G287" s="122"/>
      <c r="H287" s="122"/>
      <c r="I287" s="114" t="str">
        <f>IF(ISNA(VLOOKUP(F287,Declarations!B$6:C$185,2,FALSE)),"",IF(VLOOKUP(F287,Declarations!B$6:C$185,2,FALSE)="","NOT DECLARED",VLOOKUP(F287,Declarations!B$6:C$185,2,FALSE)))</f>
        <v/>
      </c>
      <c r="J287" s="112">
        <f>IF(LOWER(G287)="dnf",1,IF(G287&lt;ScoringTable!B$3,ScoringTable!I$2,VLOOKUP((1000-G287),ScoringTable!G$2:I$95,3)))</f>
        <v>0</v>
      </c>
      <c r="K287" s="112" t="str">
        <f>IF(OR(E287="",G287=""),"",IF(RIGHT(E287,1)="G",_xlfn.XLOOKUP(G287,Data!$D$10:$L$10,Data!$D$9:$L$9,"",1,1),_xlfn.XLOOKUP(G287,Data!$D$3:$L$3,Data!$D$2:$L$2,"",1,1)))</f>
        <v/>
      </c>
      <c r="L287" s="160" t="str" cm="1">
        <f t="array" ref="L287">IFERROR(_xlfn.IFNA(
                      _xlfn.IFS(
                      G287="", "",
                      AND(E287="U12B",G287&lt;=Data!$M$3), "U12 Boys record",
                      AND(E287="U12G",G287&lt;=Data!$M$10), "U12 Girls record"
                       ),""), "")</f>
        <v/>
      </c>
      <c r="M287" s="18" cm="1">
        <f t="array" ref="M287">_xlfn.IFS($G287="",0, AND(NOT(ISNUMBER($G287)),LOWER($G287)&lt;&gt;"dnf"),"Not a valid time",OR(LOWER($G287)="dnf",$G287&gt;ScoringTable!$M$161),1,RIGHT($E287,1)="B",_xlfn.XLOOKUP($G287,ScoringTable!$M$2:$M$161,ScoringTable!$L$2:$L$161,,1),TRUE,_xlfn.XLOOKUP($G287,ScoringTable!$S$2:$S$161,ScoringTable!$R$2:$R$161,,1))</f>
        <v>0</v>
      </c>
    </row>
    <row r="288" spans="1:13" s="7" customFormat="1" ht="16.05" customHeight="1">
      <c r="A288" s="243" t="s">
        <v>85</v>
      </c>
      <c r="B288" s="114" t="str">
        <f>IF(ISNA(VLOOKUP($F288,Declarations!B$6:C$185,2,FALSE)),"",IF(VLOOKUP($F288,Declarations!B$6:C$185,2,FALSE)="","NOT DECLARED",IF(ISNA(_xlfn.TEXTBEFORE(VLOOKUP($F288,Declarations!B$6:C$185,2,FALSE)," ")),VLOOKUP($F288,Declarations!B$6:C$185,2,FALSE),_xlfn.TEXTBEFORE(VLOOKUP($F288,Declarations!B$6:C$185,2,FALSE)," "))))</f>
        <v/>
      </c>
      <c r="C288" s="114" t="str">
        <f>IF(ISNA(VLOOKUP($F288,Declarations!B$6:C$185,2,FALSE)),"",IF(VLOOKUP($F288,Declarations!B$6:C$185,2,FALSE)="","NOT DECLARED",IF(ISNA(_xlfn.TEXTAFTER(VLOOKUP($F288,Declarations!B$6:C$185,2,FALSE)," ")),VLOOKUP($F288,Declarations!B$6:C$185,2,FALSE),_xlfn.TEXTAFTER(VLOOKUP($F288,Declarations!B$6:C$185,2,FALSE)," "))))</f>
        <v/>
      </c>
      <c r="D288" s="114" t="str">
        <f>IF(ISNA(VLOOKUP($F288,Declarations!$B$6:$F$185,5,FALSE)),"",IF(VLOOKUP($F288,Declarations!$B$6:$F$185,5,FALSE)="","NOT DECLARED",VLOOKUP($F288,Declarations!$B$6:$F$185,5,FALSE)))</f>
        <v/>
      </c>
      <c r="E288" s="112" t="str">
        <f>IF(ISNA(VLOOKUP($F288,Declarations!$B$6:$D$185,3,FALSE)),"",IF(VLOOKUP($F288,Declarations!$B$6:$D$185,3,FALSE)="","NOT DECLARED",VLOOKUP($F288,Declarations!$B$6:$D$185,3,FALSE)&amp;LEFT(VLOOKUP($F288,Declarations!$B$6:$E$185,4,FALSE))))</f>
        <v/>
      </c>
      <c r="F288" s="58"/>
      <c r="G288" s="122"/>
      <c r="H288" s="122"/>
      <c r="I288" s="114" t="str">
        <f>IF(ISNA(VLOOKUP(F288,Declarations!B$6:C$185,2,FALSE)),"",IF(VLOOKUP(F288,Declarations!B$6:C$185,2,FALSE)="","NOT DECLARED",VLOOKUP(F288,Declarations!B$6:C$185,2,FALSE)))</f>
        <v/>
      </c>
      <c r="J288" s="112">
        <f>IF(LOWER(G288)="dnf",1,IF(G288&lt;ScoringTable!B$3,ScoringTable!I$2,VLOOKUP((1000-G288),ScoringTable!G$2:I$95,3)))</f>
        <v>0</v>
      </c>
      <c r="K288" s="112" t="str">
        <f>IF(OR(E288="",G288=""),"",IF(RIGHT(E288,1)="G",_xlfn.XLOOKUP(G288,Data!$D$10:$L$10,Data!$D$9:$L$9,"",1,1),_xlfn.XLOOKUP(G288,Data!$D$3:$L$3,Data!$D$2:$L$2,"",1,1)))</f>
        <v/>
      </c>
      <c r="L288" s="160" t="str" cm="1">
        <f t="array" ref="L288">IFERROR(_xlfn.IFNA(
                      _xlfn.IFS(
                      G288="", "",
                      AND(E288="U12B",G288&lt;=Data!$M$3), "U12 Boys record",
                      AND(E288="U12G",G288&lt;=Data!$M$10), "U12 Girls record"
                       ),""), "")</f>
        <v/>
      </c>
      <c r="M288" s="18" cm="1">
        <f t="array" ref="M288">_xlfn.IFS($G288="",0, AND(NOT(ISNUMBER($G288)),LOWER($G288)&lt;&gt;"dnf"),"Not a valid time",OR(LOWER($G288)="dnf",$G288&gt;ScoringTable!$M$161),1,RIGHT($E288,1)="B",_xlfn.XLOOKUP($G288,ScoringTable!$M$2:$M$161,ScoringTable!$L$2:$L$161,,1),TRUE,_xlfn.XLOOKUP($G288,ScoringTable!$S$2:$S$161,ScoringTable!$R$2:$R$161,,1))</f>
        <v>0</v>
      </c>
    </row>
    <row r="289" spans="1:13" s="7" customFormat="1" ht="16.05" customHeight="1">
      <c r="A289" s="243" t="s">
        <v>85</v>
      </c>
      <c r="B289" s="114" t="str">
        <f>IF(ISNA(VLOOKUP($F289,Declarations!B$6:C$185,2,FALSE)),"",IF(VLOOKUP($F289,Declarations!B$6:C$185,2,FALSE)="","NOT DECLARED",IF(ISNA(_xlfn.TEXTBEFORE(VLOOKUP($F289,Declarations!B$6:C$185,2,FALSE)," ")),VLOOKUP($F289,Declarations!B$6:C$185,2,FALSE),_xlfn.TEXTBEFORE(VLOOKUP($F289,Declarations!B$6:C$185,2,FALSE)," "))))</f>
        <v/>
      </c>
      <c r="C289" s="114" t="str">
        <f>IF(ISNA(VLOOKUP($F289,Declarations!B$6:C$185,2,FALSE)),"",IF(VLOOKUP($F289,Declarations!B$6:C$185,2,FALSE)="","NOT DECLARED",IF(ISNA(_xlfn.TEXTAFTER(VLOOKUP($F289,Declarations!B$6:C$185,2,FALSE)," ")),VLOOKUP($F289,Declarations!B$6:C$185,2,FALSE),_xlfn.TEXTAFTER(VLOOKUP($F289,Declarations!B$6:C$185,2,FALSE)," "))))</f>
        <v/>
      </c>
      <c r="D289" s="114" t="str">
        <f>IF(ISNA(VLOOKUP($F289,Declarations!$B$6:$F$185,5,FALSE)),"",IF(VLOOKUP($F289,Declarations!$B$6:$F$185,5,FALSE)="","NOT DECLARED",VLOOKUP($F289,Declarations!$B$6:$F$185,5,FALSE)))</f>
        <v/>
      </c>
      <c r="E289" s="112" t="str">
        <f>IF(ISNA(VLOOKUP($F289,Declarations!$B$6:$D$185,3,FALSE)),"",IF(VLOOKUP($F289,Declarations!$B$6:$D$185,3,FALSE)="","NOT DECLARED",VLOOKUP($F289,Declarations!$B$6:$D$185,3,FALSE)&amp;LEFT(VLOOKUP($F289,Declarations!$B$6:$E$185,4,FALSE))))</f>
        <v/>
      </c>
      <c r="F289" s="58"/>
      <c r="G289" s="122"/>
      <c r="H289" s="122"/>
      <c r="I289" s="114" t="str">
        <f>IF(ISNA(VLOOKUP(F289,Declarations!B$6:C$185,2,FALSE)),"",IF(VLOOKUP(F289,Declarations!B$6:C$185,2,FALSE)="","NOT DECLARED",VLOOKUP(F289,Declarations!B$6:C$185,2,FALSE)))</f>
        <v/>
      </c>
      <c r="J289" s="112">
        <f>IF(LOWER(G289)="dnf",1,IF(G289&lt;ScoringTable!B$3,ScoringTable!I$2,VLOOKUP((1000-G289),ScoringTable!G$2:I$95,3)))</f>
        <v>0</v>
      </c>
      <c r="K289" s="112" t="str">
        <f>IF(OR(E289="",G289=""),"",IF(RIGHT(E289,1)="G",_xlfn.XLOOKUP(G289,Data!$D$10:$L$10,Data!$D$9:$L$9,"",1,1),_xlfn.XLOOKUP(G289,Data!$D$3:$L$3,Data!$D$2:$L$2,"",1,1)))</f>
        <v/>
      </c>
      <c r="L289" s="160" t="str" cm="1">
        <f t="array" ref="L289">IFERROR(_xlfn.IFNA(
                      _xlfn.IFS(
                      G289="", "",
                      AND(E289="U12B",G289&lt;=Data!$M$3), "U12 Boys record",
                      AND(E289="U12G",G289&lt;=Data!$M$10), "U12 Girls record"
                       ),""), "")</f>
        <v/>
      </c>
      <c r="M289" s="18" cm="1">
        <f t="array" ref="M289">_xlfn.IFS($G289="",0, AND(NOT(ISNUMBER($G289)),LOWER($G289)&lt;&gt;"dnf"),"Not a valid time",OR(LOWER($G289)="dnf",$G289&gt;ScoringTable!$M$161),1,RIGHT($E289,1)="B",_xlfn.XLOOKUP($G289,ScoringTable!$M$2:$M$161,ScoringTable!$L$2:$L$161,,1),TRUE,_xlfn.XLOOKUP($G289,ScoringTable!$S$2:$S$161,ScoringTable!$R$2:$R$161,,1))</f>
        <v>0</v>
      </c>
    </row>
    <row r="290" spans="1:13" s="7" customFormat="1" ht="16.05" customHeight="1">
      <c r="A290" s="243" t="s">
        <v>85</v>
      </c>
      <c r="B290" s="114" t="str">
        <f>IF(ISNA(VLOOKUP($F290,Declarations!B$6:C$185,2,FALSE)),"",IF(VLOOKUP($F290,Declarations!B$6:C$185,2,FALSE)="","NOT DECLARED",IF(ISNA(_xlfn.TEXTBEFORE(VLOOKUP($F290,Declarations!B$6:C$185,2,FALSE)," ")),VLOOKUP($F290,Declarations!B$6:C$185,2,FALSE),_xlfn.TEXTBEFORE(VLOOKUP($F290,Declarations!B$6:C$185,2,FALSE)," "))))</f>
        <v/>
      </c>
      <c r="C290" s="114" t="str">
        <f>IF(ISNA(VLOOKUP($F290,Declarations!B$6:C$185,2,FALSE)),"",IF(VLOOKUP($F290,Declarations!B$6:C$185,2,FALSE)="","NOT DECLARED",IF(ISNA(_xlfn.TEXTAFTER(VLOOKUP($F290,Declarations!B$6:C$185,2,FALSE)," ")),VLOOKUP($F290,Declarations!B$6:C$185,2,FALSE),_xlfn.TEXTAFTER(VLOOKUP($F290,Declarations!B$6:C$185,2,FALSE)," "))))</f>
        <v/>
      </c>
      <c r="D290" s="114" t="str">
        <f>IF(ISNA(VLOOKUP($F290,Declarations!$B$6:$F$185,5,FALSE)),"",IF(VLOOKUP($F290,Declarations!$B$6:$F$185,5,FALSE)="","NOT DECLARED",VLOOKUP($F290,Declarations!$B$6:$F$185,5,FALSE)))</f>
        <v/>
      </c>
      <c r="E290" s="112" t="str">
        <f>IF(ISNA(VLOOKUP($F290,Declarations!$B$6:$D$185,3,FALSE)),"",IF(VLOOKUP($F290,Declarations!$B$6:$D$185,3,FALSE)="","NOT DECLARED",VLOOKUP($F290,Declarations!$B$6:$D$185,3,FALSE)&amp;LEFT(VLOOKUP($F290,Declarations!$B$6:$E$185,4,FALSE))))</f>
        <v/>
      </c>
      <c r="F290" s="58"/>
      <c r="G290" s="122"/>
      <c r="H290" s="122"/>
      <c r="I290" s="114" t="str">
        <f>IF(ISNA(VLOOKUP(F290,Declarations!B$6:C$185,2,FALSE)),"",IF(VLOOKUP(F290,Declarations!B$6:C$185,2,FALSE)="","NOT DECLARED",VLOOKUP(F290,Declarations!B$6:C$185,2,FALSE)))</f>
        <v/>
      </c>
      <c r="J290" s="112">
        <f>IF(LOWER(G290)="dnf",1,IF(G290&lt;ScoringTable!B$3,ScoringTable!I$2,VLOOKUP((1000-G290),ScoringTable!G$2:I$95,3)))</f>
        <v>0</v>
      </c>
      <c r="K290" s="112" t="str">
        <f>IF(OR(E290="",G290=""),"",IF(RIGHT(E290,1)="G",_xlfn.XLOOKUP(G290,Data!$D$10:$L$10,Data!$D$9:$L$9,"",1,1),_xlfn.XLOOKUP(G290,Data!$D$3:$L$3,Data!$D$2:$L$2,"",1,1)))</f>
        <v/>
      </c>
      <c r="L290" s="160" t="str" cm="1">
        <f t="array" ref="L290">IFERROR(_xlfn.IFNA(
                      _xlfn.IFS(
                      G290="", "",
                      AND(E290="U12B",G290&lt;=Data!$M$3), "U12 Boys record",
                      AND(E290="U12G",G290&lt;=Data!$M$10), "U12 Girls record"
                       ),""), "")</f>
        <v/>
      </c>
      <c r="M290" s="18" cm="1">
        <f t="array" ref="M290">_xlfn.IFS($G290="",0, AND(NOT(ISNUMBER($G290)),LOWER($G290)&lt;&gt;"dnf"),"Not a valid time",OR(LOWER($G290)="dnf",$G290&gt;ScoringTable!$M$161),1,RIGHT($E290,1)="B",_xlfn.XLOOKUP($G290,ScoringTable!$M$2:$M$161,ScoringTable!$L$2:$L$161,,1),TRUE,_xlfn.XLOOKUP($G290,ScoringTable!$S$2:$S$161,ScoringTable!$R$2:$R$161,,1))</f>
        <v>0</v>
      </c>
    </row>
    <row r="291" spans="1:13" s="7" customFormat="1" ht="16.05" customHeight="1">
      <c r="A291" s="243" t="s">
        <v>85</v>
      </c>
      <c r="B291" s="114" t="str">
        <f>IF(ISNA(VLOOKUP($F291,Declarations!B$6:C$185,2,FALSE)),"",IF(VLOOKUP($F291,Declarations!B$6:C$185,2,FALSE)="","NOT DECLARED",IF(ISNA(_xlfn.TEXTBEFORE(VLOOKUP($F291,Declarations!B$6:C$185,2,FALSE)," ")),VLOOKUP($F291,Declarations!B$6:C$185,2,FALSE),_xlfn.TEXTBEFORE(VLOOKUP($F291,Declarations!B$6:C$185,2,FALSE)," "))))</f>
        <v/>
      </c>
      <c r="C291" s="114" t="str">
        <f>IF(ISNA(VLOOKUP($F291,Declarations!B$6:C$185,2,FALSE)),"",IF(VLOOKUP($F291,Declarations!B$6:C$185,2,FALSE)="","NOT DECLARED",IF(ISNA(_xlfn.TEXTAFTER(VLOOKUP($F291,Declarations!B$6:C$185,2,FALSE)," ")),VLOOKUP($F291,Declarations!B$6:C$185,2,FALSE),_xlfn.TEXTAFTER(VLOOKUP($F291,Declarations!B$6:C$185,2,FALSE)," "))))</f>
        <v/>
      </c>
      <c r="D291" s="114" t="str">
        <f>IF(ISNA(VLOOKUP($F291,Declarations!$B$6:$F$185,5,FALSE)),"",IF(VLOOKUP($F291,Declarations!$B$6:$F$185,5,FALSE)="","NOT DECLARED",VLOOKUP($F291,Declarations!$B$6:$F$185,5,FALSE)))</f>
        <v/>
      </c>
      <c r="E291" s="112" t="str">
        <f>IF(ISNA(VLOOKUP($F291,Declarations!$B$6:$D$185,3,FALSE)),"",IF(VLOOKUP($F291,Declarations!$B$6:$D$185,3,FALSE)="","NOT DECLARED",VLOOKUP($F291,Declarations!$B$6:$D$185,3,FALSE)&amp;LEFT(VLOOKUP($F291,Declarations!$B$6:$E$185,4,FALSE))))</f>
        <v/>
      </c>
      <c r="F291" s="58"/>
      <c r="G291" s="122"/>
      <c r="H291" s="122"/>
      <c r="I291" s="114" t="str">
        <f>IF(ISNA(VLOOKUP(F291,Declarations!B$6:C$185,2,FALSE)),"",IF(VLOOKUP(F291,Declarations!B$6:C$185,2,FALSE)="","NOT DECLARED",VLOOKUP(F291,Declarations!B$6:C$185,2,FALSE)))</f>
        <v/>
      </c>
      <c r="J291" s="112">
        <f>IF(LOWER(G291)="dnf",1,IF(G291&lt;ScoringTable!B$3,ScoringTable!I$2,VLOOKUP((1000-G291),ScoringTable!G$2:I$95,3)))</f>
        <v>0</v>
      </c>
      <c r="K291" s="112" t="str">
        <f>IF(OR(E291="",G291=""),"",IF(RIGHT(E291,1)="G",_xlfn.XLOOKUP(G291,Data!$D$10:$L$10,Data!$D$9:$L$9,"",1,1),_xlfn.XLOOKUP(G291,Data!$D$3:$L$3,Data!$D$2:$L$2,"",1,1)))</f>
        <v/>
      </c>
      <c r="L291" s="160" t="str" cm="1">
        <f t="array" ref="L291">IFERROR(_xlfn.IFNA(
                      _xlfn.IFS(
                      G291="", "",
                      AND(E291="U12B",G291&lt;=Data!$M$3), "U12 Boys record",
                      AND(E291="U12G",G291&lt;=Data!$M$10), "U12 Girls record"
                       ),""), "")</f>
        <v/>
      </c>
      <c r="M291" s="18" cm="1">
        <f t="array" ref="M291">_xlfn.IFS($G291="",0, AND(NOT(ISNUMBER($G291)),LOWER($G291)&lt;&gt;"dnf"),"Not a valid time",OR(LOWER($G291)="dnf",$G291&gt;ScoringTable!$M$161),1,RIGHT($E291,1)="B",_xlfn.XLOOKUP($G291,ScoringTable!$M$2:$M$161,ScoringTable!$L$2:$L$161,,1),TRUE,_xlfn.XLOOKUP($G291,ScoringTable!$S$2:$S$161,ScoringTable!$R$2:$R$161,,1))</f>
        <v>0</v>
      </c>
    </row>
    <row r="292" spans="1:13" s="7" customFormat="1" ht="16.05" customHeight="1">
      <c r="A292" s="243" t="s">
        <v>85</v>
      </c>
      <c r="B292" s="114" t="str">
        <f>IF(ISNA(VLOOKUP($F292,Declarations!B$6:C$185,2,FALSE)),"",IF(VLOOKUP($F292,Declarations!B$6:C$185,2,FALSE)="","NOT DECLARED",IF(ISNA(_xlfn.TEXTBEFORE(VLOOKUP($F292,Declarations!B$6:C$185,2,FALSE)," ")),VLOOKUP($F292,Declarations!B$6:C$185,2,FALSE),_xlfn.TEXTBEFORE(VLOOKUP($F292,Declarations!B$6:C$185,2,FALSE)," "))))</f>
        <v/>
      </c>
      <c r="C292" s="114" t="str">
        <f>IF(ISNA(VLOOKUP($F292,Declarations!B$6:C$185,2,FALSE)),"",IF(VLOOKUP($F292,Declarations!B$6:C$185,2,FALSE)="","NOT DECLARED",IF(ISNA(_xlfn.TEXTAFTER(VLOOKUP($F292,Declarations!B$6:C$185,2,FALSE)," ")),VLOOKUP($F292,Declarations!B$6:C$185,2,FALSE),_xlfn.TEXTAFTER(VLOOKUP($F292,Declarations!B$6:C$185,2,FALSE)," "))))</f>
        <v/>
      </c>
      <c r="D292" s="114" t="str">
        <f>IF(ISNA(VLOOKUP($F292,Declarations!$B$6:$F$185,5,FALSE)),"",IF(VLOOKUP($F292,Declarations!$B$6:$F$185,5,FALSE)="","NOT DECLARED",VLOOKUP($F292,Declarations!$B$6:$F$185,5,FALSE)))</f>
        <v/>
      </c>
      <c r="E292" s="112" t="str">
        <f>IF(ISNA(VLOOKUP($F292,Declarations!$B$6:$D$185,3,FALSE)),"",IF(VLOOKUP($F292,Declarations!$B$6:$D$185,3,FALSE)="","NOT DECLARED",VLOOKUP($F292,Declarations!$B$6:$D$185,3,FALSE)&amp;LEFT(VLOOKUP($F292,Declarations!$B$6:$E$185,4,FALSE))))</f>
        <v/>
      </c>
      <c r="F292" s="58"/>
      <c r="G292" s="122"/>
      <c r="H292" s="122"/>
      <c r="I292" s="114" t="str">
        <f>IF(ISNA(VLOOKUP(F292,Declarations!B$6:C$185,2,FALSE)),"",IF(VLOOKUP(F292,Declarations!B$6:C$185,2,FALSE)="","NOT DECLARED",VLOOKUP(F292,Declarations!B$6:C$185,2,FALSE)))</f>
        <v/>
      </c>
      <c r="J292" s="112">
        <f>IF(LOWER(G292)="dnf",1,IF(G292&lt;ScoringTable!B$3,ScoringTable!I$2,VLOOKUP((1000-G292),ScoringTable!G$2:I$95,3)))</f>
        <v>0</v>
      </c>
      <c r="K292" s="112" t="str">
        <f>IF(OR(E292="",G292=""),"",IF(RIGHT(E292,1)="G",_xlfn.XLOOKUP(G292,Data!$D$10:$L$10,Data!$D$9:$L$9,"",1,1),_xlfn.XLOOKUP(G292,Data!$D$3:$L$3,Data!$D$2:$L$2,"",1,1)))</f>
        <v/>
      </c>
      <c r="L292" s="160" t="str" cm="1">
        <f t="array" ref="L292">IFERROR(_xlfn.IFNA(
                      _xlfn.IFS(
                      G292="", "",
                      AND(E292="U12B",G292&lt;=Data!$M$3), "U12 Boys record",
                      AND(E292="U12G",G292&lt;=Data!$M$10), "U12 Girls record"
                       ),""), "")</f>
        <v/>
      </c>
      <c r="M292" s="18" cm="1">
        <f t="array" ref="M292">_xlfn.IFS($G292="",0, AND(NOT(ISNUMBER($G292)),LOWER($G292)&lt;&gt;"dnf"),"Not a valid time",OR(LOWER($G292)="dnf",$G292&gt;ScoringTable!$M$161),1,RIGHT($E292,1)="B",_xlfn.XLOOKUP($G292,ScoringTable!$M$2:$M$161,ScoringTable!$L$2:$L$161,,1),TRUE,_xlfn.XLOOKUP($G292,ScoringTable!$S$2:$S$161,ScoringTable!$R$2:$R$161,,1))</f>
        <v>0</v>
      </c>
    </row>
    <row r="293" spans="1:13" s="7" customFormat="1" ht="16.05" customHeight="1">
      <c r="A293" s="243" t="s">
        <v>85</v>
      </c>
      <c r="B293" s="114" t="str">
        <f>IF(ISNA(VLOOKUP($F293,Declarations!B$6:C$185,2,FALSE)),"",IF(VLOOKUP($F293,Declarations!B$6:C$185,2,FALSE)="","NOT DECLARED",IF(ISNA(_xlfn.TEXTBEFORE(VLOOKUP($F293,Declarations!B$6:C$185,2,FALSE)," ")),VLOOKUP($F293,Declarations!B$6:C$185,2,FALSE),_xlfn.TEXTBEFORE(VLOOKUP($F293,Declarations!B$6:C$185,2,FALSE)," "))))</f>
        <v/>
      </c>
      <c r="C293" s="114" t="str">
        <f>IF(ISNA(VLOOKUP($F293,Declarations!B$6:C$185,2,FALSE)),"",IF(VLOOKUP($F293,Declarations!B$6:C$185,2,FALSE)="","NOT DECLARED",IF(ISNA(_xlfn.TEXTAFTER(VLOOKUP($F293,Declarations!B$6:C$185,2,FALSE)," ")),VLOOKUP($F293,Declarations!B$6:C$185,2,FALSE),_xlfn.TEXTAFTER(VLOOKUP($F293,Declarations!B$6:C$185,2,FALSE)," "))))</f>
        <v/>
      </c>
      <c r="D293" s="114" t="str">
        <f>IF(ISNA(VLOOKUP($F293,Declarations!$B$6:$F$185,5,FALSE)),"",IF(VLOOKUP($F293,Declarations!$B$6:$F$185,5,FALSE)="","NOT DECLARED",VLOOKUP($F293,Declarations!$B$6:$F$185,5,FALSE)))</f>
        <v/>
      </c>
      <c r="E293" s="112" t="str">
        <f>IF(ISNA(VLOOKUP($F293,Declarations!$B$6:$D$185,3,FALSE)),"",IF(VLOOKUP($F293,Declarations!$B$6:$D$185,3,FALSE)="","NOT DECLARED",VLOOKUP($F293,Declarations!$B$6:$D$185,3,FALSE)&amp;LEFT(VLOOKUP($F293,Declarations!$B$6:$E$185,4,FALSE))))</f>
        <v/>
      </c>
      <c r="F293" s="58"/>
      <c r="G293" s="122"/>
      <c r="H293" s="122"/>
      <c r="I293" s="114" t="str">
        <f>IF(ISNA(VLOOKUP(F293,Declarations!B$6:C$185,2,FALSE)),"",IF(VLOOKUP(F293,Declarations!B$6:C$185,2,FALSE)="","NOT DECLARED",VLOOKUP(F293,Declarations!B$6:C$185,2,FALSE)))</f>
        <v/>
      </c>
      <c r="J293" s="112">
        <f>IF(LOWER(G293)="dnf",1,IF(G293&lt;ScoringTable!B$3,ScoringTable!I$2,VLOOKUP((1000-G293),ScoringTable!G$2:I$95,3)))</f>
        <v>0</v>
      </c>
      <c r="K293" s="112" t="str">
        <f>IF(OR(E293="",G293=""),"",IF(RIGHT(E293,1)="G",_xlfn.XLOOKUP(G293,Data!$D$10:$L$10,Data!$D$9:$L$9,"",1,1),_xlfn.XLOOKUP(G293,Data!$D$3:$L$3,Data!$D$2:$L$2,"",1,1)))</f>
        <v/>
      </c>
      <c r="L293" s="160" t="str" cm="1">
        <f t="array" ref="L293">IFERROR(_xlfn.IFNA(
                      _xlfn.IFS(
                      G293="", "",
                      AND(E293="U12B",G293&lt;=Data!$M$3), "U12 Boys record",
                      AND(E293="U12G",G293&lt;=Data!$M$10), "U12 Girls record"
                       ),""), "")</f>
        <v/>
      </c>
      <c r="M293" s="18" cm="1">
        <f t="array" ref="M293">_xlfn.IFS($G293="",0, AND(NOT(ISNUMBER($G293)),LOWER($G293)&lt;&gt;"dnf"),"Not a valid time",OR(LOWER($G293)="dnf",$G293&gt;ScoringTable!$M$161),1,RIGHT($E293,1)="B",_xlfn.XLOOKUP($G293,ScoringTable!$M$2:$M$161,ScoringTable!$L$2:$L$161,,1),TRUE,_xlfn.XLOOKUP($G293,ScoringTable!$S$2:$S$161,ScoringTable!$R$2:$R$161,,1))</f>
        <v>0</v>
      </c>
    </row>
  </sheetData>
  <sheetProtection sheet="1" objects="1" scenarios="1"/>
  <mergeCells count="6">
    <mergeCell ref="F1:G1"/>
    <mergeCell ref="F2:G2"/>
    <mergeCell ref="A1:D1"/>
    <mergeCell ref="A2:D2"/>
    <mergeCell ref="I1:K1"/>
    <mergeCell ref="I2:K2"/>
  </mergeCells>
  <phoneticPr fontId="5" type="noConversion"/>
  <conditionalFormatting sqref="F1:F1048576">
    <cfRule type="duplicateValues" dxfId="21" priority="1"/>
  </conditionalFormatting>
  <pageMargins left="0.75" right="0.75" top="1" bottom="1" header="0.5" footer="0.5"/>
  <pageSetup paperSize="9" scale="48" fitToHeight="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6600"/>
    <pageSetUpPr fitToPage="1"/>
  </sheetPr>
  <dimension ref="A1:X297"/>
  <sheetViews>
    <sheetView zoomScaleNormal="100" workbookViewId="0">
      <pane ySplit="5" topLeftCell="A73" activePane="bottomLeft" state="frozen"/>
      <selection activeCell="F147" sqref="F147"/>
      <selection pane="bottomLeft" activeCell="F87" sqref="F87"/>
    </sheetView>
  </sheetViews>
  <sheetFormatPr defaultColWidth="10.6640625" defaultRowHeight="13.2"/>
  <cols>
    <col min="1" max="1" width="6.6640625" bestFit="1" customWidth="1"/>
    <col min="2" max="2" width="11.6640625" bestFit="1" customWidth="1"/>
    <col min="3" max="3" width="12.77734375" bestFit="1" customWidth="1"/>
    <col min="4" max="4" width="18.109375" bestFit="1" customWidth="1"/>
    <col min="5" max="5" width="10.77734375" customWidth="1"/>
    <col min="6" max="6" width="20" customWidth="1"/>
    <col min="7" max="7" width="20" style="4" customWidth="1"/>
    <col min="8" max="8" width="8.109375" style="4" customWidth="1"/>
    <col min="9" max="9" width="33.33203125" customWidth="1"/>
    <col min="10" max="11" width="16.6640625" customWidth="1"/>
    <col min="12" max="12" width="15.77734375" customWidth="1"/>
    <col min="13" max="13" width="10.6640625" customWidth="1"/>
    <col min="15" max="16" width="12" customWidth="1"/>
    <col min="17" max="17" width="8.6640625" bestFit="1" customWidth="1"/>
    <col min="18" max="18" width="6.6640625" bestFit="1" customWidth="1"/>
    <col min="19" max="19" width="7.109375" bestFit="1" customWidth="1"/>
    <col min="20" max="20" width="8" bestFit="1" customWidth="1"/>
    <col min="21" max="21" width="7.33203125" bestFit="1" customWidth="1"/>
    <col min="22" max="25" width="12" customWidth="1"/>
  </cols>
  <sheetData>
    <row r="1" spans="1:24" ht="40.049999999999997" customHeight="1">
      <c r="A1" s="413" t="str">
        <f>'Read Me First'!A1:F1</f>
        <v>Wessex Young Athletes Track and Field League 2026</v>
      </c>
      <c r="B1" s="413"/>
      <c r="C1" s="413"/>
      <c r="D1" s="413"/>
      <c r="E1" s="74" t="s">
        <v>10</v>
      </c>
      <c r="F1" s="410" t="s">
        <v>70</v>
      </c>
      <c r="G1" s="410"/>
      <c r="H1" s="311"/>
      <c r="I1" s="410" t="s">
        <v>13</v>
      </c>
      <c r="J1" s="410"/>
      <c r="K1" s="410"/>
      <c r="L1" s="85"/>
    </row>
    <row r="2" spans="1:24" ht="40.049999999999997" customHeight="1">
      <c r="A2" s="413" t="s">
        <v>86</v>
      </c>
      <c r="B2" s="413"/>
      <c r="C2" s="413"/>
      <c r="D2" s="413"/>
      <c r="E2" s="87">
        <f>'Read Me First'!C9</f>
        <v>9</v>
      </c>
      <c r="F2" s="411" t="str">
        <f>(VLOOKUP('Read Me First'!F4,'Read Me First'!A22:D37,4,FALSE))</f>
        <v>Camberley &amp; District AC @ Woking</v>
      </c>
      <c r="G2" s="412"/>
      <c r="H2" s="312"/>
      <c r="I2" s="414">
        <f>'Read Me First'!C10</f>
        <v>46201</v>
      </c>
      <c r="J2" s="414"/>
      <c r="K2" s="414"/>
      <c r="L2" s="86"/>
    </row>
    <row r="3" spans="1:24" ht="16.05" customHeight="1">
      <c r="A3" s="54"/>
      <c r="B3" s="54"/>
      <c r="C3" s="54"/>
      <c r="D3" s="54"/>
      <c r="E3" s="88"/>
      <c r="F3" s="19"/>
      <c r="G3" s="19"/>
      <c r="H3" s="19"/>
      <c r="I3" s="89"/>
      <c r="J3" s="89"/>
      <c r="K3" s="86"/>
      <c r="L3" s="86"/>
    </row>
    <row r="4" spans="1:24" s="3" customFormat="1" ht="25.95" customHeight="1">
      <c r="A4" s="35" t="s">
        <v>72</v>
      </c>
      <c r="B4" s="35" t="s">
        <v>73</v>
      </c>
      <c r="C4" s="35" t="s">
        <v>74</v>
      </c>
      <c r="D4" s="35" t="s">
        <v>75</v>
      </c>
      <c r="E4" s="35" t="s">
        <v>76</v>
      </c>
      <c r="F4" s="33" t="s">
        <v>77</v>
      </c>
      <c r="G4" s="34" t="s">
        <v>87</v>
      </c>
      <c r="H4" s="34"/>
      <c r="I4" s="35" t="s">
        <v>80</v>
      </c>
      <c r="J4" s="35" t="s">
        <v>81</v>
      </c>
      <c r="K4" s="35" t="s">
        <v>82</v>
      </c>
      <c r="L4" s="55"/>
      <c r="M4" s="31" t="s">
        <v>83</v>
      </c>
      <c r="Q4" s="415" t="s">
        <v>88</v>
      </c>
      <c r="R4" s="415"/>
      <c r="S4" s="415"/>
      <c r="T4" s="415"/>
      <c r="U4" s="415"/>
    </row>
    <row r="5" spans="1:24" s="3" customFormat="1" ht="25.95" customHeight="1">
      <c r="A5" s="82"/>
      <c r="B5" s="82"/>
      <c r="C5" s="82"/>
      <c r="D5" s="82"/>
      <c r="E5" s="82"/>
      <c r="F5" s="32">
        <v>0</v>
      </c>
      <c r="G5" s="37" t="s">
        <v>89</v>
      </c>
      <c r="H5" s="37"/>
      <c r="I5" s="27">
        <v>0</v>
      </c>
      <c r="J5" s="27">
        <v>0</v>
      </c>
      <c r="K5" s="111"/>
      <c r="L5" s="56"/>
      <c r="Q5" s="44" t="s">
        <v>90</v>
      </c>
      <c r="R5" s="44" t="s">
        <v>91</v>
      </c>
      <c r="S5" s="45" t="s">
        <v>92</v>
      </c>
      <c r="T5" s="45" t="s">
        <v>93</v>
      </c>
      <c r="U5" s="45" t="s">
        <v>94</v>
      </c>
    </row>
    <row r="6" spans="1:24" s="3" customFormat="1" ht="16.05" customHeight="1">
      <c r="A6" s="113" t="s">
        <v>95</v>
      </c>
      <c r="B6" s="114" t="str">
        <f>IF(ISNA(VLOOKUP($F6,Declarations!B$6:C$185,2,FALSE)),"",IF(VLOOKUP($F6,Declarations!B$6:C$185,2,FALSE)="","NOT DECLARED",IF(ISNA(_xlfn.TEXTBEFORE(VLOOKUP($F6,Declarations!B$6:C$185,2,FALSE)," ")),VLOOKUP($F6,Declarations!B$6:C$185,2,FALSE),_xlfn.TEXTBEFORE(VLOOKUP($F6,Declarations!B$6:C$185,2,FALSE)," "))))</f>
        <v>FREYA</v>
      </c>
      <c r="C6" s="114" t="str">
        <f>IF(ISNA(VLOOKUP($F6,Declarations!B$6:C$185,2,FALSE)),"",IF(VLOOKUP($F6,Declarations!B$6:C$185,2,FALSE)="","NOT DECLARED",IF(ISNA(_xlfn.TEXTAFTER(VLOOKUP($F6,Declarations!B$6:C$185,2,FALSE)," ")),VLOOKUP($F6,Declarations!B$6:C$185,2,FALSE),_xlfn.TEXTAFTER(VLOOKUP($F6,Declarations!B$6:C$185,2,FALSE)," "))))</f>
        <v>BURGE</v>
      </c>
      <c r="D6" s="114" t="str">
        <f>IF(ISNA(VLOOKUP($F6,Declarations!$B$6:$F$185,5,FALSE)),"",IF(VLOOKUP($F6,Declarations!$B$6:$F$185,5,FALSE)="","NOT DECLARED",VLOOKUP($F6,Declarations!$B$6:$F$185,5,FALSE)))</f>
        <v>Waverley Athletics Club</v>
      </c>
      <c r="E6" s="112" t="str">
        <f>IF(ISNA(VLOOKUP($F6,Declarations!$B$6:$D$185,3,FALSE)),"",IF(VLOOKUP($F6,Declarations!$B$6:$D$185,3,FALSE)="","NOT DECLARED",VLOOKUP($F6,Declarations!$B$6:$D$185,3,FALSE)&amp;LEFT(VLOOKUP($F6,Declarations!$B$6:$E$185,4,FALSE))))</f>
        <v>U12G</v>
      </c>
      <c r="F6" s="58">
        <v>81</v>
      </c>
      <c r="G6" s="115">
        <v>1.414351851851852E-3</v>
      </c>
      <c r="H6" s="281"/>
      <c r="I6" s="114" t="str">
        <f>IF(ISNA(VLOOKUP(F6,Declarations!B$6:C$185,2,FALSE)),"",IF(VLOOKUP(F6,Declarations!B$6:C$185,2,FALSE)="","NOT DECLARED",VLOOKUP(F6,Declarations!B$6:C$185,2,FALSE)))</f>
        <v>FREYA BURGE</v>
      </c>
      <c r="J6" s="116">
        <f>IF(LOWER(G6)="dnf",1,IF(U6&lt;ScoringTable!C$3,ScoringTable!I$2,VLOOKUP((1000-U6),ScoringTable!H$2:I$95,2)))</f>
        <v>67</v>
      </c>
      <c r="K6" s="112" t="str">
        <f>IF(OR(E6="",G6=""),"",IF(RIGHT(E6,1)="G",_xlfn.XLOOKUP(G6,Data!$D$11:$L$11,Data!$D$9:$L$9,"",1,1),_xlfn.XLOOKUP(G6,Data!$D$4:$L$4,Data!$D$2:$L$2,"",1,1)))</f>
        <v>PB5</v>
      </c>
      <c r="L6" s="160" t="str" cm="1">
        <f t="array" ref="L6">IFERROR(_xlfn.IFNA(
                      _xlfn.IFS(
                      G6="", "",
                      G6=0, "",
                      AND(E6="U12B",G6&lt;=Data!$M$4), "U12 Boys record",
                      AND(E6="U12G",G6&lt;=Data!$M$11), "U12 Girls record"
                       ),""), "")</f>
        <v/>
      </c>
      <c r="M6" s="18" cm="1">
        <f t="array" ref="M6">_xlfn.IFS(OR($G6="",$G6=0),0, AND(NOT(ISNUMBER($G6)),LOWER($G6)&lt;&gt;"dnf"),"Not a valid time",OR(LOWER($G6)="dnf",$G6&gt;ScoringTable!$N$161),1,RIGHT($E6,1)="B",_xlfn.XLOOKUP($G6,ScoringTable!$N$2:$N$161,ScoringTable!$L$2:$L$161,,1),TRUE,_xlfn.XLOOKUP($G6,ScoringTable!$T$2:$T$161,ScoringTable!$R$2:$R$161,,1))</f>
        <v>75</v>
      </c>
      <c r="N6" s="18"/>
      <c r="Q6" s="117">
        <f>G6*86400</f>
        <v>122.20000000000002</v>
      </c>
      <c r="R6" s="118">
        <f>Q6/60</f>
        <v>2.0366666666666671</v>
      </c>
      <c r="S6" s="119">
        <f>(ROUNDDOWN(R6,0))</f>
        <v>2</v>
      </c>
      <c r="T6" s="118">
        <f>Q6-((S6*60))</f>
        <v>2.2000000000000171</v>
      </c>
      <c r="U6" s="120">
        <f>+(S6)+(T6/100)</f>
        <v>2.0220000000000002</v>
      </c>
    </row>
    <row r="7" spans="1:24" s="3" customFormat="1" ht="16.05" customHeight="1">
      <c r="A7" s="113" t="s">
        <v>95</v>
      </c>
      <c r="B7" s="114" t="str">
        <f>IF(ISNA(VLOOKUP($F7,Declarations!B$6:C$185,2,FALSE)),"",IF(VLOOKUP($F7,Declarations!B$6:C$185,2,FALSE)="","NOT DECLARED",IF(ISNA(_xlfn.TEXTBEFORE(VLOOKUP($F7,Declarations!B$6:C$185,2,FALSE)," ")),VLOOKUP($F7,Declarations!B$6:C$185,2,FALSE),_xlfn.TEXTBEFORE(VLOOKUP($F7,Declarations!B$6:C$185,2,FALSE)," "))))</f>
        <v>VIOLET</v>
      </c>
      <c r="C7" s="114" t="str">
        <f>IF(ISNA(VLOOKUP($F7,Declarations!B$6:C$185,2,FALSE)),"",IF(VLOOKUP($F7,Declarations!B$6:C$185,2,FALSE)="","NOT DECLARED",IF(ISNA(_xlfn.TEXTAFTER(VLOOKUP($F7,Declarations!B$6:C$185,2,FALSE)," ")),VLOOKUP($F7,Declarations!B$6:C$185,2,FALSE),_xlfn.TEXTAFTER(VLOOKUP($F7,Declarations!B$6:C$185,2,FALSE)," "))))</f>
        <v>FULLING</v>
      </c>
      <c r="D7" s="114" t="str">
        <f>IF(ISNA(VLOOKUP($F7,Declarations!$B$6:$F$185,5,FALSE)),"",IF(VLOOKUP($F7,Declarations!$B$6:$F$185,5,FALSE)="","NOT DECLARED",VLOOKUP($F7,Declarations!$B$6:$F$185,5,FALSE)))</f>
        <v>Poole Runners</v>
      </c>
      <c r="E7" s="112" t="str">
        <f>IF(ISNA(VLOOKUP($F7,Declarations!$B$6:$D$185,3,FALSE)),"",IF(VLOOKUP($F7,Declarations!$B$6:$D$185,3,FALSE)="","NOT DECLARED",VLOOKUP($F7,Declarations!$B$6:$D$185,3,FALSE)&amp;LEFT(VLOOKUP($F7,Declarations!$B$6:$E$185,4,FALSE))))</f>
        <v>U12G</v>
      </c>
      <c r="F7" s="58">
        <v>45</v>
      </c>
      <c r="G7" s="115">
        <v>1.502314814814815E-3</v>
      </c>
      <c r="H7" s="281"/>
      <c r="I7" s="114" t="str">
        <f>IF(ISNA(VLOOKUP(F7,Declarations!B$6:C$185,2,FALSE)),"",IF(VLOOKUP(F7,Declarations!B$6:C$185,2,FALSE)="","NOT DECLARED",VLOOKUP(F7,Declarations!B$6:C$185,2,FALSE)))</f>
        <v>VIOLET FULLING</v>
      </c>
      <c r="J7" s="116">
        <f>IF(LOWER(G7)="dnf",1,IF(U7&lt;ScoringTable!C$3,ScoringTable!I$2,VLOOKUP((1000-U7),ScoringTable!H$2:I$95,2)))</f>
        <v>60</v>
      </c>
      <c r="K7" s="112" t="str">
        <f>IF(OR(E7="",G7=""),"",IF(RIGHT(E7,1)="G",_xlfn.XLOOKUP(G7,Data!$D$11:$L$11,Data!$D$9:$L$9,"",1,1),_xlfn.XLOOKUP(G7,Data!$D$4:$L$4,Data!$D$2:$L$2,"",1,1)))</f>
        <v>PB4</v>
      </c>
      <c r="L7" s="160" t="str" cm="1">
        <f t="array" ref="L7">IFERROR(_xlfn.IFNA(
                      _xlfn.IFS(
                      G7="", "",
                      G7=0, "",
                      AND(E7="U12B",G7&lt;=Data!$M$4), "U12 Boys record",
                      AND(E7="U12G",G7&lt;=Data!$M$11), "U12 Girls record"
                       ),""), "")</f>
        <v/>
      </c>
      <c r="M7" s="18" cm="1">
        <f t="array" ref="M7">_xlfn.IFS(OR($G7="",$G7=0),0, AND(NOT(ISNUMBER($G7)),LOWER($G7)&lt;&gt;"dnf"),"Not a valid time",OR(LOWER($G7)="dnf",$G7&gt;ScoringTable!$N$161),1,RIGHT($E7,1)="B",_xlfn.XLOOKUP($G7,ScoringTable!$N$2:$N$161,ScoringTable!$L$2:$L$161,,1),TRUE,_xlfn.XLOOKUP($G7,ScoringTable!$T$2:$T$161,ScoringTable!$R$2:$R$161,,1))</f>
        <v>60</v>
      </c>
      <c r="N7" s="18"/>
      <c r="Q7" s="117">
        <f t="shared" ref="Q7:Q70" si="0">G7*86400</f>
        <v>129.80000000000001</v>
      </c>
      <c r="R7" s="118">
        <f t="shared" ref="R7:R70" si="1">Q7/60</f>
        <v>2.1633333333333336</v>
      </c>
      <c r="S7" s="119">
        <f t="shared" ref="S7:S70" si="2">(ROUNDDOWN(R7,0))</f>
        <v>2</v>
      </c>
      <c r="T7" s="118">
        <f t="shared" ref="T7:T70" si="3">Q7-((S7*60))</f>
        <v>9.8000000000000114</v>
      </c>
      <c r="U7" s="120">
        <f t="shared" ref="U7:U70" si="4">+(S7)+(T7/100)</f>
        <v>2.0980000000000003</v>
      </c>
    </row>
    <row r="8" spans="1:24" s="3" customFormat="1" ht="16.05" customHeight="1">
      <c r="A8" s="113" t="s">
        <v>95</v>
      </c>
      <c r="B8" s="114" t="str">
        <f>IF(ISNA(VLOOKUP($F8,Declarations!B$6:C$185,2,FALSE)),"",IF(VLOOKUP($F8,Declarations!B$6:C$185,2,FALSE)="","NOT DECLARED",IF(ISNA(_xlfn.TEXTBEFORE(VLOOKUP($F8,Declarations!B$6:C$185,2,FALSE)," ")),VLOOKUP($F8,Declarations!B$6:C$185,2,FALSE),_xlfn.TEXTBEFORE(VLOOKUP($F8,Declarations!B$6:C$185,2,FALSE)," "))))</f>
        <v>EMILIA-MAE</v>
      </c>
      <c r="C8" s="114" t="str">
        <f>IF(ISNA(VLOOKUP($F8,Declarations!B$6:C$185,2,FALSE)),"",IF(VLOOKUP($F8,Declarations!B$6:C$185,2,FALSE)="","NOT DECLARED",IF(ISNA(_xlfn.TEXTAFTER(VLOOKUP($F8,Declarations!B$6:C$185,2,FALSE)," ")),VLOOKUP($F8,Declarations!B$6:C$185,2,FALSE),_xlfn.TEXTAFTER(VLOOKUP($F8,Declarations!B$6:C$185,2,FALSE)," "))))</f>
        <v>O'DWYER</v>
      </c>
      <c r="D8" s="114" t="str">
        <f>IF(ISNA(VLOOKUP($F8,Declarations!$B$6:$F$185,5,FALSE)),"",IF(VLOOKUP($F8,Declarations!$B$6:$F$185,5,FALSE)="","NOT DECLARED",VLOOKUP($F8,Declarations!$B$6:$F$185,5,FALSE)))</f>
        <v>Camberley &amp; District AC</v>
      </c>
      <c r="E8" s="112" t="str">
        <f>IF(ISNA(VLOOKUP($F8,Declarations!$B$6:$D$185,3,FALSE)),"",IF(VLOOKUP($F8,Declarations!$B$6:$D$185,3,FALSE)="","NOT DECLARED",VLOOKUP($F8,Declarations!$B$6:$D$185,3,FALSE)&amp;LEFT(VLOOKUP($F8,Declarations!$B$6:$E$185,4,FALSE))))</f>
        <v>U12G</v>
      </c>
      <c r="F8" s="58">
        <v>5</v>
      </c>
      <c r="G8" s="115">
        <v>1.5520833333333333E-3</v>
      </c>
      <c r="H8" s="281"/>
      <c r="I8" s="114" t="str">
        <f>IF(ISNA(VLOOKUP(F8,Declarations!B$6:C$185,2,FALSE)),"",IF(VLOOKUP(F8,Declarations!B$6:C$185,2,FALSE)="","NOT DECLARED",VLOOKUP(F8,Declarations!B$6:C$185,2,FALSE)))</f>
        <v>EMILIA-MAE O'DWYER</v>
      </c>
      <c r="J8" s="116">
        <f>IF(LOWER(G8)="dnf",1,IF(U8&lt;ScoringTable!C$3,ScoringTable!I$2,VLOOKUP((1000-U8),ScoringTable!H$2:I$95,2)))</f>
        <v>55</v>
      </c>
      <c r="K8" s="112" t="str">
        <f>IF(OR(E8="",G8=""),"",IF(RIGHT(E8,1)="G",_xlfn.XLOOKUP(G8,Data!$D$11:$L$11,Data!$D$9:$L$9,"",1,1),_xlfn.XLOOKUP(G8,Data!$D$4:$L$4,Data!$D$2:$L$2,"",1,1)))</f>
        <v>PB3</v>
      </c>
      <c r="L8" s="160" t="str" cm="1">
        <f t="array" ref="L8">IFERROR(_xlfn.IFNA(
                      _xlfn.IFS(
                      G8="", "",
                      G8=0, "",
                      AND(E8="U12B",G8&lt;=Data!$M$4), "U12 Boys record",
                      AND(E8="U12G",G8&lt;=Data!$M$11), "U12 Girls record"
                       ),""), "")</f>
        <v/>
      </c>
      <c r="M8" s="18" cm="1">
        <f t="array" ref="M8">_xlfn.IFS(OR($G8="",$G8=0),0, AND(NOT(ISNUMBER($G8)),LOWER($G8)&lt;&gt;"dnf"),"Not a valid time",OR(LOWER($G8)="dnf",$G8&gt;ScoringTable!$N$161),1,RIGHT($E8,1)="B",_xlfn.XLOOKUP($G8,ScoringTable!$N$2:$N$161,ScoringTable!$L$2:$L$161,,1),TRUE,_xlfn.XLOOKUP($G8,ScoringTable!$T$2:$T$161,ScoringTable!$R$2:$R$161,,1))</f>
        <v>51</v>
      </c>
      <c r="N8" s="18"/>
      <c r="Q8" s="117">
        <f t="shared" si="0"/>
        <v>134.1</v>
      </c>
      <c r="R8" s="118">
        <f t="shared" si="1"/>
        <v>2.2349999999999999</v>
      </c>
      <c r="S8" s="119">
        <f t="shared" si="2"/>
        <v>2</v>
      </c>
      <c r="T8" s="118">
        <f t="shared" si="3"/>
        <v>14.099999999999994</v>
      </c>
      <c r="U8" s="120">
        <f t="shared" si="4"/>
        <v>2.141</v>
      </c>
    </row>
    <row r="9" spans="1:24" s="7" customFormat="1" ht="16.05" customHeight="1">
      <c r="A9" s="113" t="s">
        <v>95</v>
      </c>
      <c r="B9" s="114" t="str">
        <f>IF(ISNA(VLOOKUP($F9,Declarations!B$6:C$185,2,FALSE)),"",IF(VLOOKUP($F9,Declarations!B$6:C$185,2,FALSE)="","NOT DECLARED",IF(ISNA(_xlfn.TEXTBEFORE(VLOOKUP($F9,Declarations!B$6:C$185,2,FALSE)," ")),VLOOKUP($F9,Declarations!B$6:C$185,2,FALSE),_xlfn.TEXTBEFORE(VLOOKUP($F9,Declarations!B$6:C$185,2,FALSE)," "))))</f>
        <v>KLEMANTINE</v>
      </c>
      <c r="C9" s="114" t="str">
        <f>IF(ISNA(VLOOKUP($F9,Declarations!B$6:C$185,2,FALSE)),"",IF(VLOOKUP($F9,Declarations!B$6:C$185,2,FALSE)="","NOT DECLARED",IF(ISNA(_xlfn.TEXTAFTER(VLOOKUP($F9,Declarations!B$6:C$185,2,FALSE)," ")),VLOOKUP($F9,Declarations!B$6:C$185,2,FALSE),_xlfn.TEXTAFTER(VLOOKUP($F9,Declarations!B$6:C$185,2,FALSE)," "))))</f>
        <v>PATA</v>
      </c>
      <c r="D9" s="114" t="str">
        <f>IF(ISNA(VLOOKUP($F9,Declarations!$B$6:$F$185,5,FALSE)),"",IF(VLOOKUP($F9,Declarations!$B$6:$F$185,5,FALSE)="","NOT DECLARED",VLOOKUP($F9,Declarations!$B$6:$F$185,5,FALSE)))</f>
        <v>Basingstoke &amp; Mid Hants AC</v>
      </c>
      <c r="E9" s="112" t="str">
        <f>IF(ISNA(VLOOKUP($F9,Declarations!$B$6:$D$185,3,FALSE)),"",IF(VLOOKUP($F9,Declarations!$B$6:$D$185,3,FALSE)="","NOT DECLARED",VLOOKUP($F9,Declarations!$B$6:$D$185,3,FALSE)&amp;LEFT(VLOOKUP($F9,Declarations!$B$6:$E$185,4,FALSE))))</f>
        <v>U12G</v>
      </c>
      <c r="F9" s="58">
        <v>106</v>
      </c>
      <c r="G9" s="115">
        <v>1.5706018518518517E-3</v>
      </c>
      <c r="H9" s="281"/>
      <c r="I9" s="114" t="str">
        <f>IF(ISNA(VLOOKUP(F9,Declarations!B$6:C$185,2,FALSE)),"",IF(VLOOKUP(F9,Declarations!B$6:C$185,2,FALSE)="","NOT DECLARED",VLOOKUP(F9,Declarations!B$6:C$185,2,FALSE)))</f>
        <v>KLEMANTINE PATA</v>
      </c>
      <c r="J9" s="116">
        <f>IF(LOWER(G9)="dnf",1,IF(U9&lt;ScoringTable!C$3,ScoringTable!I$2,VLOOKUP((1000-U9),ScoringTable!H$2:I$95,2)))</f>
        <v>54</v>
      </c>
      <c r="K9" s="112" t="str">
        <f>IF(OR(E9="",G9=""),"",IF(RIGHT(E9,1)="G",_xlfn.XLOOKUP(G9,Data!$D$11:$L$11,Data!$D$9:$L$9,"",1,1),_xlfn.XLOOKUP(G9,Data!$D$4:$L$4,Data!$D$2:$L$2,"",1,1)))</f>
        <v>PB2</v>
      </c>
      <c r="L9" s="160" t="str" cm="1">
        <f t="array" ref="L9">IFERROR(_xlfn.IFNA(
                      _xlfn.IFS(
                      G9="", "",
                      G9=0, "",
                      AND(E9="U12B",G9&lt;=Data!$M$4), "U12 Boys record",
                      AND(E9="U12G",G9&lt;=Data!$M$11), "U12 Girls record"
                       ),""), "")</f>
        <v/>
      </c>
      <c r="M9" s="18" cm="1">
        <f t="array" ref="M9">_xlfn.IFS(OR($G9="",$G9=0),0, AND(NOT(ISNUMBER($G9)),LOWER($G9)&lt;&gt;"dnf"),"Not a valid time",OR(LOWER($G9)="dnf",$G9&gt;ScoringTable!$N$161),1,RIGHT($E9,1)="B",_xlfn.XLOOKUP($G9,ScoringTable!$N$2:$N$161,ScoringTable!$L$2:$L$161,,1),TRUE,_xlfn.XLOOKUP($G9,ScoringTable!$T$2:$T$161,ScoringTable!$R$2:$R$161,,1))</f>
        <v>48</v>
      </c>
      <c r="N9" s="18"/>
      <c r="P9" s="3"/>
      <c r="Q9" s="117">
        <f t="shared" si="0"/>
        <v>135.69999999999999</v>
      </c>
      <c r="R9" s="118">
        <f t="shared" si="1"/>
        <v>2.2616666666666663</v>
      </c>
      <c r="S9" s="119">
        <f t="shared" si="2"/>
        <v>2</v>
      </c>
      <c r="T9" s="118">
        <f t="shared" si="3"/>
        <v>15.699999999999989</v>
      </c>
      <c r="U9" s="120">
        <f t="shared" si="4"/>
        <v>2.157</v>
      </c>
      <c r="V9" s="3"/>
      <c r="W9" s="3"/>
      <c r="X9" s="3"/>
    </row>
    <row r="10" spans="1:24" s="7" customFormat="1" ht="16.05" customHeight="1">
      <c r="A10" s="113" t="s">
        <v>95</v>
      </c>
      <c r="B10" s="114" t="str">
        <f>IF(ISNA(VLOOKUP($F10,Declarations!B$6:C$185,2,FALSE)),"",IF(VLOOKUP($F10,Declarations!B$6:C$185,2,FALSE)="","NOT DECLARED",IF(ISNA(_xlfn.TEXTBEFORE(VLOOKUP($F10,Declarations!B$6:C$185,2,FALSE)," ")),VLOOKUP($F10,Declarations!B$6:C$185,2,FALSE),_xlfn.TEXTBEFORE(VLOOKUP($F10,Declarations!B$6:C$185,2,FALSE)," "))))</f>
        <v>BETH</v>
      </c>
      <c r="C10" s="114" t="str">
        <f>IF(ISNA(VLOOKUP($F10,Declarations!B$6:C$185,2,FALSE)),"",IF(VLOOKUP($F10,Declarations!B$6:C$185,2,FALSE)="","NOT DECLARED",IF(ISNA(_xlfn.TEXTAFTER(VLOOKUP($F10,Declarations!B$6:C$185,2,FALSE)," ")),VLOOKUP($F10,Declarations!B$6:C$185,2,FALSE),_xlfn.TEXTAFTER(VLOOKUP($F10,Declarations!B$6:C$185,2,FALSE)," "))))</f>
        <v>JOHNSTON</v>
      </c>
      <c r="D10" s="114" t="str">
        <f>IF(ISNA(VLOOKUP($F10,Declarations!$B$6:$F$185,5,FALSE)),"",IF(VLOOKUP($F10,Declarations!$B$6:$F$185,5,FALSE)="","NOT DECLARED",VLOOKUP($F10,Declarations!$B$6:$F$185,5,FALSE)))</f>
        <v>Fleet &amp; Crookham AC</v>
      </c>
      <c r="E10" s="112" t="str">
        <f>IF(ISNA(VLOOKUP($F10,Declarations!$B$6:$D$185,3,FALSE)),"",IF(VLOOKUP($F10,Declarations!$B$6:$D$185,3,FALSE)="","NOT DECLARED",VLOOKUP($F10,Declarations!$B$6:$D$185,3,FALSE)&amp;LEFT(VLOOKUP($F10,Declarations!$B$6:$E$185,4,FALSE))))</f>
        <v>U12G</v>
      </c>
      <c r="F10" s="58">
        <v>63</v>
      </c>
      <c r="G10" s="115">
        <v>1.5798611111111111E-3</v>
      </c>
      <c r="H10" s="281"/>
      <c r="I10" s="114" t="str">
        <f>IF(ISNA(VLOOKUP(F10,Declarations!B$6:C$185,2,FALSE)),"",IF(VLOOKUP(F10,Declarations!B$6:C$185,2,FALSE)="","NOT DECLARED",VLOOKUP(F10,Declarations!B$6:C$185,2,FALSE)))</f>
        <v>BETH JOHNSTON</v>
      </c>
      <c r="J10" s="116">
        <f>IF(LOWER(G10)="dnf",1,IF(U10&lt;ScoringTable!C$3,ScoringTable!I$2,VLOOKUP((1000-U10),ScoringTable!H$2:I$95,2)))</f>
        <v>53</v>
      </c>
      <c r="K10" s="112" t="str">
        <f>IF(OR(E10="",G10=""),"",IF(RIGHT(E10,1)="G",_xlfn.XLOOKUP(G10,Data!$D$11:$L$11,Data!$D$9:$L$9,"",1,1),_xlfn.XLOOKUP(G10,Data!$D$4:$L$4,Data!$D$2:$L$2,"",1,1)))</f>
        <v>PB2</v>
      </c>
      <c r="L10" s="160" t="str" cm="1">
        <f t="array" ref="L10">IFERROR(_xlfn.IFNA(
                      _xlfn.IFS(
                      G10="", "",
                      G10=0, "",
                      AND(E10="U12B",G10&lt;=Data!$M$4), "U12 Boys record",
                      AND(E10="U12G",G10&lt;=Data!$M$11), "U12 Girls record"
                       ),""), "")</f>
        <v/>
      </c>
      <c r="M10" s="18" cm="1">
        <f t="array" ref="M10">_xlfn.IFS(OR($G10="",$G10=0),0, AND(NOT(ISNUMBER($G10)),LOWER($G10)&lt;&gt;"dnf"),"Not a valid time",OR(LOWER($G10)="dnf",$G10&gt;ScoringTable!$N$161),1,RIGHT($E10,1)="B",_xlfn.XLOOKUP($G10,ScoringTable!$N$2:$N$161,ScoringTable!$L$2:$L$161,,1),TRUE,_xlfn.XLOOKUP($G10,ScoringTable!$T$2:$T$161,ScoringTable!$R$2:$R$161,,1))</f>
        <v>47</v>
      </c>
      <c r="N10" s="18"/>
      <c r="P10" s="3"/>
      <c r="Q10" s="117">
        <f t="shared" si="0"/>
        <v>136.5</v>
      </c>
      <c r="R10" s="118">
        <f t="shared" si="1"/>
        <v>2.2749999999999999</v>
      </c>
      <c r="S10" s="119">
        <f t="shared" si="2"/>
        <v>2</v>
      </c>
      <c r="T10" s="118">
        <f t="shared" si="3"/>
        <v>16.5</v>
      </c>
      <c r="U10" s="120">
        <f t="shared" si="4"/>
        <v>2.165</v>
      </c>
      <c r="V10" s="3"/>
      <c r="W10" s="3"/>
      <c r="X10" s="3"/>
    </row>
    <row r="11" spans="1:24" s="7" customFormat="1" ht="16.05" customHeight="1">
      <c r="A11" s="113" t="s">
        <v>95</v>
      </c>
      <c r="B11" s="114" t="str">
        <f>IF(ISNA(VLOOKUP($F11,Declarations!B$6:C$185,2,FALSE)),"",IF(VLOOKUP($F11,Declarations!B$6:C$185,2,FALSE)="","NOT DECLARED",IF(ISNA(_xlfn.TEXTBEFORE(VLOOKUP($F11,Declarations!B$6:C$185,2,FALSE)," ")),VLOOKUP($F11,Declarations!B$6:C$185,2,FALSE),_xlfn.TEXTBEFORE(VLOOKUP($F11,Declarations!B$6:C$185,2,FALSE)," "))))</f>
        <v>ISLA</v>
      </c>
      <c r="C11" s="114" t="str">
        <f>IF(ISNA(VLOOKUP($F11,Declarations!B$6:C$185,2,FALSE)),"",IF(VLOOKUP($F11,Declarations!B$6:C$185,2,FALSE)="","NOT DECLARED",IF(ISNA(_xlfn.TEXTAFTER(VLOOKUP($F11,Declarations!B$6:C$185,2,FALSE)," ")),VLOOKUP($F11,Declarations!B$6:C$185,2,FALSE),_xlfn.TEXTAFTER(VLOOKUP($F11,Declarations!B$6:C$185,2,FALSE)," "))))</f>
        <v>HOBBINS</v>
      </c>
      <c r="D11" s="114" t="str">
        <f>IF(ISNA(VLOOKUP($F11,Declarations!$B$6:$F$185,5,FALSE)),"",IF(VLOOKUP($F11,Declarations!$B$6:$F$185,5,FALSE)="","NOT DECLARED",VLOOKUP($F11,Declarations!$B$6:$F$185,5,FALSE)))</f>
        <v>Basingstoke &amp; Mid Hants AC</v>
      </c>
      <c r="E11" s="112" t="str">
        <f>IF(ISNA(VLOOKUP($F11,Declarations!$B$6:$D$185,3,FALSE)),"",IF(VLOOKUP($F11,Declarations!$B$6:$D$185,3,FALSE)="","NOT DECLARED",VLOOKUP($F11,Declarations!$B$6:$D$185,3,FALSE)&amp;LEFT(VLOOKUP($F11,Declarations!$B$6:$E$185,4,FALSE))))</f>
        <v>U12G</v>
      </c>
      <c r="F11" s="58">
        <v>103</v>
      </c>
      <c r="G11" s="115">
        <v>1.5879629629629629E-3</v>
      </c>
      <c r="H11" s="281"/>
      <c r="I11" s="114" t="str">
        <f>IF(ISNA(VLOOKUP(F11,Declarations!B$6:C$185,2,FALSE)),"",IF(VLOOKUP(F11,Declarations!B$6:C$185,2,FALSE)="","NOT DECLARED",VLOOKUP(F11,Declarations!B$6:C$185,2,FALSE)))</f>
        <v>ISLA HOBBINS</v>
      </c>
      <c r="J11" s="116">
        <f>IF(LOWER(G11)="dnf",1,IF(U11&lt;ScoringTable!C$3,ScoringTable!I$2,VLOOKUP((1000-U11),ScoringTable!H$2:I$95,2)))</f>
        <v>52</v>
      </c>
      <c r="K11" s="112" t="str">
        <f>IF(OR(E11="",G11=""),"",IF(RIGHT(E11,1)="G",_xlfn.XLOOKUP(G11,Data!$D$11:$L$11,Data!$D$9:$L$9,"",1,1),_xlfn.XLOOKUP(G11,Data!$D$4:$L$4,Data!$D$2:$L$2,"",1,1)))</f>
        <v>PB2</v>
      </c>
      <c r="L11" s="160" t="str" cm="1">
        <f t="array" ref="L11">IFERROR(_xlfn.IFNA(
                      _xlfn.IFS(
                      G11="", "",
                      G11=0, "",
                      AND(E11="U12B",G11&lt;=Data!$M$4), "U12 Boys record",
                      AND(E11="U12G",G11&lt;=Data!$M$11), "U12 Girls record"
                       ),""), "")</f>
        <v/>
      </c>
      <c r="M11" s="18" cm="1">
        <f t="array" ref="M11">_xlfn.IFS(OR($G11="",$G11=0),0, AND(NOT(ISNUMBER($G11)),LOWER($G11)&lt;&gt;"dnf"),"Not a valid time",OR(LOWER($G11)="dnf",$G11&gt;ScoringTable!$N$161),1,RIGHT($E11,1)="B",_xlfn.XLOOKUP($G11,ScoringTable!$N$2:$N$161,ScoringTable!$L$2:$L$161,,1),TRUE,_xlfn.XLOOKUP($G11,ScoringTable!$T$2:$T$161,ScoringTable!$R$2:$R$161,,1))</f>
        <v>45</v>
      </c>
      <c r="N11" s="18"/>
      <c r="P11" s="3"/>
      <c r="Q11" s="117">
        <f t="shared" si="0"/>
        <v>137.19999999999999</v>
      </c>
      <c r="R11" s="118">
        <f t="shared" si="1"/>
        <v>2.2866666666666666</v>
      </c>
      <c r="S11" s="119">
        <f t="shared" si="2"/>
        <v>2</v>
      </c>
      <c r="T11" s="118">
        <f t="shared" si="3"/>
        <v>17.199999999999989</v>
      </c>
      <c r="U11" s="120">
        <f t="shared" si="4"/>
        <v>2.1719999999999997</v>
      </c>
      <c r="V11" s="3"/>
      <c r="W11" s="3"/>
      <c r="X11" s="3"/>
    </row>
    <row r="12" spans="1:24" s="7" customFormat="1" ht="16.05" customHeight="1">
      <c r="A12" s="113" t="s">
        <v>95</v>
      </c>
      <c r="B12" s="114" t="str">
        <f>IF(ISNA(VLOOKUP($F12,Declarations!B$6:C$185,2,FALSE)),"",IF(VLOOKUP($F12,Declarations!B$6:C$185,2,FALSE)="","NOT DECLARED",IF(ISNA(_xlfn.TEXTBEFORE(VLOOKUP($F12,Declarations!B$6:C$185,2,FALSE)," ")),VLOOKUP($F12,Declarations!B$6:C$185,2,FALSE),_xlfn.TEXTBEFORE(VLOOKUP($F12,Declarations!B$6:C$185,2,FALSE)," "))))</f>
        <v>JOSEPHINE</v>
      </c>
      <c r="C12" s="114" t="str">
        <f>IF(ISNA(VLOOKUP($F12,Declarations!B$6:C$185,2,FALSE)),"",IF(VLOOKUP($F12,Declarations!B$6:C$185,2,FALSE)="","NOT DECLARED",IF(ISNA(_xlfn.TEXTAFTER(VLOOKUP($F12,Declarations!B$6:C$185,2,FALSE)," ")),VLOOKUP($F12,Declarations!B$6:C$185,2,FALSE),_xlfn.TEXTAFTER(VLOOKUP($F12,Declarations!B$6:C$185,2,FALSE)," "))))</f>
        <v>HARPER</v>
      </c>
      <c r="D12" s="114" t="str">
        <f>IF(ISNA(VLOOKUP($F12,Declarations!$B$6:$F$185,5,FALSE)),"",IF(VLOOKUP($F12,Declarations!$B$6:$F$185,5,FALSE)="","NOT DECLARED",VLOOKUP($F12,Declarations!$B$6:$F$185,5,FALSE)))</f>
        <v>Fleet &amp; Crookham AC</v>
      </c>
      <c r="E12" s="112" t="str">
        <f>IF(ISNA(VLOOKUP($F12,Declarations!$B$6:$D$185,3,FALSE)),"",IF(VLOOKUP($F12,Declarations!$B$6:$D$185,3,FALSE)="","NOT DECLARED",VLOOKUP($F12,Declarations!$B$6:$D$185,3,FALSE)&amp;LEFT(VLOOKUP($F12,Declarations!$B$6:$E$185,4,FALSE))))</f>
        <v>U12G</v>
      </c>
      <c r="F12" s="58">
        <v>70</v>
      </c>
      <c r="G12" s="115">
        <v>1.6018518518518519E-3</v>
      </c>
      <c r="H12" s="281"/>
      <c r="I12" s="114" t="str">
        <f>IF(ISNA(VLOOKUP(F12,Declarations!B$6:C$185,2,FALSE)),"",IF(VLOOKUP(F12,Declarations!B$6:C$185,2,FALSE)="","NOT DECLARED",VLOOKUP(F12,Declarations!B$6:C$185,2,FALSE)))</f>
        <v>JOSEPHINE HARPER</v>
      </c>
      <c r="J12" s="116">
        <f>IF(LOWER(G12)="dnf",1,IF(U12&lt;ScoringTable!C$3,ScoringTable!I$2,VLOOKUP((1000-U12),ScoringTable!H$2:I$95,2)))</f>
        <v>51</v>
      </c>
      <c r="K12" s="112" t="str">
        <f>IF(OR(E12="",G12=""),"",IF(RIGHT(E12,1)="G",_xlfn.XLOOKUP(G12,Data!$D$11:$L$11,Data!$D$9:$L$9,"",1,1),_xlfn.XLOOKUP(G12,Data!$D$4:$L$4,Data!$D$2:$L$2,"",1,1)))</f>
        <v>PB2</v>
      </c>
      <c r="L12" s="160" t="str" cm="1">
        <f t="array" ref="L12">IFERROR(_xlfn.IFNA(
                      _xlfn.IFS(
                      G12="", "",
                      G12=0, "",
                      AND(E12="U12B",G12&lt;=Data!$M$4), "U12 Boys record",
                      AND(E12="U12G",G12&lt;=Data!$M$11), "U12 Girls record"
                       ),""), "")</f>
        <v/>
      </c>
      <c r="M12" s="18" cm="1">
        <f t="array" ref="M12">_xlfn.IFS(OR($G12="",$G12=0),0, AND(NOT(ISNUMBER($G12)),LOWER($G12)&lt;&gt;"dnf"),"Not a valid time",OR(LOWER($G12)="dnf",$G12&gt;ScoringTable!$N$161),1,RIGHT($E12,1)="B",_xlfn.XLOOKUP($G12,ScoringTable!$N$2:$N$161,ScoringTable!$L$2:$L$161,,1),TRUE,_xlfn.XLOOKUP($G12,ScoringTable!$T$2:$T$161,ScoringTable!$R$2:$R$161,,1))</f>
        <v>43</v>
      </c>
      <c r="N12" s="18"/>
      <c r="P12" s="3"/>
      <c r="Q12" s="117">
        <f t="shared" si="0"/>
        <v>138.4</v>
      </c>
      <c r="R12" s="118">
        <f t="shared" si="1"/>
        <v>2.3066666666666666</v>
      </c>
      <c r="S12" s="119">
        <f t="shared" si="2"/>
        <v>2</v>
      </c>
      <c r="T12" s="118">
        <f t="shared" si="3"/>
        <v>18.400000000000006</v>
      </c>
      <c r="U12" s="120">
        <f t="shared" si="4"/>
        <v>2.1840000000000002</v>
      </c>
      <c r="V12" s="3"/>
      <c r="W12" s="3"/>
      <c r="X12" s="3"/>
    </row>
    <row r="13" spans="1:24" s="7" customFormat="1" ht="16.05" customHeight="1">
      <c r="A13" s="113" t="s">
        <v>95</v>
      </c>
      <c r="B13" s="114" t="str">
        <f>IF(ISNA(VLOOKUP($F13,Declarations!B$6:C$185,2,FALSE)),"",IF(VLOOKUP($F13,Declarations!B$6:C$185,2,FALSE)="","NOT DECLARED",IF(ISNA(_xlfn.TEXTBEFORE(VLOOKUP($F13,Declarations!B$6:C$185,2,FALSE)," ")),VLOOKUP($F13,Declarations!B$6:C$185,2,FALSE),_xlfn.TEXTBEFORE(VLOOKUP($F13,Declarations!B$6:C$185,2,FALSE)," "))))</f>
        <v>LILY</v>
      </c>
      <c r="C13" s="114" t="str">
        <f>IF(ISNA(VLOOKUP($F13,Declarations!B$6:C$185,2,FALSE)),"",IF(VLOOKUP($F13,Declarations!B$6:C$185,2,FALSE)="","NOT DECLARED",IF(ISNA(_xlfn.TEXTAFTER(VLOOKUP($F13,Declarations!B$6:C$185,2,FALSE)," ")),VLOOKUP($F13,Declarations!B$6:C$185,2,FALSE),_xlfn.TEXTAFTER(VLOOKUP($F13,Declarations!B$6:C$185,2,FALSE)," "))))</f>
        <v>COPP</v>
      </c>
      <c r="D13" s="114" t="str">
        <f>IF(ISNA(VLOOKUP($F13,Declarations!$B$6:$F$185,5,FALSE)),"",IF(VLOOKUP($F13,Declarations!$B$6:$F$185,5,FALSE)="","NOT DECLARED",VLOOKUP($F13,Declarations!$B$6:$F$185,5,FALSE)))</f>
        <v>Woking AC</v>
      </c>
      <c r="E13" s="112" t="str">
        <f>IF(ISNA(VLOOKUP($F13,Declarations!$B$6:$D$185,3,FALSE)),"",IF(VLOOKUP($F13,Declarations!$B$6:$D$185,3,FALSE)="","NOT DECLARED",VLOOKUP($F13,Declarations!$B$6:$D$185,3,FALSE)&amp;LEFT(VLOOKUP($F13,Declarations!$B$6:$E$185,4,FALSE))))</f>
        <v>U12G</v>
      </c>
      <c r="F13" s="58">
        <v>25</v>
      </c>
      <c r="G13" s="115">
        <v>1.6064814814814815E-3</v>
      </c>
      <c r="H13" s="281"/>
      <c r="I13" s="114" t="str">
        <f>IF(ISNA(VLOOKUP(F13,Declarations!B$6:C$185,2,FALSE)),"",IF(VLOOKUP(F13,Declarations!B$6:C$185,2,FALSE)="","NOT DECLARED",VLOOKUP(F13,Declarations!B$6:C$185,2,FALSE)))</f>
        <v>LILY COPP</v>
      </c>
      <c r="J13" s="116">
        <f>IF(LOWER(G13)="dnf",1,IF(U13&lt;ScoringTable!C$3,ScoringTable!I$2,VLOOKUP((1000-U13),ScoringTable!H$2:I$95,2)))</f>
        <v>51</v>
      </c>
      <c r="K13" s="112" t="str">
        <f>IF(OR(E13="",G13=""),"",IF(RIGHT(E13,1)="G",_xlfn.XLOOKUP(G13,Data!$D$11:$L$11,Data!$D$9:$L$9,"",1,1),_xlfn.XLOOKUP(G13,Data!$D$4:$L$4,Data!$D$2:$L$2,"",1,1)))</f>
        <v>PB2</v>
      </c>
      <c r="L13" s="160" t="str" cm="1">
        <f t="array" ref="L13">IFERROR(_xlfn.IFNA(
                      _xlfn.IFS(
                      G13="", "",
                      G13=0, "",
                      AND(E13="U12B",G13&lt;=Data!$M$4), "U12 Boys record",
                      AND(E13="U12G",G13&lt;=Data!$M$11), "U12 Girls record"
                       ),""), "")</f>
        <v/>
      </c>
      <c r="M13" s="18" cm="1">
        <f t="array" ref="M13">_xlfn.IFS(OR($G13="",$G13=0),0, AND(NOT(ISNUMBER($G13)),LOWER($G13)&lt;&gt;"dnf"),"Not a valid time",OR(LOWER($G13)="dnf",$G13&gt;ScoringTable!$N$161),1,RIGHT($E13,1)="B",_xlfn.XLOOKUP($G13,ScoringTable!$N$2:$N$161,ScoringTable!$L$2:$L$161,,1),TRUE,_xlfn.XLOOKUP($G13,ScoringTable!$T$2:$T$161,ScoringTable!$R$2:$R$161,,1))</f>
        <v>42</v>
      </c>
      <c r="N13" s="18"/>
      <c r="P13" s="3"/>
      <c r="Q13" s="117">
        <f t="shared" si="0"/>
        <v>138.80000000000001</v>
      </c>
      <c r="R13" s="118">
        <f t="shared" si="1"/>
        <v>2.3133333333333335</v>
      </c>
      <c r="S13" s="119">
        <f t="shared" si="2"/>
        <v>2</v>
      </c>
      <c r="T13" s="118">
        <f t="shared" si="3"/>
        <v>18.800000000000011</v>
      </c>
      <c r="U13" s="120">
        <f t="shared" si="4"/>
        <v>2.1880000000000002</v>
      </c>
      <c r="V13" s="3"/>
      <c r="W13" s="3"/>
      <c r="X13" s="3"/>
    </row>
    <row r="14" spans="1:24" s="7" customFormat="1" ht="16.05" customHeight="1">
      <c r="A14" s="113" t="s">
        <v>95</v>
      </c>
      <c r="B14" s="114" t="str">
        <f>IF(ISNA(VLOOKUP($F14,Declarations!B$6:C$185,2,FALSE)),"",IF(VLOOKUP($F14,Declarations!B$6:C$185,2,FALSE)="","NOT DECLARED",IF(ISNA(_xlfn.TEXTBEFORE(VLOOKUP($F14,Declarations!B$6:C$185,2,FALSE)," ")),VLOOKUP($F14,Declarations!B$6:C$185,2,FALSE),_xlfn.TEXTBEFORE(VLOOKUP($F14,Declarations!B$6:C$185,2,FALSE)," "))))</f>
        <v>CHLOE</v>
      </c>
      <c r="C14" s="114" t="str">
        <f>IF(ISNA(VLOOKUP($F14,Declarations!B$6:C$185,2,FALSE)),"",IF(VLOOKUP($F14,Declarations!B$6:C$185,2,FALSE)="","NOT DECLARED",IF(ISNA(_xlfn.TEXTAFTER(VLOOKUP($F14,Declarations!B$6:C$185,2,FALSE)," ")),VLOOKUP($F14,Declarations!B$6:C$185,2,FALSE),_xlfn.TEXTAFTER(VLOOKUP($F14,Declarations!B$6:C$185,2,FALSE)," "))))</f>
        <v>HARRISON</v>
      </c>
      <c r="D14" s="114" t="str">
        <f>IF(ISNA(VLOOKUP($F14,Declarations!$B$6:$F$185,5,FALSE)),"",IF(VLOOKUP($F14,Declarations!$B$6:$F$185,5,FALSE)="","NOT DECLARED",VLOOKUP($F14,Declarations!$B$6:$F$185,5,FALSE)))</f>
        <v>Camberley &amp; District AC</v>
      </c>
      <c r="E14" s="112" t="str">
        <f>IF(ISNA(VLOOKUP($F14,Declarations!$B$6:$D$185,3,FALSE)),"",IF(VLOOKUP($F14,Declarations!$B$6:$D$185,3,FALSE)="","NOT DECLARED",VLOOKUP($F14,Declarations!$B$6:$D$185,3,FALSE)&amp;LEFT(VLOOKUP($F14,Declarations!$B$6:$E$185,4,FALSE))))</f>
        <v>U12G</v>
      </c>
      <c r="F14" s="58">
        <v>8</v>
      </c>
      <c r="G14" s="115">
        <v>1.6111111111111109E-3</v>
      </c>
      <c r="H14" s="281"/>
      <c r="I14" s="114" t="str">
        <f>IF(ISNA(VLOOKUP(F14,Declarations!B$6:C$185,2,FALSE)),"",IF(VLOOKUP(F14,Declarations!B$6:C$185,2,FALSE)="","NOT DECLARED",VLOOKUP(F14,Declarations!B$6:C$185,2,FALSE)))</f>
        <v>CHLOE HARRISON</v>
      </c>
      <c r="J14" s="116">
        <f>IF(LOWER(G14)="dnf",1,IF(U14&lt;ScoringTable!C$3,ScoringTable!I$2,VLOOKUP((1000-U14),ScoringTable!H$2:I$95,2)))</f>
        <v>50</v>
      </c>
      <c r="K14" s="112" t="str">
        <f>IF(OR(E14="",G14=""),"",IF(RIGHT(E14,1)="G",_xlfn.XLOOKUP(G14,Data!$D$11:$L$11,Data!$D$9:$L$9,"",1,1),_xlfn.XLOOKUP(G14,Data!$D$4:$L$4,Data!$D$2:$L$2,"",1,1)))</f>
        <v>PB2</v>
      </c>
      <c r="L14" s="160" t="str" cm="1">
        <f t="array" ref="L14">IFERROR(_xlfn.IFNA(
                      _xlfn.IFS(
                      G14="", "",
                      G14=0, "",
                      AND(E14="U12B",G14&lt;=Data!$M$4), "U12 Boys record",
                      AND(E14="U12G",G14&lt;=Data!$M$11), "U12 Girls record"
                       ),""), "")</f>
        <v/>
      </c>
      <c r="M14" s="18" cm="1">
        <f t="array" ref="M14">_xlfn.IFS(OR($G14="",$G14=0),0, AND(NOT(ISNUMBER($G14)),LOWER($G14)&lt;&gt;"dnf"),"Not a valid time",OR(LOWER($G14)="dnf",$G14&gt;ScoringTable!$N$161),1,RIGHT($E14,1)="B",_xlfn.XLOOKUP($G14,ScoringTable!$N$2:$N$161,ScoringTable!$L$2:$L$161,,1),TRUE,_xlfn.XLOOKUP($G14,ScoringTable!$T$2:$T$161,ScoringTable!$R$2:$R$161,,1))</f>
        <v>41</v>
      </c>
      <c r="N14" s="18"/>
      <c r="P14" s="3"/>
      <c r="Q14" s="117">
        <f t="shared" si="0"/>
        <v>139.19999999999999</v>
      </c>
      <c r="R14" s="118">
        <f t="shared" si="1"/>
        <v>2.3199999999999998</v>
      </c>
      <c r="S14" s="119">
        <f t="shared" si="2"/>
        <v>2</v>
      </c>
      <c r="T14" s="118">
        <f t="shared" si="3"/>
        <v>19.199999999999989</v>
      </c>
      <c r="U14" s="120">
        <f t="shared" si="4"/>
        <v>2.1919999999999997</v>
      </c>
      <c r="V14" s="3"/>
      <c r="W14" s="3"/>
      <c r="X14" s="3"/>
    </row>
    <row r="15" spans="1:24" s="7" customFormat="1" ht="16.05" customHeight="1">
      <c r="A15" s="113" t="s">
        <v>95</v>
      </c>
      <c r="B15" s="114" t="str">
        <f>IF(ISNA(VLOOKUP($F15,Declarations!B$6:C$185,2,FALSE)),"",IF(VLOOKUP($F15,Declarations!B$6:C$185,2,FALSE)="","NOT DECLARED",IF(ISNA(_xlfn.TEXTBEFORE(VLOOKUP($F15,Declarations!B$6:C$185,2,FALSE)," ")),VLOOKUP($F15,Declarations!B$6:C$185,2,FALSE),_xlfn.TEXTBEFORE(VLOOKUP($F15,Declarations!B$6:C$185,2,FALSE)," "))))</f>
        <v>FREYA</v>
      </c>
      <c r="C15" s="114" t="str">
        <f>IF(ISNA(VLOOKUP($F15,Declarations!B$6:C$185,2,FALSE)),"",IF(VLOOKUP($F15,Declarations!B$6:C$185,2,FALSE)="","NOT DECLARED",IF(ISNA(_xlfn.TEXTAFTER(VLOOKUP($F15,Declarations!B$6:C$185,2,FALSE)," ")),VLOOKUP($F15,Declarations!B$6:C$185,2,FALSE),_xlfn.TEXTAFTER(VLOOKUP($F15,Declarations!B$6:C$185,2,FALSE)," "))))</f>
        <v>MCKENZIE</v>
      </c>
      <c r="D15" s="114" t="str">
        <f>IF(ISNA(VLOOKUP($F15,Declarations!$B$6:$F$185,5,FALSE)),"",IF(VLOOKUP($F15,Declarations!$B$6:$F$185,5,FALSE)="","NOT DECLARED",VLOOKUP($F15,Declarations!$B$6:$F$185,5,FALSE)))</f>
        <v>Waverley Athletics Club</v>
      </c>
      <c r="E15" s="112" t="str">
        <f>IF(ISNA(VLOOKUP($F15,Declarations!$B$6:$D$185,3,FALSE)),"",IF(VLOOKUP($F15,Declarations!$B$6:$D$185,3,FALSE)="","NOT DECLARED",VLOOKUP($F15,Declarations!$B$6:$D$185,3,FALSE)&amp;LEFT(VLOOKUP($F15,Declarations!$B$6:$E$185,4,FALSE))))</f>
        <v>U12G</v>
      </c>
      <c r="F15" s="58">
        <v>84</v>
      </c>
      <c r="G15" s="115">
        <v>1.6111111111111109E-3</v>
      </c>
      <c r="H15" s="281"/>
      <c r="I15" s="114" t="str">
        <f>IF(ISNA(VLOOKUP(F15,Declarations!B$6:C$185,2,FALSE)),"",IF(VLOOKUP(F15,Declarations!B$6:C$185,2,FALSE)="","NOT DECLARED",VLOOKUP(F15,Declarations!B$6:C$185,2,FALSE)))</f>
        <v>FREYA MCKENZIE</v>
      </c>
      <c r="J15" s="116">
        <f>IF(LOWER(G15)="dnf",1,IF(U15&lt;ScoringTable!C$3,ScoringTable!I$2,VLOOKUP((1000-U15),ScoringTable!H$2:I$95,2)))</f>
        <v>50</v>
      </c>
      <c r="K15" s="112" t="str">
        <f>IF(OR(E15="",G15=""),"",IF(RIGHT(E15,1)="G",_xlfn.XLOOKUP(G15,Data!$D$11:$L$11,Data!$D$9:$L$9,"",1,1),_xlfn.XLOOKUP(G15,Data!$D$4:$L$4,Data!$D$2:$L$2,"",1,1)))</f>
        <v>PB2</v>
      </c>
      <c r="L15" s="160" t="str" cm="1">
        <f t="array" ref="L15">IFERROR(_xlfn.IFNA(
                      _xlfn.IFS(
                      G15="", "",
                      G15=0, "",
                      AND(E15="U12B",G15&lt;=Data!$M$4), "U12 Boys record",
                      AND(E15="U12G",G15&lt;=Data!$M$11), "U12 Girls record"
                       ),""), "")</f>
        <v/>
      </c>
      <c r="M15" s="18" cm="1">
        <f t="array" ref="M15">_xlfn.IFS(OR($G15="",$G15=0),0, AND(NOT(ISNUMBER($G15)),LOWER($G15)&lt;&gt;"dnf"),"Not a valid time",OR(LOWER($G15)="dnf",$G15&gt;ScoringTable!$N$161),1,RIGHT($E15,1)="B",_xlfn.XLOOKUP($G15,ScoringTable!$N$2:$N$161,ScoringTable!$L$2:$L$161,,1),TRUE,_xlfn.XLOOKUP($G15,ScoringTable!$T$2:$T$161,ScoringTable!$R$2:$R$161,,1))</f>
        <v>41</v>
      </c>
      <c r="N15" s="18"/>
      <c r="P15" s="3"/>
      <c r="Q15" s="117">
        <f t="shared" si="0"/>
        <v>139.19999999999999</v>
      </c>
      <c r="R15" s="118">
        <f t="shared" si="1"/>
        <v>2.3199999999999998</v>
      </c>
      <c r="S15" s="119">
        <f t="shared" si="2"/>
        <v>2</v>
      </c>
      <c r="T15" s="118">
        <f t="shared" si="3"/>
        <v>19.199999999999989</v>
      </c>
      <c r="U15" s="120">
        <f t="shared" si="4"/>
        <v>2.1919999999999997</v>
      </c>
      <c r="V15" s="3"/>
      <c r="W15" s="3"/>
      <c r="X15" s="3"/>
    </row>
    <row r="16" spans="1:24" s="7" customFormat="1" ht="16.05" customHeight="1">
      <c r="A16" s="113" t="s">
        <v>95</v>
      </c>
      <c r="B16" s="114" t="str">
        <f>IF(ISNA(VLOOKUP($F16,Declarations!B$6:C$185,2,FALSE)),"",IF(VLOOKUP($F16,Declarations!B$6:C$185,2,FALSE)="","NOT DECLARED",IF(ISNA(_xlfn.TEXTBEFORE(VLOOKUP($F16,Declarations!B$6:C$185,2,FALSE)," ")),VLOOKUP($F16,Declarations!B$6:C$185,2,FALSE),_xlfn.TEXTBEFORE(VLOOKUP($F16,Declarations!B$6:C$185,2,FALSE)," "))))</f>
        <v>MATILDA</v>
      </c>
      <c r="C16" s="114" t="str">
        <f>IF(ISNA(VLOOKUP($F16,Declarations!B$6:C$185,2,FALSE)),"",IF(VLOOKUP($F16,Declarations!B$6:C$185,2,FALSE)="","NOT DECLARED",IF(ISNA(_xlfn.TEXTAFTER(VLOOKUP($F16,Declarations!B$6:C$185,2,FALSE)," ")),VLOOKUP($F16,Declarations!B$6:C$185,2,FALSE),_xlfn.TEXTAFTER(VLOOKUP($F16,Declarations!B$6:C$185,2,FALSE)," "))))</f>
        <v>COATESMITH</v>
      </c>
      <c r="D16" s="114" t="str">
        <f>IF(ISNA(VLOOKUP($F16,Declarations!$B$6:$F$185,5,FALSE)),"",IF(VLOOKUP($F16,Declarations!$B$6:$F$185,5,FALSE)="","NOT DECLARED",VLOOKUP($F16,Declarations!$B$6:$F$185,5,FALSE)))</f>
        <v>Poole Runners</v>
      </c>
      <c r="E16" s="112" t="str">
        <f>IF(ISNA(VLOOKUP($F16,Declarations!$B$6:$D$185,3,FALSE)),"",IF(VLOOKUP($F16,Declarations!$B$6:$D$185,3,FALSE)="","NOT DECLARED",VLOOKUP($F16,Declarations!$B$6:$D$185,3,FALSE)&amp;LEFT(VLOOKUP($F16,Declarations!$B$6:$E$185,4,FALSE))))</f>
        <v>U12G</v>
      </c>
      <c r="F16" s="58">
        <v>48</v>
      </c>
      <c r="G16" s="115">
        <v>1.6261574074074073E-3</v>
      </c>
      <c r="H16" s="281"/>
      <c r="I16" s="114" t="str">
        <f>IF(ISNA(VLOOKUP(F16,Declarations!B$6:C$185,2,FALSE)),"",IF(VLOOKUP(F16,Declarations!B$6:C$185,2,FALSE)="","NOT DECLARED",VLOOKUP(F16,Declarations!B$6:C$185,2,FALSE)))</f>
        <v>MATILDA COATESMITH</v>
      </c>
      <c r="J16" s="116">
        <f>IF(LOWER(G16)="dnf",1,IF(U16&lt;ScoringTable!C$3,ScoringTable!I$2,VLOOKUP((1000-U16),ScoringTable!H$2:I$95,2)))</f>
        <v>49</v>
      </c>
      <c r="K16" s="112" t="str">
        <f>IF(OR(E16="",G16=""),"",IF(RIGHT(E16,1)="G",_xlfn.XLOOKUP(G16,Data!$D$11:$L$11,Data!$D$9:$L$9,"",1,1),_xlfn.XLOOKUP(G16,Data!$D$4:$L$4,Data!$D$2:$L$2,"",1,1)))</f>
        <v>PB2</v>
      </c>
      <c r="L16" s="160" t="str" cm="1">
        <f t="array" ref="L16">IFERROR(_xlfn.IFNA(
                      _xlfn.IFS(
                      G16="", "",
                      G16=0, "",
                      AND(E16="U12B",G16&lt;=Data!$M$4), "U12 Boys record",
                      AND(E16="U12G",G16&lt;=Data!$M$11), "U12 Girls record"
                       ),""), "")</f>
        <v/>
      </c>
      <c r="M16" s="18" cm="1">
        <f t="array" ref="M16">_xlfn.IFS(OR($G16="",$G16=0),0, AND(NOT(ISNUMBER($G16)),LOWER($G16)&lt;&gt;"dnf"),"Not a valid time",OR(LOWER($G16)="dnf",$G16&gt;ScoringTable!$N$161),1,RIGHT($E16,1)="B",_xlfn.XLOOKUP($G16,ScoringTable!$N$2:$N$161,ScoringTable!$L$2:$L$161,,1),TRUE,_xlfn.XLOOKUP($G16,ScoringTable!$T$2:$T$161,ScoringTable!$R$2:$R$161,,1))</f>
        <v>39</v>
      </c>
      <c r="N16" s="18"/>
      <c r="P16" s="3"/>
      <c r="Q16" s="117">
        <f t="shared" si="0"/>
        <v>140.5</v>
      </c>
      <c r="R16" s="118">
        <f t="shared" si="1"/>
        <v>2.3416666666666668</v>
      </c>
      <c r="S16" s="119">
        <f t="shared" si="2"/>
        <v>2</v>
      </c>
      <c r="T16" s="118">
        <f t="shared" si="3"/>
        <v>20.5</v>
      </c>
      <c r="U16" s="120">
        <f t="shared" si="4"/>
        <v>2.2050000000000001</v>
      </c>
      <c r="V16" s="3"/>
      <c r="W16" s="3"/>
      <c r="X16" s="3"/>
    </row>
    <row r="17" spans="1:24" s="7" customFormat="1" ht="16.05" customHeight="1">
      <c r="A17" s="113" t="s">
        <v>95</v>
      </c>
      <c r="B17" s="114" t="str">
        <f>IF(ISNA(VLOOKUP($F17,Declarations!B$6:C$185,2,FALSE)),"",IF(VLOOKUP($F17,Declarations!B$6:C$185,2,FALSE)="","NOT DECLARED",IF(ISNA(_xlfn.TEXTBEFORE(VLOOKUP($F17,Declarations!B$6:C$185,2,FALSE)," ")),VLOOKUP($F17,Declarations!B$6:C$185,2,FALSE),_xlfn.TEXTBEFORE(VLOOKUP($F17,Declarations!B$6:C$185,2,FALSE)," "))))</f>
        <v>POPPY</v>
      </c>
      <c r="C17" s="114" t="str">
        <f>IF(ISNA(VLOOKUP($F17,Declarations!B$6:C$185,2,FALSE)),"",IF(VLOOKUP($F17,Declarations!B$6:C$185,2,FALSE)="","NOT DECLARED",IF(ISNA(_xlfn.TEXTAFTER(VLOOKUP($F17,Declarations!B$6:C$185,2,FALSE)," ")),VLOOKUP($F17,Declarations!B$6:C$185,2,FALSE),_xlfn.TEXTAFTER(VLOOKUP($F17,Declarations!B$6:C$185,2,FALSE)," "))))</f>
        <v>READ</v>
      </c>
      <c r="D17" s="114" t="str">
        <f>IF(ISNA(VLOOKUP($F17,Declarations!$B$6:$F$185,5,FALSE)),"",IF(VLOOKUP($F17,Declarations!$B$6:$F$185,5,FALSE)="","NOT DECLARED",VLOOKUP($F17,Declarations!$B$6:$F$185,5,FALSE)))</f>
        <v>Camberley &amp; District AC</v>
      </c>
      <c r="E17" s="112" t="str">
        <f>IF(ISNA(VLOOKUP($F17,Declarations!$B$6:$D$185,3,FALSE)),"",IF(VLOOKUP($F17,Declarations!$B$6:$D$185,3,FALSE)="","NOT DECLARED",VLOOKUP($F17,Declarations!$B$6:$D$185,3,FALSE)&amp;LEFT(VLOOKUP($F17,Declarations!$B$6:$E$185,4,FALSE))))</f>
        <v>U12G</v>
      </c>
      <c r="F17" s="58">
        <v>2</v>
      </c>
      <c r="G17" s="115">
        <v>1.6909722222222222E-3</v>
      </c>
      <c r="H17" s="281"/>
      <c r="I17" s="114" t="str">
        <f>IF(ISNA(VLOOKUP(F17,Declarations!B$6:C$185,2,FALSE)),"",IF(VLOOKUP(F17,Declarations!B$6:C$185,2,FALSE)="","NOT DECLARED",VLOOKUP(F17,Declarations!B$6:C$185,2,FALSE)))</f>
        <v>POPPY READ</v>
      </c>
      <c r="J17" s="116">
        <f>IF(LOWER(G17)="dnf",1,IF(U17&lt;ScoringTable!C$3,ScoringTable!I$2,VLOOKUP((1000-U17),ScoringTable!H$2:I$95,2)))</f>
        <v>43</v>
      </c>
      <c r="K17" s="112" t="str">
        <f>IF(OR(E17="",G17=""),"",IF(RIGHT(E17,1)="G",_xlfn.XLOOKUP(G17,Data!$D$11:$L$11,Data!$D$9:$L$9,"",1,1),_xlfn.XLOOKUP(G17,Data!$D$4:$L$4,Data!$D$2:$L$2,"",1,1)))</f>
        <v>PB1</v>
      </c>
      <c r="L17" s="160" t="str" cm="1">
        <f t="array" ref="L17">IFERROR(_xlfn.IFNA(
                      _xlfn.IFS(
                      G17="", "",
                      G17=0, "",
                      AND(E17="U12B",G17&lt;=Data!$M$4), "U12 Boys record",
                      AND(E17="U12G",G17&lt;=Data!$M$11), "U12 Girls record"
                       ),""), "")</f>
        <v/>
      </c>
      <c r="M17" s="18" cm="1">
        <f t="array" ref="M17">_xlfn.IFS(OR($G17="",$G17=0),0, AND(NOT(ISNUMBER($G17)),LOWER($G17)&lt;&gt;"dnf"),"Not a valid time",OR(LOWER($G17)="dnf",$G17&gt;ScoringTable!$N$161),1,RIGHT($E17,1)="B",_xlfn.XLOOKUP($G17,ScoringTable!$N$2:$N$161,ScoringTable!$L$2:$L$161,,1),TRUE,_xlfn.XLOOKUP($G17,ScoringTable!$T$2:$T$161,ScoringTable!$R$2:$R$161,,1))</f>
        <v>28</v>
      </c>
      <c r="N17" s="18"/>
      <c r="P17" s="3"/>
      <c r="Q17" s="117">
        <f t="shared" si="0"/>
        <v>146.1</v>
      </c>
      <c r="R17" s="118">
        <f t="shared" si="1"/>
        <v>2.4350000000000001</v>
      </c>
      <c r="S17" s="119">
        <f t="shared" si="2"/>
        <v>2</v>
      </c>
      <c r="T17" s="118">
        <f t="shared" si="3"/>
        <v>26.099999999999994</v>
      </c>
      <c r="U17" s="120">
        <f t="shared" si="4"/>
        <v>2.2610000000000001</v>
      </c>
      <c r="V17" s="3"/>
      <c r="W17" s="3"/>
      <c r="X17" s="3"/>
    </row>
    <row r="18" spans="1:24" s="7" customFormat="1" ht="16.05" customHeight="1">
      <c r="A18" s="113" t="s">
        <v>95</v>
      </c>
      <c r="B18" s="114" t="str">
        <f>IF(ISNA(VLOOKUP($F18,Declarations!B$6:C$185,2,FALSE)),"",IF(VLOOKUP($F18,Declarations!B$6:C$185,2,FALSE)="","NOT DECLARED",IF(ISNA(_xlfn.TEXTBEFORE(VLOOKUP($F18,Declarations!B$6:C$185,2,FALSE)," ")),VLOOKUP($F18,Declarations!B$6:C$185,2,FALSE),_xlfn.TEXTBEFORE(VLOOKUP($F18,Declarations!B$6:C$185,2,FALSE)," "))))</f>
        <v>ROSE</v>
      </c>
      <c r="C18" s="114" t="str">
        <f>IF(ISNA(VLOOKUP($F18,Declarations!B$6:C$185,2,FALSE)),"",IF(VLOOKUP($F18,Declarations!B$6:C$185,2,FALSE)="","NOT DECLARED",IF(ISNA(_xlfn.TEXTAFTER(VLOOKUP($F18,Declarations!B$6:C$185,2,FALSE)," ")),VLOOKUP($F18,Declarations!B$6:C$185,2,FALSE),_xlfn.TEXTAFTER(VLOOKUP($F18,Declarations!B$6:C$185,2,FALSE)," "))))</f>
        <v>NEIL</v>
      </c>
      <c r="D18" s="114" t="str">
        <f>IF(ISNA(VLOOKUP($F18,Declarations!$B$6:$F$185,5,FALSE)),"",IF(VLOOKUP($F18,Declarations!$B$6:$F$185,5,FALSE)="","NOT DECLARED",VLOOKUP($F18,Declarations!$B$6:$F$185,5,FALSE)))</f>
        <v>Poole Runners</v>
      </c>
      <c r="E18" s="112" t="str">
        <f>IF(ISNA(VLOOKUP($F18,Declarations!$B$6:$D$185,3,FALSE)),"",IF(VLOOKUP($F18,Declarations!$B$6:$D$185,3,FALSE)="","NOT DECLARED",VLOOKUP($F18,Declarations!$B$6:$D$185,3,FALSE)&amp;LEFT(VLOOKUP($F18,Declarations!$B$6:$E$185,4,FALSE))))</f>
        <v>U12G</v>
      </c>
      <c r="F18" s="58">
        <v>42</v>
      </c>
      <c r="G18" s="115">
        <v>1.7083333333333332E-3</v>
      </c>
      <c r="H18" s="281"/>
      <c r="I18" s="114" t="str">
        <f>IF(ISNA(VLOOKUP(F18,Declarations!B$6:C$185,2,FALSE)),"",IF(VLOOKUP(F18,Declarations!B$6:C$185,2,FALSE)="","NOT DECLARED",VLOOKUP(F18,Declarations!B$6:C$185,2,FALSE)))</f>
        <v>ROSE NEIL</v>
      </c>
      <c r="J18" s="116">
        <f>IF(LOWER(G18)="dnf",1,IF(U18&lt;ScoringTable!C$3,ScoringTable!I$2,VLOOKUP((1000-U18),ScoringTable!H$2:I$95,2)))</f>
        <v>42</v>
      </c>
      <c r="K18" s="112" t="str">
        <f>IF(OR(E18="",G18=""),"",IF(RIGHT(E18,1)="G",_xlfn.XLOOKUP(G18,Data!$D$11:$L$11,Data!$D$9:$L$9,"",1,1),_xlfn.XLOOKUP(G18,Data!$D$4:$L$4,Data!$D$2:$L$2,"",1,1)))</f>
        <v>PB1</v>
      </c>
      <c r="L18" s="160" t="str" cm="1">
        <f t="array" ref="L18">IFERROR(_xlfn.IFNA(
                      _xlfn.IFS(
                      G18="", "",
                      G18=0, "",
                      AND(E18="U12B",G18&lt;=Data!$M$4), "U12 Boys record",
                      AND(E18="U12G",G18&lt;=Data!$M$11), "U12 Girls record"
                       ),""), "")</f>
        <v/>
      </c>
      <c r="M18" s="18" cm="1">
        <f t="array" ref="M18">_xlfn.IFS(OR($G18="",$G18=0),0, AND(NOT(ISNUMBER($G18)),LOWER($G18)&lt;&gt;"dnf"),"Not a valid time",OR(LOWER($G18)="dnf",$G18&gt;ScoringTable!$N$161),1,RIGHT($E18,1)="B",_xlfn.XLOOKUP($G18,ScoringTable!$N$2:$N$161,ScoringTable!$L$2:$L$161,,1),TRUE,_xlfn.XLOOKUP($G18,ScoringTable!$T$2:$T$161,ScoringTable!$R$2:$R$161,,1))</f>
        <v>27</v>
      </c>
      <c r="N18" s="18"/>
      <c r="P18" s="3"/>
      <c r="Q18" s="117">
        <f t="shared" si="0"/>
        <v>147.6</v>
      </c>
      <c r="R18" s="118">
        <f t="shared" si="1"/>
        <v>2.46</v>
      </c>
      <c r="S18" s="119">
        <f t="shared" si="2"/>
        <v>2</v>
      </c>
      <c r="T18" s="118">
        <f t="shared" si="3"/>
        <v>27.599999999999994</v>
      </c>
      <c r="U18" s="120">
        <f t="shared" si="4"/>
        <v>2.2759999999999998</v>
      </c>
      <c r="V18" s="3"/>
      <c r="W18" s="3"/>
      <c r="X18" s="3"/>
    </row>
    <row r="19" spans="1:24" s="7" customFormat="1" ht="16.05" customHeight="1">
      <c r="A19" s="113" t="s">
        <v>95</v>
      </c>
      <c r="B19" s="114" t="str">
        <f>IF(ISNA(VLOOKUP($F19,Declarations!B$6:C$185,2,FALSE)),"",IF(VLOOKUP($F19,Declarations!B$6:C$185,2,FALSE)="","NOT DECLARED",IF(ISNA(_xlfn.TEXTBEFORE(VLOOKUP($F19,Declarations!B$6:C$185,2,FALSE)," ")),VLOOKUP($F19,Declarations!B$6:C$185,2,FALSE),_xlfn.TEXTBEFORE(VLOOKUP($F19,Declarations!B$6:C$185,2,FALSE)," "))))</f>
        <v>FRANKIE</v>
      </c>
      <c r="C19" s="114" t="str">
        <f>IF(ISNA(VLOOKUP($F19,Declarations!B$6:C$185,2,FALSE)),"",IF(VLOOKUP($F19,Declarations!B$6:C$185,2,FALSE)="","NOT DECLARED",IF(ISNA(_xlfn.TEXTAFTER(VLOOKUP($F19,Declarations!B$6:C$185,2,FALSE)," ")),VLOOKUP($F19,Declarations!B$6:C$185,2,FALSE),_xlfn.TEXTAFTER(VLOOKUP($F19,Declarations!B$6:C$185,2,FALSE)," "))))</f>
        <v>ICETON</v>
      </c>
      <c r="D19" s="114" t="str">
        <f>IF(ISNA(VLOOKUP($F19,Declarations!$B$6:$F$185,5,FALSE)),"",IF(VLOOKUP($F19,Declarations!$B$6:$F$185,5,FALSE)="","NOT DECLARED",VLOOKUP($F19,Declarations!$B$6:$F$185,5,FALSE)))</f>
        <v>Woking AC</v>
      </c>
      <c r="E19" s="112" t="str">
        <f>IF(ISNA(VLOOKUP($F19,Declarations!$B$6:$D$185,3,FALSE)),"",IF(VLOOKUP($F19,Declarations!$B$6:$D$185,3,FALSE)="","NOT DECLARED",VLOOKUP($F19,Declarations!$B$6:$D$185,3,FALSE)&amp;LEFT(VLOOKUP($F19,Declarations!$B$6:$E$185,4,FALSE))))</f>
        <v>U12G</v>
      </c>
      <c r="F19" s="58">
        <v>22</v>
      </c>
      <c r="G19" s="115">
        <v>1.8333333333333333E-3</v>
      </c>
      <c r="H19" s="281"/>
      <c r="I19" s="114" t="str">
        <f>IF(ISNA(VLOOKUP(F19,Declarations!B$6:C$185,2,FALSE)),"",IF(VLOOKUP(F19,Declarations!B$6:C$185,2,FALSE)="","NOT DECLARED",VLOOKUP(F19,Declarations!B$6:C$185,2,FALSE)))</f>
        <v>FRANKIE ICETON</v>
      </c>
      <c r="J19" s="116">
        <f>IF(LOWER(G19)="dnf",1,IF(U19&lt;ScoringTable!C$3,ScoringTable!I$2,VLOOKUP((1000-U19),ScoringTable!H$2:I$95,2)))</f>
        <v>31</v>
      </c>
      <c r="K19" s="112" t="str">
        <f>IF(OR(E19="",G19=""),"",IF(RIGHT(E19,1)="G",_xlfn.XLOOKUP(G19,Data!$D$11:$L$11,Data!$D$9:$L$9,"",1,1),_xlfn.XLOOKUP(G19,Data!$D$4:$L$4,Data!$D$2:$L$2,"",1,1)))</f>
        <v/>
      </c>
      <c r="L19" s="160" t="str" cm="1">
        <f t="array" ref="L19">IFERROR(_xlfn.IFNA(
                      _xlfn.IFS(
                      G19="", "",
                      G19=0, "",
                      AND(E19="U12B",G19&lt;=Data!$M$4), "U12 Boys record",
                      AND(E19="U12G",G19&lt;=Data!$M$11), "U12 Girls record"
                       ),""), "")</f>
        <v/>
      </c>
      <c r="M19" s="18" cm="1">
        <f t="array" ref="M19">_xlfn.IFS(OR($G19="",$G19=0),0, AND(NOT(ISNUMBER($G19)),LOWER($G19)&lt;&gt;"dnf"),"Not a valid time",OR(LOWER($G19)="dnf",$G19&gt;ScoringTable!$N$161),1,RIGHT($E19,1)="B",_xlfn.XLOOKUP($G19,ScoringTable!$N$2:$N$161,ScoringTable!$L$2:$L$161,,1),TRUE,_xlfn.XLOOKUP($G19,ScoringTable!$T$2:$T$161,ScoringTable!$R$2:$R$161,,1))</f>
        <v>18</v>
      </c>
      <c r="N19" s="18"/>
      <c r="P19" s="3"/>
      <c r="Q19" s="117">
        <f t="shared" si="0"/>
        <v>158.4</v>
      </c>
      <c r="R19" s="118">
        <f t="shared" si="1"/>
        <v>2.64</v>
      </c>
      <c r="S19" s="119">
        <f t="shared" si="2"/>
        <v>2</v>
      </c>
      <c r="T19" s="118">
        <f t="shared" si="3"/>
        <v>38.400000000000006</v>
      </c>
      <c r="U19" s="120">
        <f t="shared" si="4"/>
        <v>2.3839999999999999</v>
      </c>
      <c r="V19" s="3"/>
      <c r="W19" s="3"/>
      <c r="X19" s="3"/>
    </row>
    <row r="20" spans="1:24" s="7" customFormat="1" ht="16.05" customHeight="1">
      <c r="A20" s="113" t="s">
        <v>95</v>
      </c>
      <c r="B20" s="114" t="str">
        <f>IF(ISNA(VLOOKUP($F20,Declarations!B$6:C$185,2,FALSE)),"",IF(VLOOKUP($F20,Declarations!B$6:C$185,2,FALSE)="","NOT DECLARED",IF(ISNA(_xlfn.TEXTBEFORE(VLOOKUP($F20,Declarations!B$6:C$185,2,FALSE)," ")),VLOOKUP($F20,Declarations!B$6:C$185,2,FALSE),_xlfn.TEXTBEFORE(VLOOKUP($F20,Declarations!B$6:C$185,2,FALSE)," "))))</f>
        <v>HONEY</v>
      </c>
      <c r="C20" s="114" t="str">
        <f>IF(ISNA(VLOOKUP($F20,Declarations!B$6:C$185,2,FALSE)),"",IF(VLOOKUP($F20,Declarations!B$6:C$185,2,FALSE)="","NOT DECLARED",IF(ISNA(_xlfn.TEXTAFTER(VLOOKUP($F20,Declarations!B$6:C$185,2,FALSE)," ")),VLOOKUP($F20,Declarations!B$6:C$185,2,FALSE),_xlfn.TEXTAFTER(VLOOKUP($F20,Declarations!B$6:C$185,2,FALSE)," "))))</f>
        <v>FLINT</v>
      </c>
      <c r="D20" s="114" t="str">
        <f>IF(ISNA(VLOOKUP($F20,Declarations!$B$6:$F$185,5,FALSE)),"",IF(VLOOKUP($F20,Declarations!$B$6:$F$185,5,FALSE)="","NOT DECLARED",VLOOKUP($F20,Declarations!$B$6:$F$185,5,FALSE)))</f>
        <v>Fleet &amp; Crookham AC</v>
      </c>
      <c r="E20" s="112" t="str">
        <f>IF(ISNA(VLOOKUP($F20,Declarations!$B$6:$D$185,3,FALSE)),"",IF(VLOOKUP($F20,Declarations!$B$6:$D$185,3,FALSE)="","NOT DECLARED",VLOOKUP($F20,Declarations!$B$6:$D$185,3,FALSE)&amp;LEFT(VLOOKUP($F20,Declarations!$B$6:$E$185,4,FALSE))))</f>
        <v>U12G</v>
      </c>
      <c r="F20" s="58">
        <v>65</v>
      </c>
      <c r="G20" s="115">
        <v>1.8726851851851853E-3</v>
      </c>
      <c r="H20" s="281"/>
      <c r="I20" s="114" t="str">
        <f>IF(ISNA(VLOOKUP(F20,Declarations!B$6:C$185,2,FALSE)),"",IF(VLOOKUP(F20,Declarations!B$6:C$185,2,FALSE)="","NOT DECLARED",VLOOKUP(F20,Declarations!B$6:C$185,2,FALSE)))</f>
        <v>HONEY FLINT</v>
      </c>
      <c r="J20" s="116">
        <f>IF(LOWER(G20)="dnf",1,IF(U20&lt;ScoringTable!C$3,ScoringTable!I$2,VLOOKUP((1000-U20),ScoringTable!H$2:I$95,2)))</f>
        <v>28</v>
      </c>
      <c r="K20" s="112" t="str">
        <f>IF(OR(E20="",G20=""),"",IF(RIGHT(E20,1)="G",_xlfn.XLOOKUP(G20,Data!$D$11:$L$11,Data!$D$9:$L$9,"",1,1),_xlfn.XLOOKUP(G20,Data!$D$4:$L$4,Data!$D$2:$L$2,"",1,1)))</f>
        <v/>
      </c>
      <c r="L20" s="160" t="str" cm="1">
        <f t="array" ref="L20">IFERROR(_xlfn.IFNA(
                      _xlfn.IFS(
                      G20="", "",
                      G20=0, "",
                      AND(E20="U12B",G20&lt;=Data!$M$4), "U12 Boys record",
                      AND(E20="U12G",G20&lt;=Data!$M$11), "U12 Girls record"
                       ),""), "")</f>
        <v/>
      </c>
      <c r="M20" s="18" cm="1">
        <f t="array" ref="M20">_xlfn.IFS(OR($G20="",$G20=0),0, AND(NOT(ISNUMBER($G20)),LOWER($G20)&lt;&gt;"dnf"),"Not a valid time",OR(LOWER($G20)="dnf",$G20&gt;ScoringTable!$N$161),1,RIGHT($E20,1)="B",_xlfn.XLOOKUP($G20,ScoringTable!$N$2:$N$161,ScoringTable!$L$2:$L$161,,1),TRUE,_xlfn.XLOOKUP($G20,ScoringTable!$T$2:$T$161,ScoringTable!$R$2:$R$161,,1))</f>
        <v>17</v>
      </c>
      <c r="N20" s="18"/>
      <c r="Q20" s="117">
        <f t="shared" si="0"/>
        <v>161.80000000000001</v>
      </c>
      <c r="R20" s="118">
        <f t="shared" si="1"/>
        <v>2.6966666666666668</v>
      </c>
      <c r="S20" s="119">
        <f t="shared" si="2"/>
        <v>2</v>
      </c>
      <c r="T20" s="118">
        <f t="shared" si="3"/>
        <v>41.800000000000011</v>
      </c>
      <c r="U20" s="120">
        <f t="shared" si="4"/>
        <v>2.4180000000000001</v>
      </c>
      <c r="V20" s="3"/>
      <c r="W20" s="3"/>
      <c r="X20" s="3"/>
    </row>
    <row r="21" spans="1:24" s="7" customFormat="1" ht="16.05" customHeight="1">
      <c r="A21" s="113" t="s">
        <v>95</v>
      </c>
      <c r="B21" s="114" t="str">
        <f>IF(ISNA(VLOOKUP($F21,Declarations!B$6:C$185,2,FALSE)),"",IF(VLOOKUP($F21,Declarations!B$6:C$185,2,FALSE)="","NOT DECLARED",IF(ISNA(_xlfn.TEXTBEFORE(VLOOKUP($F21,Declarations!B$6:C$185,2,FALSE)," ")),VLOOKUP($F21,Declarations!B$6:C$185,2,FALSE),_xlfn.TEXTBEFORE(VLOOKUP($F21,Declarations!B$6:C$185,2,FALSE)," "))))</f>
        <v>SOPHIE</v>
      </c>
      <c r="C21" s="114" t="str">
        <f>IF(ISNA(VLOOKUP($F21,Declarations!B$6:C$185,2,FALSE)),"",IF(VLOOKUP($F21,Declarations!B$6:C$185,2,FALSE)="","NOT DECLARED",IF(ISNA(_xlfn.TEXTAFTER(VLOOKUP($F21,Declarations!B$6:C$185,2,FALSE)," ")),VLOOKUP($F21,Declarations!B$6:C$185,2,FALSE),_xlfn.TEXTAFTER(VLOOKUP($F21,Declarations!B$6:C$185,2,FALSE)," "))))</f>
        <v>HALL</v>
      </c>
      <c r="D21" s="114" t="str">
        <f>IF(ISNA(VLOOKUP($F21,Declarations!$B$6:$F$185,5,FALSE)),"",IF(VLOOKUP($F21,Declarations!$B$6:$F$185,5,FALSE)="","NOT DECLARED",VLOOKUP($F21,Declarations!$B$6:$F$185,5,FALSE)))</f>
        <v>Waverley Athletics Club</v>
      </c>
      <c r="E21" s="112" t="str">
        <f>IF(ISNA(VLOOKUP($F21,Declarations!$B$6:$D$185,3,FALSE)),"",IF(VLOOKUP($F21,Declarations!$B$6:$D$185,3,FALSE)="","NOT DECLARED",VLOOKUP($F21,Declarations!$B$6:$D$185,3,FALSE)&amp;LEFT(VLOOKUP($F21,Declarations!$B$6:$E$185,4,FALSE))))</f>
        <v>U12G</v>
      </c>
      <c r="F21" s="58">
        <v>85</v>
      </c>
      <c r="G21" s="115">
        <v>1.3298611111111111E-3</v>
      </c>
      <c r="H21" s="281"/>
      <c r="I21" s="114" t="str">
        <f>IF(ISNA(VLOOKUP(F21,Declarations!B$6:C$185,2,FALSE)),"",IF(VLOOKUP(F21,Declarations!B$6:C$185,2,FALSE)="","NOT DECLARED",VLOOKUP(F21,Declarations!B$6:C$185,2,FALSE)))</f>
        <v>SOPHIE HALL</v>
      </c>
      <c r="J21" s="116">
        <f>IF(LOWER(G21)="dnf",1,IF(U21&lt;ScoringTable!C$3,ScoringTable!I$2,VLOOKUP((1000-U21),ScoringTable!H$2:I$95,2)))</f>
        <v>75</v>
      </c>
      <c r="K21" s="112" t="str">
        <f>IF(OR(E21="",G21=""),"",IF(RIGHT(E21,1)="G",_xlfn.XLOOKUP(G21,Data!$D$11:$L$11,Data!$D$9:$L$9,"",1,1),_xlfn.XLOOKUP(G21,Data!$D$4:$L$4,Data!$D$2:$L$2,"",1,1)))</f>
        <v>PB7</v>
      </c>
      <c r="L21" s="160" t="str" cm="1">
        <f t="array" ref="L21">IFERROR(_xlfn.IFNA(
                      _xlfn.IFS(
                      G21="", "",
                      G21=0, "",
                      AND(E21="U12B",G21&lt;=Data!$M$4), "U12 Boys record",
                      AND(E21="U12G",G21&lt;=Data!$M$11), "U12 Girls record"
                       ),""), "")</f>
        <v/>
      </c>
      <c r="M21" s="18" cm="1">
        <f t="array" ref="M21">_xlfn.IFS(OR($G21="",$G21=0),0, AND(NOT(ISNUMBER($G21)),LOWER($G21)&lt;&gt;"dnf"),"Not a valid time",OR(LOWER($G21)="dnf",$G21&gt;ScoringTable!$N$161),1,RIGHT($E21,1)="B",_xlfn.XLOOKUP($G21,ScoringTable!$N$2:$N$161,ScoringTable!$L$2:$L$161,,1),TRUE,_xlfn.XLOOKUP($G21,ScoringTable!$T$2:$T$161,ScoringTable!$R$2:$R$161,,1))</f>
        <v>90</v>
      </c>
      <c r="N21" s="18"/>
      <c r="Q21" s="117">
        <f t="shared" si="0"/>
        <v>114.89999999999999</v>
      </c>
      <c r="R21" s="118">
        <f t="shared" si="1"/>
        <v>1.9149999999999998</v>
      </c>
      <c r="S21" s="119">
        <f t="shared" si="2"/>
        <v>1</v>
      </c>
      <c r="T21" s="118">
        <f t="shared" si="3"/>
        <v>54.899999999999991</v>
      </c>
      <c r="U21" s="120">
        <f t="shared" si="4"/>
        <v>1.5489999999999999</v>
      </c>
      <c r="V21" s="3"/>
      <c r="W21" s="3"/>
      <c r="X21" s="3"/>
    </row>
    <row r="22" spans="1:24" s="3" customFormat="1" ht="16.05" customHeight="1">
      <c r="A22" s="113" t="s">
        <v>95</v>
      </c>
      <c r="B22" s="114" t="str">
        <f>IF(ISNA(VLOOKUP($F22,Declarations!B$6:C$185,2,FALSE)),"",IF(VLOOKUP($F22,Declarations!B$6:C$185,2,FALSE)="","NOT DECLARED",IF(ISNA(_xlfn.TEXTBEFORE(VLOOKUP($F22,Declarations!B$6:C$185,2,FALSE)," ")),VLOOKUP($F22,Declarations!B$6:C$185,2,FALSE),_xlfn.TEXTBEFORE(VLOOKUP($F22,Declarations!B$6:C$185,2,FALSE)," "))))</f>
        <v>MARCY</v>
      </c>
      <c r="C22" s="114" t="str">
        <f>IF(ISNA(VLOOKUP($F22,Declarations!B$6:C$185,2,FALSE)),"",IF(VLOOKUP($F22,Declarations!B$6:C$185,2,FALSE)="","NOT DECLARED",IF(ISNA(_xlfn.TEXTAFTER(VLOOKUP($F22,Declarations!B$6:C$185,2,FALSE)," ")),VLOOKUP($F22,Declarations!B$6:C$185,2,FALSE),_xlfn.TEXTAFTER(VLOOKUP($F22,Declarations!B$6:C$185,2,FALSE)," "))))</f>
        <v>POWER</v>
      </c>
      <c r="D22" s="114" t="str">
        <f>IF(ISNA(VLOOKUP($F22,Declarations!$B$6:$F$185,5,FALSE)),"",IF(VLOOKUP($F22,Declarations!$B$6:$F$185,5,FALSE)="","NOT DECLARED",VLOOKUP($F22,Declarations!$B$6:$F$185,5,FALSE)))</f>
        <v>Fleet &amp; Crookham AC</v>
      </c>
      <c r="E22" s="112" t="str">
        <f>IF(ISNA(VLOOKUP($F22,Declarations!$B$6:$D$185,3,FALSE)),"",IF(VLOOKUP($F22,Declarations!$B$6:$D$185,3,FALSE)="","NOT DECLARED",VLOOKUP($F22,Declarations!$B$6:$D$185,3,FALSE)&amp;LEFT(VLOOKUP($F22,Declarations!$B$6:$E$185,4,FALSE))))</f>
        <v>U12G</v>
      </c>
      <c r="F22" s="58">
        <v>61</v>
      </c>
      <c r="G22" s="115">
        <v>1.3506944444444445E-3</v>
      </c>
      <c r="H22" s="281"/>
      <c r="I22" s="114" t="str">
        <f>IF(ISNA(VLOOKUP(F22,Declarations!B$6:C$185,2,FALSE)),"",IF(VLOOKUP(F22,Declarations!B$6:C$185,2,FALSE)="","NOT DECLARED",VLOOKUP(F22,Declarations!B$6:C$185,2,FALSE)))</f>
        <v>MARCY POWER</v>
      </c>
      <c r="J22" s="116">
        <f>IF(LOWER(G22)="dnf",1,IF(U22&lt;ScoringTable!C$3,ScoringTable!I$2,VLOOKUP((1000-U22),ScoringTable!H$2:I$95,2)))</f>
        <v>73</v>
      </c>
      <c r="K22" s="112" t="str">
        <f>IF(OR(E22="",G22=""),"",IF(RIGHT(E22,1)="G",_xlfn.XLOOKUP(G22,Data!$D$11:$L$11,Data!$D$9:$L$9,"",1,1),_xlfn.XLOOKUP(G22,Data!$D$4:$L$4,Data!$D$2:$L$2,"",1,1)))</f>
        <v>PB6</v>
      </c>
      <c r="L22" s="160" t="str" cm="1">
        <f t="array" ref="L22">IFERROR(_xlfn.IFNA(
                      _xlfn.IFS(
                      G22="", "",
                      G22=0, "",
                      AND(E22="U12B",G22&lt;=Data!$M$4), "U12 Boys record",
                      AND(E22="U12G",G22&lt;=Data!$M$11), "U12 Girls record"
                       ),""), "")</f>
        <v/>
      </c>
      <c r="M22" s="18" cm="1">
        <f t="array" ref="M22">_xlfn.IFS(OR($G22="",$G22=0),0, AND(NOT(ISNUMBER($G22)),LOWER($G22)&lt;&gt;"dnf"),"Not a valid time",OR(LOWER($G22)="dnf",$G22&gt;ScoringTable!$N$161),1,RIGHT($E22,1)="B",_xlfn.XLOOKUP($G22,ScoringTable!$N$2:$N$161,ScoringTable!$L$2:$L$161,,1),TRUE,_xlfn.XLOOKUP($G22,ScoringTable!$T$2:$T$161,ScoringTable!$R$2:$R$161,,1))</f>
        <v>86</v>
      </c>
      <c r="N22" s="18"/>
      <c r="Q22" s="117">
        <f t="shared" si="0"/>
        <v>116.7</v>
      </c>
      <c r="R22" s="118">
        <f t="shared" si="1"/>
        <v>1.9450000000000001</v>
      </c>
      <c r="S22" s="119">
        <f t="shared" si="2"/>
        <v>1</v>
      </c>
      <c r="T22" s="118">
        <f t="shared" si="3"/>
        <v>56.7</v>
      </c>
      <c r="U22" s="120">
        <f t="shared" si="4"/>
        <v>1.5670000000000002</v>
      </c>
    </row>
    <row r="23" spans="1:24" s="3" customFormat="1" ht="16.05" customHeight="1">
      <c r="A23" s="113" t="s">
        <v>95</v>
      </c>
      <c r="B23" s="114" t="str">
        <f>IF(ISNA(VLOOKUP($F23,Declarations!B$6:C$185,2,FALSE)),"",IF(VLOOKUP($F23,Declarations!B$6:C$185,2,FALSE)="","NOT DECLARED",IF(ISNA(_xlfn.TEXTBEFORE(VLOOKUP($F23,Declarations!B$6:C$185,2,FALSE)," ")),VLOOKUP($F23,Declarations!B$6:C$185,2,FALSE),_xlfn.TEXTBEFORE(VLOOKUP($F23,Declarations!B$6:C$185,2,FALSE)," "))))</f>
        <v>LEA</v>
      </c>
      <c r="C23" s="114" t="str">
        <f>IF(ISNA(VLOOKUP($F23,Declarations!B$6:C$185,2,FALSE)),"",IF(VLOOKUP($F23,Declarations!B$6:C$185,2,FALSE)="","NOT DECLARED",IF(ISNA(_xlfn.TEXTAFTER(VLOOKUP($F23,Declarations!B$6:C$185,2,FALSE)," ")),VLOOKUP($F23,Declarations!B$6:C$185,2,FALSE),_xlfn.TEXTAFTER(VLOOKUP($F23,Declarations!B$6:C$185,2,FALSE)," "))))</f>
        <v>MIZEN</v>
      </c>
      <c r="D23" s="114" t="str">
        <f>IF(ISNA(VLOOKUP($F23,Declarations!$B$6:$F$185,5,FALSE)),"",IF(VLOOKUP($F23,Declarations!$B$6:$F$185,5,FALSE)="","NOT DECLARED",VLOOKUP($F23,Declarations!$B$6:$F$185,5,FALSE)))</f>
        <v>Camberley &amp; District AC</v>
      </c>
      <c r="E23" s="112" t="str">
        <f>IF(ISNA(VLOOKUP($F23,Declarations!$B$6:$D$185,3,FALSE)),"",IF(VLOOKUP($F23,Declarations!$B$6:$D$185,3,FALSE)="","NOT DECLARED",VLOOKUP($F23,Declarations!$B$6:$D$185,3,FALSE)&amp;LEFT(VLOOKUP($F23,Declarations!$B$6:$E$185,4,FALSE))))</f>
        <v>U12G</v>
      </c>
      <c r="F23" s="58">
        <v>7</v>
      </c>
      <c r="G23" s="115">
        <v>1.3993055555555555E-3</v>
      </c>
      <c r="H23" s="281"/>
      <c r="I23" s="114" t="str">
        <f>IF(ISNA(VLOOKUP(F23,Declarations!B$6:C$185,2,FALSE)),"",IF(VLOOKUP(F23,Declarations!B$6:C$185,2,FALSE)="","NOT DECLARED",VLOOKUP(F23,Declarations!B$6:C$185,2,FALSE)))</f>
        <v>LEA MIZEN</v>
      </c>
      <c r="J23" s="116">
        <f>IF(LOWER(G23)="dnf",1,IF(U23&lt;ScoringTable!C$3,ScoringTable!I$2,VLOOKUP((1000-U23),ScoringTable!H$2:I$95,2)))</f>
        <v>69</v>
      </c>
      <c r="K23" s="112" t="str">
        <f>IF(OR(E23="",G23=""),"",IF(RIGHT(E23,1)="G",_xlfn.XLOOKUP(G23,Data!$D$11:$L$11,Data!$D$9:$L$9,"",1,1),_xlfn.XLOOKUP(G23,Data!$D$4:$L$4,Data!$D$2:$L$2,"",1,1)))</f>
        <v>PB5</v>
      </c>
      <c r="L23" s="160" t="str" cm="1">
        <f t="array" ref="L23">IFERROR(_xlfn.IFNA(
                      _xlfn.IFS(
                      G23="", "",
                      G23=0, "",
                      AND(E23="U12B",G23&lt;=Data!$M$4), "U12 Boys record",
                      AND(E23="U12G",G23&lt;=Data!$M$11), "U12 Girls record"
                       ),""), "")</f>
        <v/>
      </c>
      <c r="M23" s="18" cm="1">
        <f t="array" ref="M23">_xlfn.IFS(OR($G23="",$G23=0),0, AND(NOT(ISNUMBER($G23)),LOWER($G23)&lt;&gt;"dnf"),"Not a valid time",OR(LOWER($G23)="dnf",$G23&gt;ScoringTable!$N$161),1,RIGHT($E23,1)="B",_xlfn.XLOOKUP($G23,ScoringTable!$N$2:$N$161,ScoringTable!$L$2:$L$161,,1),TRUE,_xlfn.XLOOKUP($G23,ScoringTable!$T$2:$T$161,ScoringTable!$R$2:$R$161,,1))</f>
        <v>78</v>
      </c>
      <c r="N23" s="18"/>
      <c r="Q23" s="117">
        <f t="shared" si="0"/>
        <v>120.9</v>
      </c>
      <c r="R23" s="118">
        <f t="shared" si="1"/>
        <v>2.0150000000000001</v>
      </c>
      <c r="S23" s="119">
        <f t="shared" si="2"/>
        <v>2</v>
      </c>
      <c r="T23" s="118">
        <f t="shared" si="3"/>
        <v>0.90000000000000568</v>
      </c>
      <c r="U23" s="120">
        <f t="shared" si="4"/>
        <v>2.0089999999999999</v>
      </c>
    </row>
    <row r="24" spans="1:24" s="3" customFormat="1" ht="16.05" customHeight="1">
      <c r="A24" s="113" t="s">
        <v>95</v>
      </c>
      <c r="B24" s="114" t="str">
        <f>IF(ISNA(VLOOKUP($F24,Declarations!B$6:C$185,2,FALSE)),"",IF(VLOOKUP($F24,Declarations!B$6:C$185,2,FALSE)="","NOT DECLARED",IF(ISNA(_xlfn.TEXTBEFORE(VLOOKUP($F24,Declarations!B$6:C$185,2,FALSE)," ")),VLOOKUP($F24,Declarations!B$6:C$185,2,FALSE),_xlfn.TEXTBEFORE(VLOOKUP($F24,Declarations!B$6:C$185,2,FALSE)," "))))</f>
        <v>BONNIE</v>
      </c>
      <c r="C24" s="114" t="str">
        <f>IF(ISNA(VLOOKUP($F24,Declarations!B$6:C$185,2,FALSE)),"",IF(VLOOKUP($F24,Declarations!B$6:C$185,2,FALSE)="","NOT DECLARED",IF(ISNA(_xlfn.TEXTAFTER(VLOOKUP($F24,Declarations!B$6:C$185,2,FALSE)," ")),VLOOKUP($F24,Declarations!B$6:C$185,2,FALSE),_xlfn.TEXTAFTER(VLOOKUP($F24,Declarations!B$6:C$185,2,FALSE)," "))))</f>
        <v>MOORE</v>
      </c>
      <c r="D24" s="114" t="str">
        <f>IF(ISNA(VLOOKUP($F24,Declarations!$B$6:$F$185,5,FALSE)),"",IF(VLOOKUP($F24,Declarations!$B$6:$F$185,5,FALSE)="","NOT DECLARED",VLOOKUP($F24,Declarations!$B$6:$F$185,5,FALSE)))</f>
        <v>Fleet &amp; Crookham AC</v>
      </c>
      <c r="E24" s="112" t="str">
        <f>IF(ISNA(VLOOKUP($F24,Declarations!$B$6:$D$185,3,FALSE)),"",IF(VLOOKUP($F24,Declarations!$B$6:$D$185,3,FALSE)="","NOT DECLARED",VLOOKUP($F24,Declarations!$B$6:$D$185,3,FALSE)&amp;LEFT(VLOOKUP($F24,Declarations!$B$6:$E$185,4,FALSE))))</f>
        <v>U12G</v>
      </c>
      <c r="F24" s="58">
        <v>67</v>
      </c>
      <c r="G24" s="115">
        <v>1.4027777777777777E-3</v>
      </c>
      <c r="H24" s="281"/>
      <c r="I24" s="114" t="str">
        <f>IF(ISNA(VLOOKUP(F24,Declarations!B$6:C$185,2,FALSE)),"",IF(VLOOKUP(F24,Declarations!B$6:C$185,2,FALSE)="","NOT DECLARED",VLOOKUP(F24,Declarations!B$6:C$185,2,FALSE)))</f>
        <v>BONNIE MOORE</v>
      </c>
      <c r="J24" s="116">
        <f>IF(LOWER(G24)="dnf",1,IF(U24&lt;ScoringTable!C$3,ScoringTable!I$2,VLOOKUP((1000-U24),ScoringTable!H$2:I$95,2)))</f>
        <v>68</v>
      </c>
      <c r="K24" s="112" t="str">
        <f>IF(OR(E24="",G24=""),"",IF(RIGHT(E24,1)="G",_xlfn.XLOOKUP(G24,Data!$D$11:$L$11,Data!$D$9:$L$9,"",1,1),_xlfn.XLOOKUP(G24,Data!$D$4:$L$4,Data!$D$2:$L$2,"",1,1)))</f>
        <v>PB5</v>
      </c>
      <c r="L24" s="160" t="str" cm="1">
        <f t="array" ref="L24">IFERROR(_xlfn.IFNA(
                      _xlfn.IFS(
                      G24="", "",
                      G24=0, "",
                      AND(E24="U12B",G24&lt;=Data!$M$4), "U12 Boys record",
                      AND(E24="U12G",G24&lt;=Data!$M$11), "U12 Girls record"
                       ),""), "")</f>
        <v/>
      </c>
      <c r="M24" s="18" cm="1">
        <f t="array" ref="M24">_xlfn.IFS(OR($G24="",$G24=0),0, AND(NOT(ISNUMBER($G24)),LOWER($G24)&lt;&gt;"dnf"),"Not a valid time",OR(LOWER($G24)="dnf",$G24&gt;ScoringTable!$N$161),1,RIGHT($E24,1)="B",_xlfn.XLOOKUP($G24,ScoringTable!$N$2:$N$161,ScoringTable!$L$2:$L$161,,1),TRUE,_xlfn.XLOOKUP($G24,ScoringTable!$T$2:$T$161,ScoringTable!$R$2:$R$161,,1))</f>
        <v>77</v>
      </c>
      <c r="N24" s="18"/>
      <c r="Q24" s="117">
        <f t="shared" si="0"/>
        <v>121.2</v>
      </c>
      <c r="R24" s="118">
        <f t="shared" si="1"/>
        <v>2.02</v>
      </c>
      <c r="S24" s="119">
        <f t="shared" si="2"/>
        <v>2</v>
      </c>
      <c r="T24" s="118">
        <f t="shared" si="3"/>
        <v>1.2000000000000028</v>
      </c>
      <c r="U24" s="120">
        <f t="shared" si="4"/>
        <v>2.012</v>
      </c>
    </row>
    <row r="25" spans="1:24" s="7" customFormat="1" ht="16.05" customHeight="1">
      <c r="A25" s="113" t="s">
        <v>95</v>
      </c>
      <c r="B25" s="114" t="str">
        <f>IF(ISNA(VLOOKUP($F25,Declarations!B$6:C$185,2,FALSE)),"",IF(VLOOKUP($F25,Declarations!B$6:C$185,2,FALSE)="","NOT DECLARED",IF(ISNA(_xlfn.TEXTBEFORE(VLOOKUP($F25,Declarations!B$6:C$185,2,FALSE)," ")),VLOOKUP($F25,Declarations!B$6:C$185,2,FALSE),_xlfn.TEXTBEFORE(VLOOKUP($F25,Declarations!B$6:C$185,2,FALSE)," "))))</f>
        <v>DORA</v>
      </c>
      <c r="C25" s="114" t="str">
        <f>IF(ISNA(VLOOKUP($F25,Declarations!B$6:C$185,2,FALSE)),"",IF(VLOOKUP($F25,Declarations!B$6:C$185,2,FALSE)="","NOT DECLARED",IF(ISNA(_xlfn.TEXTAFTER(VLOOKUP($F25,Declarations!B$6:C$185,2,FALSE)," ")),VLOOKUP($F25,Declarations!B$6:C$185,2,FALSE),_xlfn.TEXTAFTER(VLOOKUP($F25,Declarations!B$6:C$185,2,FALSE)," "))))</f>
        <v>DOMA</v>
      </c>
      <c r="D25" s="114" t="str">
        <f>IF(ISNA(VLOOKUP($F25,Declarations!$B$6:$F$185,5,FALSE)),"",IF(VLOOKUP($F25,Declarations!$B$6:$F$185,5,FALSE)="","NOT DECLARED",VLOOKUP($F25,Declarations!$B$6:$F$185,5,FALSE)))</f>
        <v>Poole Runners</v>
      </c>
      <c r="E25" s="112" t="str">
        <f>IF(ISNA(VLOOKUP($F25,Declarations!$B$6:$D$185,3,FALSE)),"",IF(VLOOKUP($F25,Declarations!$B$6:$D$185,3,FALSE)="","NOT DECLARED",VLOOKUP($F25,Declarations!$B$6:$D$185,3,FALSE)&amp;LEFT(VLOOKUP($F25,Declarations!$B$6:$E$185,4,FALSE))))</f>
        <v>U12G</v>
      </c>
      <c r="F25" s="58">
        <v>43</v>
      </c>
      <c r="G25" s="115">
        <v>1.4583333333333334E-3</v>
      </c>
      <c r="H25" s="281"/>
      <c r="I25" s="114" t="str">
        <f>IF(ISNA(VLOOKUP(F25,Declarations!B$6:C$185,2,FALSE)),"",IF(VLOOKUP(F25,Declarations!B$6:C$185,2,FALSE)="","NOT DECLARED",VLOOKUP(F25,Declarations!B$6:C$185,2,FALSE)))</f>
        <v>DORA DOMA</v>
      </c>
      <c r="J25" s="116">
        <f>IF(LOWER(G25)="dnf",1,IF(U25&lt;ScoringTable!C$3,ScoringTable!I$2,VLOOKUP((1000-U25),ScoringTable!H$2:I$95,2)))</f>
        <v>64</v>
      </c>
      <c r="K25" s="112" t="str">
        <f>IF(OR(E25="",G25=""),"",IF(RIGHT(E25,1)="G",_xlfn.XLOOKUP(G25,Data!$D$11:$L$11,Data!$D$9:$L$9,"",1,1),_xlfn.XLOOKUP(G25,Data!$D$4:$L$4,Data!$D$2:$L$2,"",1,1)))</f>
        <v>PB4</v>
      </c>
      <c r="L25" s="160" t="str" cm="1">
        <f t="array" ref="L25">IFERROR(_xlfn.IFNA(
                      _xlfn.IFS(
                      G25="", "",
                      G25=0, "",
                      AND(E25="U12B",G25&lt;=Data!$M$4), "U12 Boys record",
                      AND(E25="U12G",G25&lt;=Data!$M$11), "U12 Girls record"
                       ),""), "")</f>
        <v/>
      </c>
      <c r="M25" s="18" cm="1">
        <f t="array" ref="M25">_xlfn.IFS(OR($G25="",$G25=0),0, AND(NOT(ISNUMBER($G25)),LOWER($G25)&lt;&gt;"dnf"),"Not a valid time",OR(LOWER($G25)="dnf",$G25&gt;ScoringTable!$N$161),1,RIGHT($E25,1)="B",_xlfn.XLOOKUP($G25,ScoringTable!$N$2:$N$161,ScoringTable!$L$2:$L$161,,1),TRUE,_xlfn.XLOOKUP($G25,ScoringTable!$T$2:$T$161,ScoringTable!$R$2:$R$161,,1))</f>
        <v>68</v>
      </c>
      <c r="N25" s="18"/>
      <c r="Q25" s="117">
        <f t="shared" si="0"/>
        <v>126</v>
      </c>
      <c r="R25" s="118">
        <f t="shared" si="1"/>
        <v>2.1</v>
      </c>
      <c r="S25" s="119">
        <f t="shared" si="2"/>
        <v>2</v>
      </c>
      <c r="T25" s="118">
        <f t="shared" si="3"/>
        <v>6</v>
      </c>
      <c r="U25" s="120">
        <f t="shared" si="4"/>
        <v>2.06</v>
      </c>
    </row>
    <row r="26" spans="1:24" s="7" customFormat="1" ht="16.05" customHeight="1">
      <c r="A26" s="113" t="s">
        <v>95</v>
      </c>
      <c r="B26" s="114" t="str">
        <f>IF(ISNA(VLOOKUP($F26,Declarations!B$6:C$185,2,FALSE)),"",IF(VLOOKUP($F26,Declarations!B$6:C$185,2,FALSE)="","NOT DECLARED",IF(ISNA(_xlfn.TEXTBEFORE(VLOOKUP($F26,Declarations!B$6:C$185,2,FALSE)," ")),VLOOKUP($F26,Declarations!B$6:C$185,2,FALSE),_xlfn.TEXTBEFORE(VLOOKUP($F26,Declarations!B$6:C$185,2,FALSE)," "))))</f>
        <v>WILLA</v>
      </c>
      <c r="C26" s="114" t="str">
        <f>IF(ISNA(VLOOKUP($F26,Declarations!B$6:C$185,2,FALSE)),"",IF(VLOOKUP($F26,Declarations!B$6:C$185,2,FALSE)="","NOT DECLARED",IF(ISNA(_xlfn.TEXTAFTER(VLOOKUP($F26,Declarations!B$6:C$185,2,FALSE)," ")),VLOOKUP($F26,Declarations!B$6:C$185,2,FALSE),_xlfn.TEXTAFTER(VLOOKUP($F26,Declarations!B$6:C$185,2,FALSE)," "))))</f>
        <v>GRAY</v>
      </c>
      <c r="D26" s="114" t="str">
        <f>IF(ISNA(VLOOKUP($F26,Declarations!$B$6:$F$185,5,FALSE)),"",IF(VLOOKUP($F26,Declarations!$B$6:$F$185,5,FALSE)="","NOT DECLARED",VLOOKUP($F26,Declarations!$B$6:$F$185,5,FALSE)))</f>
        <v>Poole Runners</v>
      </c>
      <c r="E26" s="112" t="str">
        <f>IF(ISNA(VLOOKUP($F26,Declarations!$B$6:$D$185,3,FALSE)),"",IF(VLOOKUP($F26,Declarations!$B$6:$D$185,3,FALSE)="","NOT DECLARED",VLOOKUP($F26,Declarations!$B$6:$D$185,3,FALSE)&amp;LEFT(VLOOKUP($F26,Declarations!$B$6:$E$185,4,FALSE))))</f>
        <v>U12G</v>
      </c>
      <c r="F26" s="58">
        <v>50</v>
      </c>
      <c r="G26" s="115">
        <v>1.46875E-3</v>
      </c>
      <c r="H26" s="281"/>
      <c r="I26" s="114" t="str">
        <f>IF(ISNA(VLOOKUP(F26,Declarations!B$6:C$185,2,FALSE)),"",IF(VLOOKUP(F26,Declarations!B$6:C$185,2,FALSE)="","NOT DECLARED",VLOOKUP(F26,Declarations!B$6:C$185,2,FALSE)))</f>
        <v>WILLA GRAY</v>
      </c>
      <c r="J26" s="116">
        <f>IF(LOWER(G26)="dnf",1,IF(U26&lt;ScoringTable!C$3,ScoringTable!I$2,VLOOKUP((1000-U26),ScoringTable!H$2:I$95,2)))</f>
        <v>63</v>
      </c>
      <c r="K26" s="112" t="str">
        <f>IF(OR(E26="",G26=""),"",IF(RIGHT(E26,1)="G",_xlfn.XLOOKUP(G26,Data!$D$11:$L$11,Data!$D$9:$L$9,"",1,1),_xlfn.XLOOKUP(G26,Data!$D$4:$L$4,Data!$D$2:$L$2,"",1,1)))</f>
        <v>PB4</v>
      </c>
      <c r="L26" s="160" t="str" cm="1">
        <f t="array" ref="L26">IFERROR(_xlfn.IFNA(
                      _xlfn.IFS(
                      G26="", "",
                      G26=0, "",
                      AND(E26="U12B",G26&lt;=Data!$M$4), "U12 Boys record",
                      AND(E26="U12G",G26&lt;=Data!$M$11), "U12 Girls record"
                       ),""), "")</f>
        <v/>
      </c>
      <c r="M26" s="18" cm="1">
        <f t="array" ref="M26">_xlfn.IFS(OR($G26="",$G26=0),0, AND(NOT(ISNUMBER($G26)),LOWER($G26)&lt;&gt;"dnf"),"Not a valid time",OR(LOWER($G26)="dnf",$G26&gt;ScoringTable!$N$161),1,RIGHT($E26,1)="B",_xlfn.XLOOKUP($G26,ScoringTable!$N$2:$N$161,ScoringTable!$L$2:$L$161,,1),TRUE,_xlfn.XLOOKUP($G26,ScoringTable!$T$2:$T$161,ScoringTable!$R$2:$R$161,,1))</f>
        <v>66</v>
      </c>
      <c r="N26" s="18"/>
      <c r="Q26" s="117">
        <f t="shared" si="0"/>
        <v>126.9</v>
      </c>
      <c r="R26" s="118">
        <f t="shared" si="1"/>
        <v>2.1150000000000002</v>
      </c>
      <c r="S26" s="119">
        <f t="shared" si="2"/>
        <v>2</v>
      </c>
      <c r="T26" s="118">
        <f t="shared" si="3"/>
        <v>6.9000000000000057</v>
      </c>
      <c r="U26" s="120">
        <f t="shared" si="4"/>
        <v>2.069</v>
      </c>
    </row>
    <row r="27" spans="1:24" s="7" customFormat="1" ht="16.05" customHeight="1">
      <c r="A27" s="113" t="s">
        <v>95</v>
      </c>
      <c r="B27" s="114" t="str">
        <f>IF(ISNA(VLOOKUP($F27,Declarations!B$6:C$185,2,FALSE)),"",IF(VLOOKUP($F27,Declarations!B$6:C$185,2,FALSE)="","NOT DECLARED",IF(ISNA(_xlfn.TEXTBEFORE(VLOOKUP($F27,Declarations!B$6:C$185,2,FALSE)," ")),VLOOKUP($F27,Declarations!B$6:C$185,2,FALSE),_xlfn.TEXTBEFORE(VLOOKUP($F27,Declarations!B$6:C$185,2,FALSE)," "))))</f>
        <v>MATILDA</v>
      </c>
      <c r="C27" s="114" t="str">
        <f>IF(ISNA(VLOOKUP($F27,Declarations!B$6:C$185,2,FALSE)),"",IF(VLOOKUP($F27,Declarations!B$6:C$185,2,FALSE)="","NOT DECLARED",IF(ISNA(_xlfn.TEXTAFTER(VLOOKUP($F27,Declarations!B$6:C$185,2,FALSE)," ")),VLOOKUP($F27,Declarations!B$6:C$185,2,FALSE),_xlfn.TEXTAFTER(VLOOKUP($F27,Declarations!B$6:C$185,2,FALSE)," "))))</f>
        <v>KEER</v>
      </c>
      <c r="D27" s="114" t="str">
        <f>IF(ISNA(VLOOKUP($F27,Declarations!$B$6:$F$185,5,FALSE)),"",IF(VLOOKUP($F27,Declarations!$B$6:$F$185,5,FALSE)="","NOT DECLARED",VLOOKUP($F27,Declarations!$B$6:$F$185,5,FALSE)))</f>
        <v>Waverley Athletics Club</v>
      </c>
      <c r="E27" s="112" t="str">
        <f>IF(ISNA(VLOOKUP($F27,Declarations!$B$6:$D$185,3,FALSE)),"",IF(VLOOKUP($F27,Declarations!$B$6:$D$185,3,FALSE)="","NOT DECLARED",VLOOKUP($F27,Declarations!$B$6:$D$185,3,FALSE)&amp;LEFT(VLOOKUP($F27,Declarations!$B$6:$E$185,4,FALSE))))</f>
        <v>U12G</v>
      </c>
      <c r="F27" s="58">
        <v>82</v>
      </c>
      <c r="G27" s="115">
        <v>1.4918981481481482E-3</v>
      </c>
      <c r="H27" s="281"/>
      <c r="I27" s="114" t="str">
        <f>IF(ISNA(VLOOKUP(F27,Declarations!B$6:C$185,2,FALSE)),"",IF(VLOOKUP(F27,Declarations!B$6:C$185,2,FALSE)="","NOT DECLARED",VLOOKUP(F27,Declarations!B$6:C$185,2,FALSE)))</f>
        <v>MATILDA KEER</v>
      </c>
      <c r="J27" s="116">
        <f>IF(LOWER(G27)="dnf",1,IF(U27&lt;ScoringTable!C$3,ScoringTable!I$2,VLOOKUP((1000-U27),ScoringTable!H$2:I$95,2)))</f>
        <v>61</v>
      </c>
      <c r="K27" s="112" t="str">
        <f>IF(OR(E27="",G27=""),"",IF(RIGHT(E27,1)="G",_xlfn.XLOOKUP(G27,Data!$D$11:$L$11,Data!$D$9:$L$9,"",1,1),_xlfn.XLOOKUP(G27,Data!$D$4:$L$4,Data!$D$2:$L$2,"",1,1)))</f>
        <v>PB4</v>
      </c>
      <c r="L27" s="160" t="str" cm="1">
        <f t="array" ref="L27">IFERROR(_xlfn.IFNA(
                      _xlfn.IFS(
                      G27="", "",
                      G27=0, "",
                      AND(E27="U12B",G27&lt;=Data!$M$4), "U12 Boys record",
                      AND(E27="U12G",G27&lt;=Data!$M$11), "U12 Girls record"
                       ),""), "")</f>
        <v/>
      </c>
      <c r="M27" s="18" cm="1">
        <f t="array" ref="M27">_xlfn.IFS(OR($G27="",$G27=0),0, AND(NOT(ISNUMBER($G27)),LOWER($G27)&lt;&gt;"dnf"),"Not a valid time",OR(LOWER($G27)="dnf",$G27&gt;ScoringTable!$N$161),1,RIGHT($E27,1)="B",_xlfn.XLOOKUP($G27,ScoringTable!$N$2:$N$161,ScoringTable!$L$2:$L$161,,1),TRUE,_xlfn.XLOOKUP($G27,ScoringTable!$T$2:$T$161,ScoringTable!$R$2:$R$161,,1))</f>
        <v>62</v>
      </c>
      <c r="N27" s="18"/>
      <c r="Q27" s="117">
        <f t="shared" si="0"/>
        <v>128.9</v>
      </c>
      <c r="R27" s="118">
        <f t="shared" si="1"/>
        <v>2.1483333333333334</v>
      </c>
      <c r="S27" s="119">
        <f t="shared" si="2"/>
        <v>2</v>
      </c>
      <c r="T27" s="118">
        <f t="shared" si="3"/>
        <v>8.9000000000000057</v>
      </c>
      <c r="U27" s="120">
        <f t="shared" si="4"/>
        <v>2.089</v>
      </c>
    </row>
    <row r="28" spans="1:24" s="7" customFormat="1" ht="16.05" customHeight="1">
      <c r="A28" s="113" t="s">
        <v>95</v>
      </c>
      <c r="B28" s="114" t="str">
        <f>IF(ISNA(VLOOKUP($F28,Declarations!B$6:C$185,2,FALSE)),"",IF(VLOOKUP($F28,Declarations!B$6:C$185,2,FALSE)="","NOT DECLARED",IF(ISNA(_xlfn.TEXTBEFORE(VLOOKUP($F28,Declarations!B$6:C$185,2,FALSE)," ")),VLOOKUP($F28,Declarations!B$6:C$185,2,FALSE),_xlfn.TEXTBEFORE(VLOOKUP($F28,Declarations!B$6:C$185,2,FALSE)," "))))</f>
        <v>EVNI</v>
      </c>
      <c r="C28" s="114" t="str">
        <f>IF(ISNA(VLOOKUP($F28,Declarations!B$6:C$185,2,FALSE)),"",IF(VLOOKUP($F28,Declarations!B$6:C$185,2,FALSE)="","NOT DECLARED",IF(ISNA(_xlfn.TEXTAFTER(VLOOKUP($F28,Declarations!B$6:C$185,2,FALSE)," ")),VLOOKUP($F28,Declarations!B$6:C$185,2,FALSE),_xlfn.TEXTAFTER(VLOOKUP($F28,Declarations!B$6:C$185,2,FALSE)," "))))</f>
        <v>DUNUSINGHE</v>
      </c>
      <c r="D28" s="114" t="str">
        <f>IF(ISNA(VLOOKUP($F28,Declarations!$B$6:$F$185,5,FALSE)),"",IF(VLOOKUP($F28,Declarations!$B$6:$F$185,5,FALSE)="","NOT DECLARED",VLOOKUP($F28,Declarations!$B$6:$F$185,5,FALSE)))</f>
        <v>Camberley &amp; District AC</v>
      </c>
      <c r="E28" s="112" t="str">
        <f>IF(ISNA(VLOOKUP($F28,Declarations!$B$6:$D$185,3,FALSE)),"",IF(VLOOKUP($F28,Declarations!$B$6:$D$185,3,FALSE)="","NOT DECLARED",VLOOKUP($F28,Declarations!$B$6:$D$185,3,FALSE)&amp;LEFT(VLOOKUP($F28,Declarations!$B$6:$E$185,4,FALSE))))</f>
        <v>U12G</v>
      </c>
      <c r="F28" s="58">
        <v>1</v>
      </c>
      <c r="G28" s="115">
        <v>1.5162037037037036E-3</v>
      </c>
      <c r="H28" s="281"/>
      <c r="I28" s="114" t="str">
        <f>IF(ISNA(VLOOKUP(F28,Declarations!B$6:C$185,2,FALSE)),"",IF(VLOOKUP(F28,Declarations!B$6:C$185,2,FALSE)="","NOT DECLARED",VLOOKUP(F28,Declarations!B$6:C$185,2,FALSE)))</f>
        <v>EVNI DUNUSINGHE</v>
      </c>
      <c r="J28" s="116">
        <f>IF(LOWER(G28)="dnf",1,IF(U28&lt;ScoringTable!C$3,ScoringTable!I$2,VLOOKUP((1000-U28),ScoringTable!H$2:I$95,2)))</f>
        <v>59</v>
      </c>
      <c r="K28" s="112" t="str">
        <f>IF(OR(E28="",G28=""),"",IF(RIGHT(E28,1)="G",_xlfn.XLOOKUP(G28,Data!$D$11:$L$11,Data!$D$9:$L$9,"",1,1),_xlfn.XLOOKUP(G28,Data!$D$4:$L$4,Data!$D$2:$L$2,"",1,1)))</f>
        <v>PB3</v>
      </c>
      <c r="L28" s="160" t="str" cm="1">
        <f t="array" ref="L28">IFERROR(_xlfn.IFNA(
                      _xlfn.IFS(
                      G28="", "",
                      G28=0, "",
                      AND(E28="U12B",G28&lt;=Data!$M$4), "U12 Boys record",
                      AND(E28="U12G",G28&lt;=Data!$M$11), "U12 Girls record"
                       ),""), "")</f>
        <v/>
      </c>
      <c r="M28" s="18" cm="1">
        <f t="array" ref="M28">_xlfn.IFS(OR($G28="",$G28=0),0, AND(NOT(ISNUMBER($G28)),LOWER($G28)&lt;&gt;"dnf"),"Not a valid time",OR(LOWER($G28)="dnf",$G28&gt;ScoringTable!$N$161),1,RIGHT($E28,1)="B",_xlfn.XLOOKUP($G28,ScoringTable!$N$2:$N$161,ScoringTable!$L$2:$L$161,,1),TRUE,_xlfn.XLOOKUP($G28,ScoringTable!$T$2:$T$161,ScoringTable!$R$2:$R$161,,1))</f>
        <v>58</v>
      </c>
      <c r="N28" s="18"/>
      <c r="Q28" s="117">
        <f t="shared" si="0"/>
        <v>131</v>
      </c>
      <c r="R28" s="118">
        <f t="shared" si="1"/>
        <v>2.1833333333333331</v>
      </c>
      <c r="S28" s="119">
        <f t="shared" si="2"/>
        <v>2</v>
      </c>
      <c r="T28" s="118">
        <f t="shared" si="3"/>
        <v>11</v>
      </c>
      <c r="U28" s="120">
        <f t="shared" si="4"/>
        <v>2.11</v>
      </c>
    </row>
    <row r="29" spans="1:24" s="7" customFormat="1" ht="16.05" customHeight="1">
      <c r="A29" s="113" t="s">
        <v>95</v>
      </c>
      <c r="B29" s="114" t="str">
        <f>IF(ISNA(VLOOKUP($F29,Declarations!B$6:C$185,2,FALSE)),"",IF(VLOOKUP($F29,Declarations!B$6:C$185,2,FALSE)="","NOT DECLARED",IF(ISNA(_xlfn.TEXTBEFORE(VLOOKUP($F29,Declarations!B$6:C$185,2,FALSE)," ")),VLOOKUP($F29,Declarations!B$6:C$185,2,FALSE),_xlfn.TEXTBEFORE(VLOOKUP($F29,Declarations!B$6:C$185,2,FALSE)," "))))</f>
        <v>ELIN</v>
      </c>
      <c r="C29" s="114" t="str">
        <f>IF(ISNA(VLOOKUP($F29,Declarations!B$6:C$185,2,FALSE)),"",IF(VLOOKUP($F29,Declarations!B$6:C$185,2,FALSE)="","NOT DECLARED",IF(ISNA(_xlfn.TEXTAFTER(VLOOKUP($F29,Declarations!B$6:C$185,2,FALSE)," ")),VLOOKUP($F29,Declarations!B$6:C$185,2,FALSE),_xlfn.TEXTAFTER(VLOOKUP($F29,Declarations!B$6:C$185,2,FALSE)," "))))</f>
        <v>PERERA</v>
      </c>
      <c r="D29" s="114" t="str">
        <f>IF(ISNA(VLOOKUP($F29,Declarations!$B$6:$F$185,5,FALSE)),"",IF(VLOOKUP($F29,Declarations!$B$6:$F$185,5,FALSE)="","NOT DECLARED",VLOOKUP($F29,Declarations!$B$6:$F$185,5,FALSE)))</f>
        <v>Woking AC</v>
      </c>
      <c r="E29" s="112" t="str">
        <f>IF(ISNA(VLOOKUP($F29,Declarations!$B$6:$D$185,3,FALSE)),"",IF(VLOOKUP($F29,Declarations!$B$6:$D$185,3,FALSE)="","NOT DECLARED",VLOOKUP($F29,Declarations!$B$6:$D$185,3,FALSE)&amp;LEFT(VLOOKUP($F29,Declarations!$B$6:$E$185,4,FALSE))))</f>
        <v>U12G</v>
      </c>
      <c r="F29" s="58">
        <v>24</v>
      </c>
      <c r="G29" s="115">
        <v>1.5208333333333335E-3</v>
      </c>
      <c r="H29" s="281"/>
      <c r="I29" s="114" t="str">
        <f>IF(ISNA(VLOOKUP(F29,Declarations!B$6:C$185,2,FALSE)),"",IF(VLOOKUP(F29,Declarations!B$6:C$185,2,FALSE)="","NOT DECLARED",VLOOKUP(F29,Declarations!B$6:C$185,2,FALSE)))</f>
        <v>ELIN PERERA</v>
      </c>
      <c r="J29" s="116">
        <f>IF(LOWER(G29)="dnf",1,IF(U29&lt;ScoringTable!C$3,ScoringTable!I$2,VLOOKUP((1000-U29),ScoringTable!H$2:I$95,2)))</f>
        <v>58</v>
      </c>
      <c r="K29" s="112" t="str">
        <f>IF(OR(E29="",G29=""),"",IF(RIGHT(E29,1)="G",_xlfn.XLOOKUP(G29,Data!$D$11:$L$11,Data!$D$9:$L$9,"",1,1),_xlfn.XLOOKUP(G29,Data!$D$4:$L$4,Data!$D$2:$L$2,"",1,1)))</f>
        <v>PB3</v>
      </c>
      <c r="L29" s="160" t="str" cm="1">
        <f t="array" ref="L29">IFERROR(_xlfn.IFNA(
                      _xlfn.IFS(
                      G29="", "",
                      G29=0, "",
                      AND(E29="U12B",G29&lt;=Data!$M$4), "U12 Boys record",
                      AND(E29="U12G",G29&lt;=Data!$M$11), "U12 Girls record"
                       ),""), "")</f>
        <v/>
      </c>
      <c r="M29" s="18" cm="1">
        <f t="array" ref="M29">_xlfn.IFS(OR($G29="",$G29=0),0, AND(NOT(ISNUMBER($G29)),LOWER($G29)&lt;&gt;"dnf"),"Not a valid time",OR(LOWER($G29)="dnf",$G29&gt;ScoringTable!$N$161),1,RIGHT($E29,1)="B",_xlfn.XLOOKUP($G29,ScoringTable!$N$2:$N$161,ScoringTable!$L$2:$L$161,,1),TRUE,_xlfn.XLOOKUP($G29,ScoringTable!$T$2:$T$161,ScoringTable!$R$2:$R$161,,1))</f>
        <v>57</v>
      </c>
      <c r="N29" s="18"/>
      <c r="Q29" s="117">
        <f t="shared" si="0"/>
        <v>131.4</v>
      </c>
      <c r="R29" s="118">
        <f t="shared" si="1"/>
        <v>2.19</v>
      </c>
      <c r="S29" s="119">
        <f t="shared" si="2"/>
        <v>2</v>
      </c>
      <c r="T29" s="118">
        <f t="shared" si="3"/>
        <v>11.400000000000006</v>
      </c>
      <c r="U29" s="120">
        <f t="shared" si="4"/>
        <v>2.1139999999999999</v>
      </c>
    </row>
    <row r="30" spans="1:24" s="7" customFormat="1" ht="16.05" customHeight="1">
      <c r="A30" s="113" t="s">
        <v>95</v>
      </c>
      <c r="B30" s="114" t="str">
        <f>IF(ISNA(VLOOKUP($F30,Declarations!B$6:C$185,2,FALSE)),"",IF(VLOOKUP($F30,Declarations!B$6:C$185,2,FALSE)="","NOT DECLARED",IF(ISNA(_xlfn.TEXTBEFORE(VLOOKUP($F30,Declarations!B$6:C$185,2,FALSE)," ")),VLOOKUP($F30,Declarations!B$6:C$185,2,FALSE),_xlfn.TEXTBEFORE(VLOOKUP($F30,Declarations!B$6:C$185,2,FALSE)," "))))</f>
        <v>EDEN</v>
      </c>
      <c r="C30" s="114" t="str">
        <f>IF(ISNA(VLOOKUP($F30,Declarations!B$6:C$185,2,FALSE)),"",IF(VLOOKUP($F30,Declarations!B$6:C$185,2,FALSE)="","NOT DECLARED",IF(ISNA(_xlfn.TEXTAFTER(VLOOKUP($F30,Declarations!B$6:C$185,2,FALSE)," ")),VLOOKUP($F30,Declarations!B$6:C$185,2,FALSE),_xlfn.TEXTAFTER(VLOOKUP($F30,Declarations!B$6:C$185,2,FALSE)," "))))</f>
        <v>WECKI</v>
      </c>
      <c r="D30" s="114" t="str">
        <f>IF(ISNA(VLOOKUP($F30,Declarations!$B$6:$F$185,5,FALSE)),"",IF(VLOOKUP($F30,Declarations!$B$6:$F$185,5,FALSE)="","NOT DECLARED",VLOOKUP($F30,Declarations!$B$6:$F$185,5,FALSE)))</f>
        <v>Woking AC</v>
      </c>
      <c r="E30" s="112" t="str">
        <f>IF(ISNA(VLOOKUP($F30,Declarations!$B$6:$D$185,3,FALSE)),"",IF(VLOOKUP($F30,Declarations!$B$6:$D$185,3,FALSE)="","NOT DECLARED",VLOOKUP($F30,Declarations!$B$6:$D$185,3,FALSE)&amp;LEFT(VLOOKUP($F30,Declarations!$B$6:$E$185,4,FALSE))))</f>
        <v>U12G</v>
      </c>
      <c r="F30" s="58">
        <v>26</v>
      </c>
      <c r="G30" s="115">
        <v>1.5416666666666664E-3</v>
      </c>
      <c r="H30" s="281"/>
      <c r="I30" s="114" t="str">
        <f>IF(ISNA(VLOOKUP(F30,Declarations!B$6:C$185,2,FALSE)),"",IF(VLOOKUP(F30,Declarations!B$6:C$185,2,FALSE)="","NOT DECLARED",VLOOKUP(F30,Declarations!B$6:C$185,2,FALSE)))</f>
        <v>EDEN WECKI</v>
      </c>
      <c r="J30" s="116">
        <f>IF(LOWER(G30)="dnf",1,IF(U30&lt;ScoringTable!C$3,ScoringTable!I$2,VLOOKUP((1000-U30),ScoringTable!H$2:I$95,2)))</f>
        <v>56</v>
      </c>
      <c r="K30" s="112" t="str">
        <f>IF(OR(E30="",G30=""),"",IF(RIGHT(E30,1)="G",_xlfn.XLOOKUP(G30,Data!$D$11:$L$11,Data!$D$9:$L$9,"",1,1),_xlfn.XLOOKUP(G30,Data!$D$4:$L$4,Data!$D$2:$L$2,"",1,1)))</f>
        <v>PB3</v>
      </c>
      <c r="L30" s="160" t="str" cm="1">
        <f t="array" ref="L30">IFERROR(_xlfn.IFNA(
                      _xlfn.IFS(
                      G30="", "",
                      G30=0, "",
                      AND(E30="U12B",G30&lt;=Data!$M$4), "U12 Boys record",
                      AND(E30="U12G",G30&lt;=Data!$M$11), "U12 Girls record"
                       ),""), "")</f>
        <v/>
      </c>
      <c r="M30" s="18" cm="1">
        <f t="array" ref="M30">_xlfn.IFS(OR($G30="",$G30=0),0, AND(NOT(ISNUMBER($G30)),LOWER($G30)&lt;&gt;"dnf"),"Not a valid time",OR(LOWER($G30)="dnf",$G30&gt;ScoringTable!$N$161),1,RIGHT($E30,1)="B",_xlfn.XLOOKUP($G30,ScoringTable!$N$2:$N$161,ScoringTable!$L$2:$L$161,,1),TRUE,_xlfn.XLOOKUP($G30,ScoringTable!$T$2:$T$161,ScoringTable!$R$2:$R$161,,1))</f>
        <v>53</v>
      </c>
      <c r="N30" s="18"/>
      <c r="Q30" s="117">
        <f t="shared" si="0"/>
        <v>133.19999999999999</v>
      </c>
      <c r="R30" s="118">
        <f t="shared" si="1"/>
        <v>2.2199999999999998</v>
      </c>
      <c r="S30" s="119">
        <f t="shared" si="2"/>
        <v>2</v>
      </c>
      <c r="T30" s="118">
        <f t="shared" si="3"/>
        <v>13.199999999999989</v>
      </c>
      <c r="U30" s="120">
        <f t="shared" si="4"/>
        <v>2.1319999999999997</v>
      </c>
    </row>
    <row r="31" spans="1:24" s="7" customFormat="1" ht="16.05" customHeight="1">
      <c r="A31" s="113" t="s">
        <v>95</v>
      </c>
      <c r="B31" s="114" t="str">
        <f>IF(ISNA(VLOOKUP($F31,Declarations!B$6:C$185,2,FALSE)),"",IF(VLOOKUP($F31,Declarations!B$6:C$185,2,FALSE)="","NOT DECLARED",IF(ISNA(_xlfn.TEXTBEFORE(VLOOKUP($F31,Declarations!B$6:C$185,2,FALSE)," ")),VLOOKUP($F31,Declarations!B$6:C$185,2,FALSE),_xlfn.TEXTBEFORE(VLOOKUP($F31,Declarations!B$6:C$185,2,FALSE)," "))))</f>
        <v>LYRA</v>
      </c>
      <c r="C31" s="114" t="str">
        <f>IF(ISNA(VLOOKUP($F31,Declarations!B$6:C$185,2,FALSE)),"",IF(VLOOKUP($F31,Declarations!B$6:C$185,2,FALSE)="","NOT DECLARED",IF(ISNA(_xlfn.TEXTAFTER(VLOOKUP($F31,Declarations!B$6:C$185,2,FALSE)," ")),VLOOKUP($F31,Declarations!B$6:C$185,2,FALSE),_xlfn.TEXTAFTER(VLOOKUP($F31,Declarations!B$6:C$185,2,FALSE)," "))))</f>
        <v>JINKS</v>
      </c>
      <c r="D31" s="114" t="str">
        <f>IF(ISNA(VLOOKUP($F31,Declarations!$B$6:$F$185,5,FALSE)),"",IF(VLOOKUP($F31,Declarations!$B$6:$F$185,5,FALSE)="","NOT DECLARED",VLOOKUP($F31,Declarations!$B$6:$F$185,5,FALSE)))</f>
        <v>Basingstoke &amp; Mid Hants AC</v>
      </c>
      <c r="E31" s="112" t="str">
        <f>IF(ISNA(VLOOKUP($F31,Declarations!$B$6:$D$185,3,FALSE)),"",IF(VLOOKUP($F31,Declarations!$B$6:$D$185,3,FALSE)="","NOT DECLARED",VLOOKUP($F31,Declarations!$B$6:$D$185,3,FALSE)&amp;LEFT(VLOOKUP($F31,Declarations!$B$6:$E$185,4,FALSE))))</f>
        <v>U12G</v>
      </c>
      <c r="F31" s="58">
        <v>101</v>
      </c>
      <c r="G31" s="115">
        <v>1.5798611111111111E-3</v>
      </c>
      <c r="H31" s="281"/>
      <c r="I31" s="114" t="str">
        <f>IF(ISNA(VLOOKUP(F31,Declarations!B$6:C$185,2,FALSE)),"",IF(VLOOKUP(F31,Declarations!B$6:C$185,2,FALSE)="","NOT DECLARED",VLOOKUP(F31,Declarations!B$6:C$185,2,FALSE)))</f>
        <v>LYRA JINKS</v>
      </c>
      <c r="J31" s="116">
        <f>IF(LOWER(G31)="dnf",1,IF(U31&lt;ScoringTable!C$3,ScoringTable!I$2,VLOOKUP((1000-U31),ScoringTable!H$2:I$95,2)))</f>
        <v>53</v>
      </c>
      <c r="K31" s="112" t="str">
        <f>IF(OR(E31="",G31=""),"",IF(RIGHT(E31,1)="G",_xlfn.XLOOKUP(G31,Data!$D$11:$L$11,Data!$D$9:$L$9,"",1,1),_xlfn.XLOOKUP(G31,Data!$D$4:$L$4,Data!$D$2:$L$2,"",1,1)))</f>
        <v>PB2</v>
      </c>
      <c r="L31" s="160" t="str" cm="1">
        <f t="array" ref="L31">IFERROR(_xlfn.IFNA(
                      _xlfn.IFS(
                      G31="", "",
                      G31=0, "",
                      AND(E31="U12B",G31&lt;=Data!$M$4), "U12 Boys record",
                      AND(E31="U12G",G31&lt;=Data!$M$11), "U12 Girls record"
                       ),""), "")</f>
        <v/>
      </c>
      <c r="M31" s="18" cm="1">
        <f t="array" ref="M31">_xlfn.IFS(OR($G31="",$G31=0),0, AND(NOT(ISNUMBER($G31)),LOWER($G31)&lt;&gt;"dnf"),"Not a valid time",OR(LOWER($G31)="dnf",$G31&gt;ScoringTable!$N$161),1,RIGHT($E31,1)="B",_xlfn.XLOOKUP($G31,ScoringTable!$N$2:$N$161,ScoringTable!$L$2:$L$161,,1),TRUE,_xlfn.XLOOKUP($G31,ScoringTable!$T$2:$T$161,ScoringTable!$R$2:$R$161,,1))</f>
        <v>47</v>
      </c>
      <c r="N31" s="18"/>
      <c r="Q31" s="117">
        <f t="shared" si="0"/>
        <v>136.5</v>
      </c>
      <c r="R31" s="118">
        <f t="shared" si="1"/>
        <v>2.2749999999999999</v>
      </c>
      <c r="S31" s="119">
        <f t="shared" si="2"/>
        <v>2</v>
      </c>
      <c r="T31" s="118">
        <f t="shared" si="3"/>
        <v>16.5</v>
      </c>
      <c r="U31" s="120">
        <f t="shared" si="4"/>
        <v>2.165</v>
      </c>
    </row>
    <row r="32" spans="1:24" s="7" customFormat="1" ht="16.05" customHeight="1">
      <c r="A32" s="113" t="s">
        <v>95</v>
      </c>
      <c r="B32" s="114" t="str">
        <f>IF(ISNA(VLOOKUP($F32,Declarations!B$6:C$185,2,FALSE)),"",IF(VLOOKUP($F32,Declarations!B$6:C$185,2,FALSE)="","NOT DECLARED",IF(ISNA(_xlfn.TEXTBEFORE(VLOOKUP($F32,Declarations!B$6:C$185,2,FALSE)," ")),VLOOKUP($F32,Declarations!B$6:C$185,2,FALSE),_xlfn.TEXTBEFORE(VLOOKUP($F32,Declarations!B$6:C$185,2,FALSE)," "))))</f>
        <v>NORA</v>
      </c>
      <c r="C32" s="114" t="str">
        <f>IF(ISNA(VLOOKUP($F32,Declarations!B$6:C$185,2,FALSE)),"",IF(VLOOKUP($F32,Declarations!B$6:C$185,2,FALSE)="","NOT DECLARED",IF(ISNA(_xlfn.TEXTAFTER(VLOOKUP($F32,Declarations!B$6:C$185,2,FALSE)," ")),VLOOKUP($F32,Declarations!B$6:C$185,2,FALSE),_xlfn.TEXTAFTER(VLOOKUP($F32,Declarations!B$6:C$185,2,FALSE)," "))))</f>
        <v>BRADFORD</v>
      </c>
      <c r="D32" s="114" t="str">
        <f>IF(ISNA(VLOOKUP($F32,Declarations!$B$6:$F$185,5,FALSE)),"",IF(VLOOKUP($F32,Declarations!$B$6:$F$185,5,FALSE)="","NOT DECLARED",VLOOKUP($F32,Declarations!$B$6:$F$185,5,FALSE)))</f>
        <v>Fleet &amp; Crookham AC</v>
      </c>
      <c r="E32" s="112" t="str">
        <f>IF(ISNA(VLOOKUP($F32,Declarations!$B$6:$D$185,3,FALSE)),"",IF(VLOOKUP($F32,Declarations!$B$6:$D$185,3,FALSE)="","NOT DECLARED",VLOOKUP($F32,Declarations!$B$6:$D$185,3,FALSE)&amp;LEFT(VLOOKUP($F32,Declarations!$B$6:$E$185,4,FALSE))))</f>
        <v>U12G</v>
      </c>
      <c r="F32" s="58">
        <v>69</v>
      </c>
      <c r="G32" s="115">
        <v>1.5868055555555555E-3</v>
      </c>
      <c r="H32" s="281"/>
      <c r="I32" s="114" t="str">
        <f>IF(ISNA(VLOOKUP(F32,Declarations!B$6:C$185,2,FALSE)),"",IF(VLOOKUP(F32,Declarations!B$6:C$185,2,FALSE)="","NOT DECLARED",VLOOKUP(F32,Declarations!B$6:C$185,2,FALSE)))</f>
        <v>NORA BRADFORD</v>
      </c>
      <c r="J32" s="116">
        <f>IF(LOWER(G32)="dnf",1,IF(U32&lt;ScoringTable!C$3,ScoringTable!I$2,VLOOKUP((1000-U32),ScoringTable!H$2:I$95,2)))</f>
        <v>52</v>
      </c>
      <c r="K32" s="112" t="str">
        <f>IF(OR(E32="",G32=""),"",IF(RIGHT(E32,1)="G",_xlfn.XLOOKUP(G32,Data!$D$11:$L$11,Data!$D$9:$L$9,"",1,1),_xlfn.XLOOKUP(G32,Data!$D$4:$L$4,Data!$D$2:$L$2,"",1,1)))</f>
        <v>PB2</v>
      </c>
      <c r="L32" s="160" t="str" cm="1">
        <f t="array" ref="L32">IFERROR(_xlfn.IFNA(
                      _xlfn.IFS(
                      G32="", "",
                      G32=0, "",
                      AND(E32="U12B",G32&lt;=Data!$M$4), "U12 Boys record",
                      AND(E32="U12G",G32&lt;=Data!$M$11), "U12 Girls record"
                       ),""), "")</f>
        <v/>
      </c>
      <c r="M32" s="18" cm="1">
        <f t="array" ref="M32">_xlfn.IFS(OR($G32="",$G32=0),0, AND(NOT(ISNUMBER($G32)),LOWER($G32)&lt;&gt;"dnf"),"Not a valid time",OR(LOWER($G32)="dnf",$G32&gt;ScoringTable!$N$161),1,RIGHT($E32,1)="B",_xlfn.XLOOKUP($G32,ScoringTable!$N$2:$N$161,ScoringTable!$L$2:$L$161,,1),TRUE,_xlfn.XLOOKUP($G32,ScoringTable!$T$2:$T$161,ScoringTable!$R$2:$R$161,,1))</f>
        <v>45</v>
      </c>
      <c r="N32" s="18"/>
      <c r="Q32" s="117">
        <f t="shared" si="0"/>
        <v>137.1</v>
      </c>
      <c r="R32" s="118">
        <f t="shared" si="1"/>
        <v>2.2849999999999997</v>
      </c>
      <c r="S32" s="119">
        <f t="shared" si="2"/>
        <v>2</v>
      </c>
      <c r="T32" s="118">
        <f t="shared" si="3"/>
        <v>17.099999999999994</v>
      </c>
      <c r="U32" s="120">
        <f t="shared" si="4"/>
        <v>2.1709999999999998</v>
      </c>
    </row>
    <row r="33" spans="1:21" s="7" customFormat="1" ht="16.05" customHeight="1">
      <c r="A33" s="113" t="s">
        <v>95</v>
      </c>
      <c r="B33" s="114" t="str">
        <f>IF(ISNA(VLOOKUP($F33,Declarations!B$6:C$185,2,FALSE)),"",IF(VLOOKUP($F33,Declarations!B$6:C$185,2,FALSE)="","NOT DECLARED",IF(ISNA(_xlfn.TEXTBEFORE(VLOOKUP($F33,Declarations!B$6:C$185,2,FALSE)," ")),VLOOKUP($F33,Declarations!B$6:C$185,2,FALSE),_xlfn.TEXTBEFORE(VLOOKUP($F33,Declarations!B$6:C$185,2,FALSE)," "))))</f>
        <v>BROOKE</v>
      </c>
      <c r="C33" s="114" t="str">
        <f>IF(ISNA(VLOOKUP($F33,Declarations!B$6:C$185,2,FALSE)),"",IF(VLOOKUP($F33,Declarations!B$6:C$185,2,FALSE)="","NOT DECLARED",IF(ISNA(_xlfn.TEXTAFTER(VLOOKUP($F33,Declarations!B$6:C$185,2,FALSE)," ")),VLOOKUP($F33,Declarations!B$6:C$185,2,FALSE),_xlfn.TEXTAFTER(VLOOKUP($F33,Declarations!B$6:C$185,2,FALSE)," "))))</f>
        <v>PARRY-DAVIDSON</v>
      </c>
      <c r="D33" s="114" t="str">
        <f>IF(ISNA(VLOOKUP($F33,Declarations!$B$6:$F$185,5,FALSE)),"",IF(VLOOKUP($F33,Declarations!$B$6:$F$185,5,FALSE)="","NOT DECLARED",VLOOKUP($F33,Declarations!$B$6:$F$185,5,FALSE)))</f>
        <v>Poole Runners</v>
      </c>
      <c r="E33" s="112" t="str">
        <f>IF(ISNA(VLOOKUP($F33,Declarations!$B$6:$D$185,3,FALSE)),"",IF(VLOOKUP($F33,Declarations!$B$6:$D$185,3,FALSE)="","NOT DECLARED",VLOOKUP($F33,Declarations!$B$6:$D$185,3,FALSE)&amp;LEFT(VLOOKUP($F33,Declarations!$B$6:$E$185,4,FALSE))))</f>
        <v>U12G</v>
      </c>
      <c r="F33" s="58">
        <v>46</v>
      </c>
      <c r="G33" s="115">
        <v>1.6307870370370371E-3</v>
      </c>
      <c r="H33" s="281"/>
      <c r="I33" s="114" t="str">
        <f>IF(ISNA(VLOOKUP(F33,Declarations!B$6:C$185,2,FALSE)),"",IF(VLOOKUP(F33,Declarations!B$6:C$185,2,FALSE)="","NOT DECLARED",VLOOKUP(F33,Declarations!B$6:C$185,2,FALSE)))</f>
        <v>BROOKE PARRY-DAVIDSON</v>
      </c>
      <c r="J33" s="116">
        <f>IF(LOWER(G33)="dnf",1,IF(U33&lt;ScoringTable!C$3,ScoringTable!I$2,VLOOKUP((1000-U33),ScoringTable!H$2:I$95,2)))</f>
        <v>49</v>
      </c>
      <c r="K33" s="112" t="str">
        <f>IF(OR(E33="",G33=""),"",IF(RIGHT(E33,1)="G",_xlfn.XLOOKUP(G33,Data!$D$11:$L$11,Data!$D$9:$L$9,"",1,1),_xlfn.XLOOKUP(G33,Data!$D$4:$L$4,Data!$D$2:$L$2,"",1,1)))</f>
        <v>PB2</v>
      </c>
      <c r="L33" s="160" t="str" cm="1">
        <f t="array" ref="L33">IFERROR(_xlfn.IFNA(
                      _xlfn.IFS(
                      G33="", "",
                      G33=0, "",
                      AND(E33="U12B",G33&lt;=Data!$M$4), "U12 Boys record",
                      AND(E33="U12G",G33&lt;=Data!$M$11), "U12 Girls record"
                       ),""), "")</f>
        <v/>
      </c>
      <c r="M33" s="18" cm="1">
        <f t="array" ref="M33">_xlfn.IFS(OR($G33="",$G33=0),0, AND(NOT(ISNUMBER($G33)),LOWER($G33)&lt;&gt;"dnf"),"Not a valid time",OR(LOWER($G33)="dnf",$G33&gt;ScoringTable!$N$161),1,RIGHT($E33,1)="B",_xlfn.XLOOKUP($G33,ScoringTable!$N$2:$N$161,ScoringTable!$L$2:$L$161,,1),TRUE,_xlfn.XLOOKUP($G33,ScoringTable!$T$2:$T$161,ScoringTable!$R$2:$R$161,,1))</f>
        <v>38</v>
      </c>
      <c r="N33" s="18"/>
      <c r="Q33" s="117">
        <f t="shared" si="0"/>
        <v>140.9</v>
      </c>
      <c r="R33" s="118">
        <f t="shared" si="1"/>
        <v>2.3483333333333336</v>
      </c>
      <c r="S33" s="119">
        <f t="shared" si="2"/>
        <v>2</v>
      </c>
      <c r="T33" s="118">
        <f t="shared" si="3"/>
        <v>20.900000000000006</v>
      </c>
      <c r="U33" s="120">
        <f t="shared" si="4"/>
        <v>2.2090000000000001</v>
      </c>
    </row>
    <row r="34" spans="1:21" s="7" customFormat="1" ht="16.05" customHeight="1">
      <c r="A34" s="113" t="s">
        <v>95</v>
      </c>
      <c r="B34" s="114" t="str">
        <f>IF(ISNA(VLOOKUP($F34,Declarations!B$6:C$185,2,FALSE)),"",IF(VLOOKUP($F34,Declarations!B$6:C$185,2,FALSE)="","NOT DECLARED",IF(ISNA(_xlfn.TEXTBEFORE(VLOOKUP($F34,Declarations!B$6:C$185,2,FALSE)," ")),VLOOKUP($F34,Declarations!B$6:C$185,2,FALSE),_xlfn.TEXTBEFORE(VLOOKUP($F34,Declarations!B$6:C$185,2,FALSE)," "))))</f>
        <v>BETH</v>
      </c>
      <c r="C34" s="114" t="str">
        <f>IF(ISNA(VLOOKUP($F34,Declarations!B$6:C$185,2,FALSE)),"",IF(VLOOKUP($F34,Declarations!B$6:C$185,2,FALSE)="","NOT DECLARED",IF(ISNA(_xlfn.TEXTAFTER(VLOOKUP($F34,Declarations!B$6:C$185,2,FALSE)," ")),VLOOKUP($F34,Declarations!B$6:C$185,2,FALSE),_xlfn.TEXTAFTER(VLOOKUP($F34,Declarations!B$6:C$185,2,FALSE)," "))))</f>
        <v>BOLE</v>
      </c>
      <c r="D34" s="114" t="str">
        <f>IF(ISNA(VLOOKUP($F34,Declarations!$B$6:$F$185,5,FALSE)),"",IF(VLOOKUP($F34,Declarations!$B$6:$F$185,5,FALSE)="","NOT DECLARED",VLOOKUP($F34,Declarations!$B$6:$F$185,5,FALSE)))</f>
        <v>Basingstoke &amp; Mid Hants AC</v>
      </c>
      <c r="E34" s="112" t="str">
        <f>IF(ISNA(VLOOKUP($F34,Declarations!$B$6:$D$185,3,FALSE)),"",IF(VLOOKUP($F34,Declarations!$B$6:$D$185,3,FALSE)="","NOT DECLARED",VLOOKUP($F34,Declarations!$B$6:$D$185,3,FALSE)&amp;LEFT(VLOOKUP($F34,Declarations!$B$6:$E$185,4,FALSE))))</f>
        <v>U12G</v>
      </c>
      <c r="F34" s="58">
        <v>105</v>
      </c>
      <c r="G34" s="115">
        <v>1.6932870370370372E-3</v>
      </c>
      <c r="H34" s="281"/>
      <c r="I34" s="114" t="str">
        <f>IF(ISNA(VLOOKUP(F34,Declarations!B$6:C$185,2,FALSE)),"",IF(VLOOKUP(F34,Declarations!B$6:C$185,2,FALSE)="","NOT DECLARED",VLOOKUP(F34,Declarations!B$6:C$185,2,FALSE)))</f>
        <v>BETH BOLE</v>
      </c>
      <c r="J34" s="116">
        <f>IF(LOWER(G34)="dnf",1,IF(U34&lt;ScoringTable!C$3,ScoringTable!I$2,VLOOKUP((1000-U34),ScoringTable!H$2:I$95,2)))</f>
        <v>43</v>
      </c>
      <c r="K34" s="112" t="str">
        <f>IF(OR(E34="",G34=""),"",IF(RIGHT(E34,1)="G",_xlfn.XLOOKUP(G34,Data!$D$11:$L$11,Data!$D$9:$L$9,"",1,1),_xlfn.XLOOKUP(G34,Data!$D$4:$L$4,Data!$D$2:$L$2,"",1,1)))</f>
        <v>PB1</v>
      </c>
      <c r="L34" s="160" t="str" cm="1">
        <f t="array" ref="L34">IFERROR(_xlfn.IFNA(
                      _xlfn.IFS(
                      G34="", "",
                      G34=0, "",
                      AND(E34="U12B",G34&lt;=Data!$M$4), "U12 Boys record",
                      AND(E34="U12G",G34&lt;=Data!$M$11), "U12 Girls record"
                       ),""), "")</f>
        <v/>
      </c>
      <c r="M34" s="18" cm="1">
        <f t="array" ref="M34">_xlfn.IFS(OR($G34="",$G34=0),0, AND(NOT(ISNUMBER($G34)),LOWER($G34)&lt;&gt;"dnf"),"Not a valid time",OR(LOWER($G34)="dnf",$G34&gt;ScoringTable!$N$161),1,RIGHT($E34,1)="B",_xlfn.XLOOKUP($G34,ScoringTable!$N$2:$N$161,ScoringTable!$L$2:$L$161,,1),TRUE,_xlfn.XLOOKUP($G34,ScoringTable!$T$2:$T$161,ScoringTable!$R$2:$R$161,,1))</f>
        <v>28</v>
      </c>
      <c r="N34" s="18"/>
      <c r="Q34" s="117">
        <f t="shared" si="0"/>
        <v>146.30000000000001</v>
      </c>
      <c r="R34" s="118">
        <f t="shared" si="1"/>
        <v>2.4383333333333335</v>
      </c>
      <c r="S34" s="119">
        <f t="shared" si="2"/>
        <v>2</v>
      </c>
      <c r="T34" s="118">
        <f t="shared" si="3"/>
        <v>26.300000000000011</v>
      </c>
      <c r="U34" s="120">
        <f t="shared" si="4"/>
        <v>2.2629999999999999</v>
      </c>
    </row>
    <row r="35" spans="1:21" s="7" customFormat="1" ht="16.05" customHeight="1">
      <c r="A35" s="113" t="s">
        <v>95</v>
      </c>
      <c r="B35" s="114" t="str">
        <f>IF(ISNA(VLOOKUP($F35,Declarations!B$6:C$185,2,FALSE)),"",IF(VLOOKUP($F35,Declarations!B$6:C$185,2,FALSE)="","NOT DECLARED",IF(ISNA(_xlfn.TEXTBEFORE(VLOOKUP($F35,Declarations!B$6:C$185,2,FALSE)," ")),VLOOKUP($F35,Declarations!B$6:C$185,2,FALSE),_xlfn.TEXTBEFORE(VLOOKUP($F35,Declarations!B$6:C$185,2,FALSE)," "))))</f>
        <v>AVA</v>
      </c>
      <c r="C35" s="114" t="str">
        <f>IF(ISNA(VLOOKUP($F35,Declarations!B$6:C$185,2,FALSE)),"",IF(VLOOKUP($F35,Declarations!B$6:C$185,2,FALSE)="","NOT DECLARED",IF(ISNA(_xlfn.TEXTAFTER(VLOOKUP($F35,Declarations!B$6:C$185,2,FALSE)," ")),VLOOKUP($F35,Declarations!B$6:C$185,2,FALSE),_xlfn.TEXTAFTER(VLOOKUP($F35,Declarations!B$6:C$185,2,FALSE)," "))))</f>
        <v>WANLESS</v>
      </c>
      <c r="D35" s="114" t="str">
        <f>IF(ISNA(VLOOKUP($F35,Declarations!$B$6:$F$185,5,FALSE)),"",IF(VLOOKUP($F35,Declarations!$B$6:$F$185,5,FALSE)="","NOT DECLARED",VLOOKUP($F35,Declarations!$B$6:$F$185,5,FALSE)))</f>
        <v>Camberley &amp; District AC</v>
      </c>
      <c r="E35" s="112" t="str">
        <f>IF(ISNA(VLOOKUP($F35,Declarations!$B$6:$D$185,3,FALSE)),"",IF(VLOOKUP($F35,Declarations!$B$6:$D$185,3,FALSE)="","NOT DECLARED",VLOOKUP($F35,Declarations!$B$6:$D$185,3,FALSE)&amp;LEFT(VLOOKUP($F35,Declarations!$B$6:$E$185,4,FALSE))))</f>
        <v>U12G</v>
      </c>
      <c r="F35" s="58">
        <v>4</v>
      </c>
      <c r="G35" s="115">
        <v>1.7719907407407406E-3</v>
      </c>
      <c r="H35" s="281"/>
      <c r="I35" s="114" t="str">
        <f>IF(ISNA(VLOOKUP(F35,Declarations!B$6:C$185,2,FALSE)),"",IF(VLOOKUP(F35,Declarations!B$6:C$185,2,FALSE)="","NOT DECLARED",VLOOKUP(F35,Declarations!B$6:C$185,2,FALSE)))</f>
        <v>AVA WANLESS</v>
      </c>
      <c r="J35" s="116">
        <f>IF(LOWER(G35)="dnf",1,IF(U35&lt;ScoringTable!C$3,ScoringTable!I$2,VLOOKUP((1000-U35),ScoringTable!H$2:I$95,2)))</f>
        <v>36</v>
      </c>
      <c r="K35" s="112" t="str">
        <f>IF(OR(E35="",G35=""),"",IF(RIGHT(E35,1)="G",_xlfn.XLOOKUP(G35,Data!$D$11:$L$11,Data!$D$9:$L$9,"",1,1),_xlfn.XLOOKUP(G35,Data!$D$4:$L$4,Data!$D$2:$L$2,"",1,1)))</f>
        <v>PB1</v>
      </c>
      <c r="L35" s="160" t="str" cm="1">
        <f t="array" ref="L35">IFERROR(_xlfn.IFNA(
                      _xlfn.IFS(
                      G35="", "",
                      G35=0, "",
                      AND(E35="U12B",G35&lt;=Data!$M$4), "U12 Boys record",
                      AND(E35="U12G",G35&lt;=Data!$M$11), "U12 Girls record"
                       ),""), "")</f>
        <v/>
      </c>
      <c r="M35" s="18" cm="1">
        <f t="array" ref="M35">_xlfn.IFS(OR($G35="",$G35=0),0, AND(NOT(ISNUMBER($G35)),LOWER($G35)&lt;&gt;"dnf"),"Not a valid time",OR(LOWER($G35)="dnf",$G35&gt;ScoringTable!$N$161),1,RIGHT($E35,1)="B",_xlfn.XLOOKUP($G35,ScoringTable!$N$2:$N$161,ScoringTable!$L$2:$L$161,,1),TRUE,_xlfn.XLOOKUP($G35,ScoringTable!$T$2:$T$161,ScoringTable!$R$2:$R$161,,1))</f>
        <v>21</v>
      </c>
      <c r="N35" s="18"/>
      <c r="Q35" s="117">
        <f t="shared" si="0"/>
        <v>153.1</v>
      </c>
      <c r="R35" s="118">
        <f t="shared" si="1"/>
        <v>2.5516666666666667</v>
      </c>
      <c r="S35" s="119">
        <f t="shared" si="2"/>
        <v>2</v>
      </c>
      <c r="T35" s="118">
        <f t="shared" si="3"/>
        <v>33.099999999999994</v>
      </c>
      <c r="U35" s="120">
        <f t="shared" si="4"/>
        <v>2.331</v>
      </c>
    </row>
    <row r="36" spans="1:21" s="7" customFormat="1" ht="16.05" customHeight="1">
      <c r="A36" s="113" t="s">
        <v>95</v>
      </c>
      <c r="B36" s="114" t="str">
        <f>IF(ISNA(VLOOKUP($F36,Declarations!B$6:C$185,2,FALSE)),"",IF(VLOOKUP($F36,Declarations!B$6:C$185,2,FALSE)="","NOT DECLARED",IF(ISNA(_xlfn.TEXTBEFORE(VLOOKUP($F36,Declarations!B$6:C$185,2,FALSE)," ")),VLOOKUP($F36,Declarations!B$6:C$185,2,FALSE),_xlfn.TEXTBEFORE(VLOOKUP($F36,Declarations!B$6:C$185,2,FALSE)," "))))</f>
        <v>KAMILA</v>
      </c>
      <c r="C36" s="114" t="str">
        <f>IF(ISNA(VLOOKUP($F36,Declarations!B$6:C$185,2,FALSE)),"",IF(VLOOKUP($F36,Declarations!B$6:C$185,2,FALSE)="","NOT DECLARED",IF(ISNA(_xlfn.TEXTAFTER(VLOOKUP($F36,Declarations!B$6:C$185,2,FALSE)," ")),VLOOKUP($F36,Declarations!B$6:C$185,2,FALSE),_xlfn.TEXTAFTER(VLOOKUP($F36,Declarations!B$6:C$185,2,FALSE)," "))))</f>
        <v>OLATEJU</v>
      </c>
      <c r="D36" s="114" t="str">
        <f>IF(ISNA(VLOOKUP($F36,Declarations!$B$6:$F$185,5,FALSE)),"",IF(VLOOKUP($F36,Declarations!$B$6:$F$185,5,FALSE)="","NOT DECLARED",VLOOKUP($F36,Declarations!$B$6:$F$185,5,FALSE)))</f>
        <v>Poole Runners</v>
      </c>
      <c r="E36" s="112" t="str">
        <f>IF(ISNA(VLOOKUP($F36,Declarations!$B$6:$D$185,3,FALSE)),"",IF(VLOOKUP($F36,Declarations!$B$6:$D$185,3,FALSE)="","NOT DECLARED",VLOOKUP($F36,Declarations!$B$6:$D$185,3,FALSE)&amp;LEFT(VLOOKUP($F36,Declarations!$B$6:$E$185,4,FALSE))))</f>
        <v>U12G</v>
      </c>
      <c r="F36" s="58">
        <v>41</v>
      </c>
      <c r="G36" s="115">
        <v>1.2986111111111111E-3</v>
      </c>
      <c r="H36" s="281"/>
      <c r="I36" s="114" t="str">
        <f>IF(ISNA(VLOOKUP(F36,Declarations!B$6:C$185,2,FALSE)),"",IF(VLOOKUP(F36,Declarations!B$6:C$185,2,FALSE)="","NOT DECLARED",VLOOKUP(F36,Declarations!B$6:C$185,2,FALSE)))</f>
        <v>KAMILA OLATEJU</v>
      </c>
      <c r="J36" s="116">
        <f>IF(LOWER(G36)="dnf",1,IF(U36&lt;ScoringTable!C$3,ScoringTable!I$2,VLOOKUP((1000-U36),ScoringTable!H$2:I$95,2)))</f>
        <v>77</v>
      </c>
      <c r="K36" s="112" t="str">
        <f>IF(OR(E36="",G36=""),"",IF(RIGHT(E36,1)="G",_xlfn.XLOOKUP(G36,Data!$D$11:$L$11,Data!$D$9:$L$9,"",1,1),_xlfn.XLOOKUP(G36,Data!$D$4:$L$4,Data!$D$2:$L$2,"",1,1)))</f>
        <v>PB7</v>
      </c>
      <c r="L36" s="160" t="str" cm="1">
        <f t="array" ref="L36">IFERROR(_xlfn.IFNA(
                      _xlfn.IFS(
                      G36="", "",
                      G36=0, "",
                      AND(E36="U12B",G36&lt;=Data!$M$4), "U12 Boys record",
                      AND(E36="U12G",G36&lt;=Data!$M$11), "U12 Girls record"
                       ),""), "")</f>
        <v/>
      </c>
      <c r="M36" s="18" cm="1">
        <f t="array" ref="M36">_xlfn.IFS(OR($G36="",$G36=0),0, AND(NOT(ISNUMBER($G36)),LOWER($G36)&lt;&gt;"dnf"),"Not a valid time",OR(LOWER($G36)="dnf",$G36&gt;ScoringTable!$N$161),1,RIGHT($E36,1)="B",_xlfn.XLOOKUP($G36,ScoringTable!$N$2:$N$161,ScoringTable!$L$2:$L$161,,1),TRUE,_xlfn.XLOOKUP($G36,ScoringTable!$T$2:$T$161,ScoringTable!$R$2:$R$161,,1))</f>
        <v>95</v>
      </c>
      <c r="N36" s="18"/>
      <c r="Q36" s="117">
        <f t="shared" si="0"/>
        <v>112.19999999999999</v>
      </c>
      <c r="R36" s="118">
        <f t="shared" si="1"/>
        <v>1.8699999999999999</v>
      </c>
      <c r="S36" s="119">
        <f t="shared" si="2"/>
        <v>1</v>
      </c>
      <c r="T36" s="118">
        <f t="shared" si="3"/>
        <v>52.199999999999989</v>
      </c>
      <c r="U36" s="120">
        <f t="shared" si="4"/>
        <v>1.5219999999999998</v>
      </c>
    </row>
    <row r="37" spans="1:21" s="7" customFormat="1" ht="16.05" customHeight="1">
      <c r="A37" s="113" t="s">
        <v>95</v>
      </c>
      <c r="B37" s="114" t="str">
        <f>IF(ISNA(VLOOKUP($F37,Declarations!B$6:C$185,2,FALSE)),"",IF(VLOOKUP($F37,Declarations!B$6:C$185,2,FALSE)="","NOT DECLARED",IF(ISNA(_xlfn.TEXTBEFORE(VLOOKUP($F37,Declarations!B$6:C$185,2,FALSE)," ")),VLOOKUP($F37,Declarations!B$6:C$185,2,FALSE),_xlfn.TEXTBEFORE(VLOOKUP($F37,Declarations!B$6:C$185,2,FALSE)," "))))</f>
        <v>CHARLOTTE</v>
      </c>
      <c r="C37" s="114" t="str">
        <f>IF(ISNA(VLOOKUP($F37,Declarations!B$6:C$185,2,FALSE)),"",IF(VLOOKUP($F37,Declarations!B$6:C$185,2,FALSE)="","NOT DECLARED",IF(ISNA(_xlfn.TEXTAFTER(VLOOKUP($F37,Declarations!B$6:C$185,2,FALSE)," ")),VLOOKUP($F37,Declarations!B$6:C$185,2,FALSE),_xlfn.TEXTAFTER(VLOOKUP($F37,Declarations!B$6:C$185,2,FALSE)," "))))</f>
        <v>SHEPPARD</v>
      </c>
      <c r="D37" s="114" t="str">
        <f>IF(ISNA(VLOOKUP($F37,Declarations!$B$6:$F$185,5,FALSE)),"",IF(VLOOKUP($F37,Declarations!$B$6:$F$185,5,FALSE)="","NOT DECLARED",VLOOKUP($F37,Declarations!$B$6:$F$185,5,FALSE)))</f>
        <v>Camberley &amp; District AC</v>
      </c>
      <c r="E37" s="112" t="str">
        <f>IF(ISNA(VLOOKUP($F37,Declarations!$B$6:$D$185,3,FALSE)),"",IF(VLOOKUP($F37,Declarations!$B$6:$D$185,3,FALSE)="","NOT DECLARED",VLOOKUP($F37,Declarations!$B$6:$D$185,3,FALSE)&amp;LEFT(VLOOKUP($F37,Declarations!$B$6:$E$185,4,FALSE))))</f>
        <v>U12G</v>
      </c>
      <c r="F37" s="58">
        <v>3</v>
      </c>
      <c r="G37" s="115">
        <v>1.431712962962963E-3</v>
      </c>
      <c r="H37" s="281"/>
      <c r="I37" s="114" t="str">
        <f>IF(ISNA(VLOOKUP(F37,Declarations!B$6:C$185,2,FALSE)),"",IF(VLOOKUP(F37,Declarations!B$6:C$185,2,FALSE)="","NOT DECLARED",VLOOKUP(F37,Declarations!B$6:C$185,2,FALSE)))</f>
        <v>CHARLOTTE SHEPPARD</v>
      </c>
      <c r="J37" s="116">
        <f>IF(LOWER(G37)="dnf",1,IF(U37&lt;ScoringTable!C$3,ScoringTable!I$2,VLOOKUP((1000-U37),ScoringTable!H$2:I$95,2)))</f>
        <v>66</v>
      </c>
      <c r="K37" s="112" t="str">
        <f>IF(OR(E37="",G37=""),"",IF(RIGHT(E37,1)="G",_xlfn.XLOOKUP(G37,Data!$D$11:$L$11,Data!$D$9:$L$9,"",1,1),_xlfn.XLOOKUP(G37,Data!$D$4:$L$4,Data!$D$2:$L$2,"",1,1)))</f>
        <v>PB5</v>
      </c>
      <c r="L37" s="160" t="str" cm="1">
        <f t="array" ref="L37">IFERROR(_xlfn.IFNA(
                      _xlfn.IFS(
                      G37="", "",
                      G37=0, "",
                      AND(E37="U12B",G37&lt;=Data!$M$4), "U12 Boys record",
                      AND(E37="U12G",G37&lt;=Data!$M$11), "U12 Girls record"
                       ),""), "")</f>
        <v/>
      </c>
      <c r="M37" s="18" cm="1">
        <f t="array" ref="M37">_xlfn.IFS(OR($G37="",$G37=0),0, AND(NOT(ISNUMBER($G37)),LOWER($G37)&lt;&gt;"dnf"),"Not a valid time",OR(LOWER($G37)="dnf",$G37&gt;ScoringTable!$N$161),1,RIGHT($E37,1)="B",_xlfn.XLOOKUP($G37,ScoringTable!$N$2:$N$161,ScoringTable!$L$2:$L$161,,1),TRUE,_xlfn.XLOOKUP($G37,ScoringTable!$T$2:$T$161,ScoringTable!$R$2:$R$161,,1))</f>
        <v>72</v>
      </c>
      <c r="N37" s="18"/>
      <c r="Q37" s="117">
        <f t="shared" si="0"/>
        <v>123.7</v>
      </c>
      <c r="R37" s="118">
        <f t="shared" si="1"/>
        <v>2.0616666666666665</v>
      </c>
      <c r="S37" s="119">
        <f t="shared" si="2"/>
        <v>2</v>
      </c>
      <c r="T37" s="118">
        <f t="shared" si="3"/>
        <v>3.7000000000000028</v>
      </c>
      <c r="U37" s="120">
        <f t="shared" si="4"/>
        <v>2.0369999999999999</v>
      </c>
    </row>
    <row r="38" spans="1:21" s="7" customFormat="1" ht="16.05" customHeight="1">
      <c r="A38" s="113" t="s">
        <v>95</v>
      </c>
      <c r="B38" s="114" t="str">
        <f>IF(ISNA(VLOOKUP($F38,Declarations!B$6:C$185,2,FALSE)),"",IF(VLOOKUP($F38,Declarations!B$6:C$185,2,FALSE)="","NOT DECLARED",IF(ISNA(_xlfn.TEXTBEFORE(VLOOKUP($F38,Declarations!B$6:C$185,2,FALSE)," ")),VLOOKUP($F38,Declarations!B$6:C$185,2,FALSE),_xlfn.TEXTBEFORE(VLOOKUP($F38,Declarations!B$6:C$185,2,FALSE)," "))))</f>
        <v>ELISE</v>
      </c>
      <c r="C38" s="114" t="str">
        <f>IF(ISNA(VLOOKUP($F38,Declarations!B$6:C$185,2,FALSE)),"",IF(VLOOKUP($F38,Declarations!B$6:C$185,2,FALSE)="","NOT DECLARED",IF(ISNA(_xlfn.TEXTAFTER(VLOOKUP($F38,Declarations!B$6:C$185,2,FALSE)," ")),VLOOKUP($F38,Declarations!B$6:C$185,2,FALSE),_xlfn.TEXTAFTER(VLOOKUP($F38,Declarations!B$6:C$185,2,FALSE)," "))))</f>
        <v>ABDELLI</v>
      </c>
      <c r="D38" s="114" t="str">
        <f>IF(ISNA(VLOOKUP($F38,Declarations!$B$6:$F$185,5,FALSE)),"",IF(VLOOKUP($F38,Declarations!$B$6:$F$185,5,FALSE)="","NOT DECLARED",VLOOKUP($F38,Declarations!$B$6:$F$185,5,FALSE)))</f>
        <v>Woking AC</v>
      </c>
      <c r="E38" s="112" t="str">
        <f>IF(ISNA(VLOOKUP($F38,Declarations!$B$6:$D$185,3,FALSE)),"",IF(VLOOKUP($F38,Declarations!$B$6:$D$185,3,FALSE)="","NOT DECLARED",VLOOKUP($F38,Declarations!$B$6:$D$185,3,FALSE)&amp;LEFT(VLOOKUP($F38,Declarations!$B$6:$E$185,4,FALSE))))</f>
        <v>U12G</v>
      </c>
      <c r="F38" s="58">
        <v>21</v>
      </c>
      <c r="G38" s="115">
        <v>1.4826388888888888E-3</v>
      </c>
      <c r="H38" s="281"/>
      <c r="I38" s="114" t="str">
        <f>IF(ISNA(VLOOKUP(F38,Declarations!B$6:C$185,2,FALSE)),"",IF(VLOOKUP(F38,Declarations!B$6:C$185,2,FALSE)="","NOT DECLARED",VLOOKUP(F38,Declarations!B$6:C$185,2,FALSE)))</f>
        <v>ELISE ABDELLI</v>
      </c>
      <c r="J38" s="116">
        <f>IF(LOWER(G38)="dnf",1,IF(U38&lt;ScoringTable!C$3,ScoringTable!I$2,VLOOKUP((1000-U38),ScoringTable!H$2:I$95,2)))</f>
        <v>61</v>
      </c>
      <c r="K38" s="112" t="str">
        <f>IF(OR(E38="",G38=""),"",IF(RIGHT(E38,1)="G",_xlfn.XLOOKUP(G38,Data!$D$11:$L$11,Data!$D$9:$L$9,"",1,1),_xlfn.XLOOKUP(G38,Data!$D$4:$L$4,Data!$D$2:$L$2,"",1,1)))</f>
        <v>PB4</v>
      </c>
      <c r="L38" s="160" t="str" cm="1">
        <f t="array" ref="L38">IFERROR(_xlfn.IFNA(
                      _xlfn.IFS(
                      G38="", "",
                      G38=0, "",
                      AND(E38="U12B",G38&lt;=Data!$M$4), "U12 Boys record",
                      AND(E38="U12G",G38&lt;=Data!$M$11), "U12 Girls record"
                       ),""), "")</f>
        <v/>
      </c>
      <c r="M38" s="18" cm="1">
        <f t="array" ref="M38">_xlfn.IFS(OR($G38="",$G38=0),0, AND(NOT(ISNUMBER($G38)),LOWER($G38)&lt;&gt;"dnf"),"Not a valid time",OR(LOWER($G38)="dnf",$G38&gt;ScoringTable!$N$161),1,RIGHT($E38,1)="B",_xlfn.XLOOKUP($G38,ScoringTable!$N$2:$N$161,ScoringTable!$L$2:$L$161,,1),TRUE,_xlfn.XLOOKUP($G38,ScoringTable!$T$2:$T$161,ScoringTable!$R$2:$R$161,,1))</f>
        <v>63</v>
      </c>
      <c r="N38" s="18"/>
      <c r="Q38" s="117">
        <f t="shared" si="0"/>
        <v>128.1</v>
      </c>
      <c r="R38" s="118">
        <f t="shared" si="1"/>
        <v>2.1349999999999998</v>
      </c>
      <c r="S38" s="119">
        <f t="shared" si="2"/>
        <v>2</v>
      </c>
      <c r="T38" s="118">
        <f t="shared" si="3"/>
        <v>8.0999999999999943</v>
      </c>
      <c r="U38" s="120">
        <f t="shared" si="4"/>
        <v>2.081</v>
      </c>
    </row>
    <row r="39" spans="1:21" s="7" customFormat="1" ht="16.05" customHeight="1">
      <c r="A39" s="113" t="s">
        <v>95</v>
      </c>
      <c r="B39" s="114" t="str">
        <f>IF(ISNA(VLOOKUP($F39,Declarations!B$6:C$185,2,FALSE)),"",IF(VLOOKUP($F39,Declarations!B$6:C$185,2,FALSE)="","NOT DECLARED",IF(ISNA(_xlfn.TEXTBEFORE(VLOOKUP($F39,Declarations!B$6:C$185,2,FALSE)," ")),VLOOKUP($F39,Declarations!B$6:C$185,2,FALSE),_xlfn.TEXTBEFORE(VLOOKUP($F39,Declarations!B$6:C$185,2,FALSE)," "))))</f>
        <v>SOPHIE</v>
      </c>
      <c r="C39" s="114" t="str">
        <f>IF(ISNA(VLOOKUP($F39,Declarations!B$6:C$185,2,FALSE)),"",IF(VLOOKUP($F39,Declarations!B$6:C$185,2,FALSE)="","NOT DECLARED",IF(ISNA(_xlfn.TEXTAFTER(VLOOKUP($F39,Declarations!B$6:C$185,2,FALSE)," ")),VLOOKUP($F39,Declarations!B$6:C$185,2,FALSE),_xlfn.TEXTAFTER(VLOOKUP($F39,Declarations!B$6:C$185,2,FALSE)," "))))</f>
        <v>GBAJOBI</v>
      </c>
      <c r="D39" s="114" t="str">
        <f>IF(ISNA(VLOOKUP($F39,Declarations!$B$6:$F$185,5,FALSE)),"",IF(VLOOKUP($F39,Declarations!$B$6:$F$185,5,FALSE)="","NOT DECLARED",VLOOKUP($F39,Declarations!$B$6:$F$185,5,FALSE)))</f>
        <v>Woking AC</v>
      </c>
      <c r="E39" s="112" t="str">
        <f>IF(ISNA(VLOOKUP($F39,Declarations!$B$6:$D$185,3,FALSE)),"",IF(VLOOKUP($F39,Declarations!$B$6:$D$185,3,FALSE)="","NOT DECLARED",VLOOKUP($F39,Declarations!$B$6:$D$185,3,FALSE)&amp;LEFT(VLOOKUP($F39,Declarations!$B$6:$E$185,4,FALSE))))</f>
        <v>U12G</v>
      </c>
      <c r="F39" s="58">
        <v>27</v>
      </c>
      <c r="G39" s="115">
        <v>1.4861111111111112E-3</v>
      </c>
      <c r="H39" s="281"/>
      <c r="I39" s="114" t="str">
        <f>IF(ISNA(VLOOKUP(F39,Declarations!B$6:C$185,2,FALSE)),"",IF(VLOOKUP(F39,Declarations!B$6:C$185,2,FALSE)="","NOT DECLARED",VLOOKUP(F39,Declarations!B$6:C$185,2,FALSE)))</f>
        <v>SOPHIE GBAJOBI</v>
      </c>
      <c r="J39" s="116">
        <f>IF(LOWER(G39)="dnf",1,IF(U39&lt;ScoringTable!C$3,ScoringTable!I$2,VLOOKUP((1000-U39),ScoringTable!H$2:I$95,2)))</f>
        <v>61</v>
      </c>
      <c r="K39" s="112" t="str">
        <f>IF(OR(E39="",G39=""),"",IF(RIGHT(E39,1)="G",_xlfn.XLOOKUP(G39,Data!$D$11:$L$11,Data!$D$9:$L$9,"",1,1),_xlfn.XLOOKUP(G39,Data!$D$4:$L$4,Data!$D$2:$L$2,"",1,1)))</f>
        <v>PB4</v>
      </c>
      <c r="L39" s="160" t="str" cm="1">
        <f t="array" ref="L39">IFERROR(_xlfn.IFNA(
                      _xlfn.IFS(
                      G39="", "",
                      G39=0, "",
                      AND(E39="U12B",G39&lt;=Data!$M$4), "U12 Boys record",
                      AND(E39="U12G",G39&lt;=Data!$M$11), "U12 Girls record"
                       ),""), "")</f>
        <v/>
      </c>
      <c r="M39" s="18" cm="1">
        <f t="array" ref="M39">_xlfn.IFS(OR($G39="",$G39=0),0, AND(NOT(ISNUMBER($G39)),LOWER($G39)&lt;&gt;"dnf"),"Not a valid time",OR(LOWER($G39)="dnf",$G39&gt;ScoringTable!$N$161),1,RIGHT($E39,1)="B",_xlfn.XLOOKUP($G39,ScoringTable!$N$2:$N$161,ScoringTable!$L$2:$L$161,,1),TRUE,_xlfn.XLOOKUP($G39,ScoringTable!$T$2:$T$161,ScoringTable!$R$2:$R$161,,1))</f>
        <v>63</v>
      </c>
      <c r="N39" s="18"/>
      <c r="Q39" s="117">
        <f t="shared" si="0"/>
        <v>128.4</v>
      </c>
      <c r="R39" s="118">
        <f t="shared" si="1"/>
        <v>2.14</v>
      </c>
      <c r="S39" s="119">
        <f t="shared" si="2"/>
        <v>2</v>
      </c>
      <c r="T39" s="118">
        <f t="shared" si="3"/>
        <v>8.4000000000000057</v>
      </c>
      <c r="U39" s="120">
        <f t="shared" si="4"/>
        <v>2.0840000000000001</v>
      </c>
    </row>
    <row r="40" spans="1:21" s="7" customFormat="1" ht="16.05" customHeight="1">
      <c r="A40" s="113" t="s">
        <v>95</v>
      </c>
      <c r="B40" s="114" t="str">
        <f>IF(ISNA(VLOOKUP($F40,Declarations!B$6:C$185,2,FALSE)),"",IF(VLOOKUP($F40,Declarations!B$6:C$185,2,FALSE)="","NOT DECLARED",IF(ISNA(_xlfn.TEXTBEFORE(VLOOKUP($F40,Declarations!B$6:C$185,2,FALSE)," ")),VLOOKUP($F40,Declarations!B$6:C$185,2,FALSE),_xlfn.TEXTBEFORE(VLOOKUP($F40,Declarations!B$6:C$185,2,FALSE)," "))))</f>
        <v>MATILDA</v>
      </c>
      <c r="C40" s="114" t="str">
        <f>IF(ISNA(VLOOKUP($F40,Declarations!B$6:C$185,2,FALSE)),"",IF(VLOOKUP($F40,Declarations!B$6:C$185,2,FALSE)="","NOT DECLARED",IF(ISNA(_xlfn.TEXTAFTER(VLOOKUP($F40,Declarations!B$6:C$185,2,FALSE)," ")),VLOOKUP($F40,Declarations!B$6:C$185,2,FALSE),_xlfn.TEXTAFTER(VLOOKUP($F40,Declarations!B$6:C$185,2,FALSE)," "))))</f>
        <v>FLINT</v>
      </c>
      <c r="D40" s="114" t="str">
        <f>IF(ISNA(VLOOKUP($F40,Declarations!$B$6:$F$185,5,FALSE)),"",IF(VLOOKUP($F40,Declarations!$B$6:$F$185,5,FALSE)="","NOT DECLARED",VLOOKUP($F40,Declarations!$B$6:$F$185,5,FALSE)))</f>
        <v>Fleet &amp; Crookham AC</v>
      </c>
      <c r="E40" s="112" t="str">
        <f>IF(ISNA(VLOOKUP($F40,Declarations!$B$6:$D$185,3,FALSE)),"",IF(VLOOKUP($F40,Declarations!$B$6:$D$185,3,FALSE)="","NOT DECLARED",VLOOKUP($F40,Declarations!$B$6:$D$185,3,FALSE)&amp;LEFT(VLOOKUP($F40,Declarations!$B$6:$E$185,4,FALSE))))</f>
        <v>U12G</v>
      </c>
      <c r="F40" s="58">
        <v>64</v>
      </c>
      <c r="G40" s="115">
        <v>1.4872685185185186E-3</v>
      </c>
      <c r="H40" s="281"/>
      <c r="I40" s="114" t="str">
        <f>IF(ISNA(VLOOKUP(F40,Declarations!B$6:C$185,2,FALSE)),"",IF(VLOOKUP(F40,Declarations!B$6:C$185,2,FALSE)="","NOT DECLARED",VLOOKUP(F40,Declarations!B$6:C$185,2,FALSE)))</f>
        <v>MATILDA FLINT</v>
      </c>
      <c r="J40" s="116">
        <f>IF(LOWER(G40)="dnf",1,IF(U40&lt;ScoringTable!C$3,ScoringTable!I$2,VLOOKUP((1000-U40),ScoringTable!H$2:I$95,2)))</f>
        <v>61</v>
      </c>
      <c r="K40" s="112" t="str">
        <f>IF(OR(E40="",G40=""),"",IF(RIGHT(E40,1)="G",_xlfn.XLOOKUP(G40,Data!$D$11:$L$11,Data!$D$9:$L$9,"",1,1),_xlfn.XLOOKUP(G40,Data!$D$4:$L$4,Data!$D$2:$L$2,"",1,1)))</f>
        <v>PB4</v>
      </c>
      <c r="L40" s="160" t="str" cm="1">
        <f t="array" ref="L40">IFERROR(_xlfn.IFNA(
                      _xlfn.IFS(
                      G40="", "",
                      G40=0, "",
                      AND(E40="U12B",G40&lt;=Data!$M$4), "U12 Boys record",
                      AND(E40="U12G",G40&lt;=Data!$M$11), "U12 Girls record"
                       ),""), "")</f>
        <v/>
      </c>
      <c r="M40" s="18" cm="1">
        <f t="array" ref="M40">_xlfn.IFS(OR($G40="",$G40=0),0, AND(NOT(ISNUMBER($G40)),LOWER($G40)&lt;&gt;"dnf"),"Not a valid time",OR(LOWER($G40)="dnf",$G40&gt;ScoringTable!$N$161),1,RIGHT($E40,1)="B",_xlfn.XLOOKUP($G40,ScoringTable!$N$2:$N$161,ScoringTable!$L$2:$L$161,,1),TRUE,_xlfn.XLOOKUP($G40,ScoringTable!$T$2:$T$161,ScoringTable!$R$2:$R$161,,1))</f>
        <v>63</v>
      </c>
      <c r="N40" s="18"/>
      <c r="Q40" s="117">
        <f t="shared" si="0"/>
        <v>128.5</v>
      </c>
      <c r="R40" s="118">
        <f t="shared" si="1"/>
        <v>2.1416666666666666</v>
      </c>
      <c r="S40" s="119">
        <f t="shared" si="2"/>
        <v>2</v>
      </c>
      <c r="T40" s="118">
        <f t="shared" si="3"/>
        <v>8.5</v>
      </c>
      <c r="U40" s="120">
        <f t="shared" si="4"/>
        <v>2.085</v>
      </c>
    </row>
    <row r="41" spans="1:21" s="7" customFormat="1" ht="16.05" customHeight="1">
      <c r="A41" s="113" t="s">
        <v>95</v>
      </c>
      <c r="B41" s="114" t="str">
        <f>IF(ISNA(VLOOKUP($F41,Declarations!B$6:C$185,2,FALSE)),"",IF(VLOOKUP($F41,Declarations!B$6:C$185,2,FALSE)="","NOT DECLARED",IF(ISNA(_xlfn.TEXTBEFORE(VLOOKUP($F41,Declarations!B$6:C$185,2,FALSE)," ")),VLOOKUP($F41,Declarations!B$6:C$185,2,FALSE),_xlfn.TEXTBEFORE(VLOOKUP($F41,Declarations!B$6:C$185,2,FALSE)," "))))</f>
        <v>EMILY</v>
      </c>
      <c r="C41" s="114" t="str">
        <f>IF(ISNA(VLOOKUP($F41,Declarations!B$6:C$185,2,FALSE)),"",IF(VLOOKUP($F41,Declarations!B$6:C$185,2,FALSE)="","NOT DECLARED",IF(ISNA(_xlfn.TEXTAFTER(VLOOKUP($F41,Declarations!B$6:C$185,2,FALSE)," ")),VLOOKUP($F41,Declarations!B$6:C$185,2,FALSE),_xlfn.TEXTAFTER(VLOOKUP($F41,Declarations!B$6:C$185,2,FALSE)," "))))</f>
        <v>HANAK</v>
      </c>
      <c r="D41" s="114" t="str">
        <f>IF(ISNA(VLOOKUP($F41,Declarations!$B$6:$F$185,5,FALSE)),"",IF(VLOOKUP($F41,Declarations!$B$6:$F$185,5,FALSE)="","NOT DECLARED",VLOOKUP($F41,Declarations!$B$6:$F$185,5,FALSE)))</f>
        <v>Waverley Athletics Club</v>
      </c>
      <c r="E41" s="112" t="str">
        <f>IF(ISNA(VLOOKUP($F41,Declarations!$B$6:$D$185,3,FALSE)),"",IF(VLOOKUP($F41,Declarations!$B$6:$D$185,3,FALSE)="","NOT DECLARED",VLOOKUP($F41,Declarations!$B$6:$D$185,3,FALSE)&amp;LEFT(VLOOKUP($F41,Declarations!$B$6:$E$185,4,FALSE))))</f>
        <v>U12G</v>
      </c>
      <c r="F41" s="58">
        <v>86</v>
      </c>
      <c r="G41" s="115">
        <v>1.4942129629629628E-3</v>
      </c>
      <c r="H41" s="281"/>
      <c r="I41" s="114" t="str">
        <f>IF(ISNA(VLOOKUP(F41,Declarations!B$6:C$185,2,FALSE)),"",IF(VLOOKUP(F41,Declarations!B$6:C$185,2,FALSE)="","NOT DECLARED",VLOOKUP(F41,Declarations!B$6:C$185,2,FALSE)))</f>
        <v>EMILY HANAK</v>
      </c>
      <c r="J41" s="116">
        <f>IF(LOWER(G41)="dnf",1,IF(U41&lt;ScoringTable!C$3,ScoringTable!I$2,VLOOKUP((1000-U41),ScoringTable!H$2:I$95,2)))</f>
        <v>60</v>
      </c>
      <c r="K41" s="112" t="str">
        <f>IF(OR(E41="",G41=""),"",IF(RIGHT(E41,1)="G",_xlfn.XLOOKUP(G41,Data!$D$11:$L$11,Data!$D$9:$L$9,"",1,1),_xlfn.XLOOKUP(G41,Data!$D$4:$L$4,Data!$D$2:$L$2,"",1,1)))</f>
        <v>PB4</v>
      </c>
      <c r="L41" s="160" t="str" cm="1">
        <f t="array" ref="L41">IFERROR(_xlfn.IFNA(
                      _xlfn.IFS(
                      G41="", "",
                      G41=0, "",
                      AND(E41="U12B",G41&lt;=Data!$M$4), "U12 Boys record",
                      AND(E41="U12G",G41&lt;=Data!$M$11), "U12 Girls record"
                       ),""), "")</f>
        <v/>
      </c>
      <c r="M41" s="18" cm="1">
        <f t="array" ref="M41">_xlfn.IFS(OR($G41="",$G41=0),0, AND(NOT(ISNUMBER($G41)),LOWER($G41)&lt;&gt;"dnf"),"Not a valid time",OR(LOWER($G41)="dnf",$G41&gt;ScoringTable!$N$161),1,RIGHT($E41,1)="B",_xlfn.XLOOKUP($G41,ScoringTable!$N$2:$N$161,ScoringTable!$L$2:$L$161,,1),TRUE,_xlfn.XLOOKUP($G41,ScoringTable!$T$2:$T$161,ScoringTable!$R$2:$R$161,,1))</f>
        <v>61</v>
      </c>
      <c r="N41" s="18"/>
      <c r="Q41" s="117">
        <f t="shared" si="0"/>
        <v>129.1</v>
      </c>
      <c r="R41" s="118">
        <f t="shared" si="1"/>
        <v>2.1516666666666664</v>
      </c>
      <c r="S41" s="119">
        <f t="shared" si="2"/>
        <v>2</v>
      </c>
      <c r="T41" s="118">
        <f t="shared" si="3"/>
        <v>9.0999999999999943</v>
      </c>
      <c r="U41" s="120">
        <f t="shared" si="4"/>
        <v>2.0909999999999997</v>
      </c>
    </row>
    <row r="42" spans="1:21" s="7" customFormat="1" ht="16.05" customHeight="1">
      <c r="A42" s="113" t="s">
        <v>95</v>
      </c>
      <c r="B42" s="114" t="str">
        <f>IF(ISNA(VLOOKUP($F42,Declarations!B$6:C$185,2,FALSE)),"",IF(VLOOKUP($F42,Declarations!B$6:C$185,2,FALSE)="","NOT DECLARED",IF(ISNA(_xlfn.TEXTBEFORE(VLOOKUP($F42,Declarations!B$6:C$185,2,FALSE)," ")),VLOOKUP($F42,Declarations!B$6:C$185,2,FALSE),_xlfn.TEXTBEFORE(VLOOKUP($F42,Declarations!B$6:C$185,2,FALSE)," "))))</f>
        <v>RUBY</v>
      </c>
      <c r="C42" s="114" t="str">
        <f>IF(ISNA(VLOOKUP($F42,Declarations!B$6:C$185,2,FALSE)),"",IF(VLOOKUP($F42,Declarations!B$6:C$185,2,FALSE)="","NOT DECLARED",IF(ISNA(_xlfn.TEXTAFTER(VLOOKUP($F42,Declarations!B$6:C$185,2,FALSE)," ")),VLOOKUP($F42,Declarations!B$6:C$185,2,FALSE),_xlfn.TEXTAFTER(VLOOKUP($F42,Declarations!B$6:C$185,2,FALSE)," "))))</f>
        <v>WILLIAMS</v>
      </c>
      <c r="D42" s="114" t="str">
        <f>IF(ISNA(VLOOKUP($F42,Declarations!$B$6:$F$185,5,FALSE)),"",IF(VLOOKUP($F42,Declarations!$B$6:$F$185,5,FALSE)="","NOT DECLARED",VLOOKUP($F42,Declarations!$B$6:$F$185,5,FALSE)))</f>
        <v>Camberley &amp; District AC</v>
      </c>
      <c r="E42" s="112" t="str">
        <f>IF(ISNA(VLOOKUP($F42,Declarations!$B$6:$D$185,3,FALSE)),"",IF(VLOOKUP($F42,Declarations!$B$6:$D$185,3,FALSE)="","NOT DECLARED",VLOOKUP($F42,Declarations!$B$6:$D$185,3,FALSE)&amp;LEFT(VLOOKUP($F42,Declarations!$B$6:$E$185,4,FALSE))))</f>
        <v>U12G</v>
      </c>
      <c r="F42" s="58">
        <v>6</v>
      </c>
      <c r="G42" s="115">
        <v>1.5081018518518521E-3</v>
      </c>
      <c r="H42" s="281"/>
      <c r="I42" s="114" t="str">
        <f>IF(ISNA(VLOOKUP(F42,Declarations!B$6:C$185,2,FALSE)),"",IF(VLOOKUP(F42,Declarations!B$6:C$185,2,FALSE)="","NOT DECLARED",VLOOKUP(F42,Declarations!B$6:C$185,2,FALSE)))</f>
        <v>RUBY WILLIAMS</v>
      </c>
      <c r="J42" s="116">
        <f>IF(LOWER(G42)="dnf",1,IF(U42&lt;ScoringTable!C$3,ScoringTable!I$2,VLOOKUP((1000-U42),ScoringTable!H$2:I$95,2)))</f>
        <v>59</v>
      </c>
      <c r="K42" s="112" t="str">
        <f>IF(OR(E42="",G42=""),"",IF(RIGHT(E42,1)="G",_xlfn.XLOOKUP(G42,Data!$D$11:$L$11,Data!$D$9:$L$9,"",1,1),_xlfn.XLOOKUP(G42,Data!$D$4:$L$4,Data!$D$2:$L$2,"",1,1)))</f>
        <v>PB3</v>
      </c>
      <c r="L42" s="160" t="str" cm="1">
        <f t="array" ref="L42">IFERROR(_xlfn.IFNA(
                      _xlfn.IFS(
                      G42="", "",
                      G42=0, "",
                      AND(E42="U12B",G42&lt;=Data!$M$4), "U12 Boys record",
                      AND(E42="U12G",G42&lt;=Data!$M$11), "U12 Girls record"
                       ),""), "")</f>
        <v/>
      </c>
      <c r="M42" s="18" cm="1">
        <f t="array" ref="M42">_xlfn.IFS(OR($G42="",$G42=0),0, AND(NOT(ISNUMBER($G42)),LOWER($G42)&lt;&gt;"dnf"),"Not a valid time",OR(LOWER($G42)="dnf",$G42&gt;ScoringTable!$N$161),1,RIGHT($E42,1)="B",_xlfn.XLOOKUP($G42,ScoringTable!$N$2:$N$161,ScoringTable!$L$2:$L$161,,1),TRUE,_xlfn.XLOOKUP($G42,ScoringTable!$T$2:$T$161,ScoringTable!$R$2:$R$161,,1))</f>
        <v>59</v>
      </c>
      <c r="N42" s="18"/>
      <c r="Q42" s="117">
        <f t="shared" si="0"/>
        <v>130.30000000000001</v>
      </c>
      <c r="R42" s="118">
        <f t="shared" si="1"/>
        <v>2.1716666666666669</v>
      </c>
      <c r="S42" s="119">
        <f t="shared" si="2"/>
        <v>2</v>
      </c>
      <c r="T42" s="118">
        <f t="shared" si="3"/>
        <v>10.300000000000011</v>
      </c>
      <c r="U42" s="120">
        <f t="shared" si="4"/>
        <v>2.1030000000000002</v>
      </c>
    </row>
    <row r="43" spans="1:21" s="7" customFormat="1" ht="16.05" customHeight="1">
      <c r="A43" s="113" t="s">
        <v>95</v>
      </c>
      <c r="B43" s="114" t="str">
        <f>IF(ISNA(VLOOKUP($F43,Declarations!B$6:C$185,2,FALSE)),"",IF(VLOOKUP($F43,Declarations!B$6:C$185,2,FALSE)="","NOT DECLARED",IF(ISNA(_xlfn.TEXTBEFORE(VLOOKUP($F43,Declarations!B$6:C$185,2,FALSE)," ")),VLOOKUP($F43,Declarations!B$6:C$185,2,FALSE),_xlfn.TEXTBEFORE(VLOOKUP($F43,Declarations!B$6:C$185,2,FALSE)," "))))</f>
        <v>OTTILE</v>
      </c>
      <c r="C43" s="114" t="str">
        <f>IF(ISNA(VLOOKUP($F43,Declarations!B$6:C$185,2,FALSE)),"",IF(VLOOKUP($F43,Declarations!B$6:C$185,2,FALSE)="","NOT DECLARED",IF(ISNA(_xlfn.TEXTAFTER(VLOOKUP($F43,Declarations!B$6:C$185,2,FALSE)," ")),VLOOKUP($F43,Declarations!B$6:C$185,2,FALSE),_xlfn.TEXTAFTER(VLOOKUP($F43,Declarations!B$6:C$185,2,FALSE)," "))))</f>
        <v>WHITE</v>
      </c>
      <c r="D43" s="114" t="str">
        <f>IF(ISNA(VLOOKUP($F43,Declarations!$B$6:$F$185,5,FALSE)),"",IF(VLOOKUP($F43,Declarations!$B$6:$F$185,5,FALSE)="","NOT DECLARED",VLOOKUP($F43,Declarations!$B$6:$F$185,5,FALSE)))</f>
        <v>Fleet &amp; Crookham AC</v>
      </c>
      <c r="E43" s="112" t="str">
        <f>IF(ISNA(VLOOKUP($F43,Declarations!$B$6:$D$185,3,FALSE)),"",IF(VLOOKUP($F43,Declarations!$B$6:$D$185,3,FALSE)="","NOT DECLARED",VLOOKUP($F43,Declarations!$B$6:$D$185,3,FALSE)&amp;LEFT(VLOOKUP($F43,Declarations!$B$6:$E$185,4,FALSE))))</f>
        <v>U12G</v>
      </c>
      <c r="F43" s="58">
        <v>62</v>
      </c>
      <c r="G43" s="115">
        <v>1.517361111111111E-3</v>
      </c>
      <c r="H43" s="281"/>
      <c r="I43" s="114" t="str">
        <f>IF(ISNA(VLOOKUP(F43,Declarations!B$6:C$185,2,FALSE)),"",IF(VLOOKUP(F43,Declarations!B$6:C$185,2,FALSE)="","NOT DECLARED",VLOOKUP(F43,Declarations!B$6:C$185,2,FALSE)))</f>
        <v>OTTILE WHITE</v>
      </c>
      <c r="J43" s="116">
        <f>IF(LOWER(G43)="dnf",1,IF(U43&lt;ScoringTable!C$3,ScoringTable!I$2,VLOOKUP((1000-U43),ScoringTable!H$2:I$95,2)))</f>
        <v>58</v>
      </c>
      <c r="K43" s="112" t="str">
        <f>IF(OR(E43="",G43=""),"",IF(RIGHT(E43,1)="G",_xlfn.XLOOKUP(G43,Data!$D$11:$L$11,Data!$D$9:$L$9,"",1,1),_xlfn.XLOOKUP(G43,Data!$D$4:$L$4,Data!$D$2:$L$2,"",1,1)))</f>
        <v>PB3</v>
      </c>
      <c r="L43" s="160" t="str" cm="1">
        <f t="array" ref="L43">IFERROR(_xlfn.IFNA(
                      _xlfn.IFS(
                      G43="", "",
                      G43=0, "",
                      AND(E43="U12B",G43&lt;=Data!$M$4), "U12 Boys record",
                      AND(E43="U12G",G43&lt;=Data!$M$11), "U12 Girls record"
                       ),""), "")</f>
        <v/>
      </c>
      <c r="M43" s="18" cm="1">
        <f t="array" ref="M43">_xlfn.IFS(OR($G43="",$G43=0),0, AND(NOT(ISNUMBER($G43)),LOWER($G43)&lt;&gt;"dnf"),"Not a valid time",OR(LOWER($G43)="dnf",$G43&gt;ScoringTable!$N$161),1,RIGHT($E43,1)="B",_xlfn.XLOOKUP($G43,ScoringTable!$N$2:$N$161,ScoringTable!$L$2:$L$161,,1),TRUE,_xlfn.XLOOKUP($G43,ScoringTable!$T$2:$T$161,ScoringTable!$R$2:$R$161,,1))</f>
        <v>57</v>
      </c>
      <c r="N43" s="18"/>
      <c r="Q43" s="117">
        <f t="shared" si="0"/>
        <v>131.1</v>
      </c>
      <c r="R43" s="118">
        <f t="shared" si="1"/>
        <v>2.1850000000000001</v>
      </c>
      <c r="S43" s="119">
        <f t="shared" si="2"/>
        <v>2</v>
      </c>
      <c r="T43" s="118">
        <f t="shared" si="3"/>
        <v>11.099999999999994</v>
      </c>
      <c r="U43" s="120">
        <f t="shared" si="4"/>
        <v>2.1109999999999998</v>
      </c>
    </row>
    <row r="44" spans="1:21" s="7" customFormat="1" ht="16.05" customHeight="1">
      <c r="A44" s="113" t="s">
        <v>95</v>
      </c>
      <c r="B44" s="114" t="str">
        <f>IF(ISNA(VLOOKUP($F44,Declarations!B$6:C$185,2,FALSE)),"",IF(VLOOKUP($F44,Declarations!B$6:C$185,2,FALSE)="","NOT DECLARED",IF(ISNA(_xlfn.TEXTBEFORE(VLOOKUP($F44,Declarations!B$6:C$185,2,FALSE)," ")),VLOOKUP($F44,Declarations!B$6:C$185,2,FALSE),_xlfn.TEXTBEFORE(VLOOKUP($F44,Declarations!B$6:C$185,2,FALSE)," "))))</f>
        <v>NORA</v>
      </c>
      <c r="C44" s="114" t="str">
        <f>IF(ISNA(VLOOKUP($F44,Declarations!B$6:C$185,2,FALSE)),"",IF(VLOOKUP($F44,Declarations!B$6:C$185,2,FALSE)="","NOT DECLARED",IF(ISNA(_xlfn.TEXTAFTER(VLOOKUP($F44,Declarations!B$6:C$185,2,FALSE)," ")),VLOOKUP($F44,Declarations!B$6:C$185,2,FALSE),_xlfn.TEXTAFTER(VLOOKUP($F44,Declarations!B$6:C$185,2,FALSE)," "))))</f>
        <v>POFF</v>
      </c>
      <c r="D44" s="114" t="str">
        <f>IF(ISNA(VLOOKUP($F44,Declarations!$B$6:$F$185,5,FALSE)),"",IF(VLOOKUP($F44,Declarations!$B$6:$F$185,5,FALSE)="","NOT DECLARED",VLOOKUP($F44,Declarations!$B$6:$F$185,5,FALSE)))</f>
        <v>Basingstoke &amp; Mid Hants AC</v>
      </c>
      <c r="E44" s="112" t="str">
        <f>IF(ISNA(VLOOKUP($F44,Declarations!$B$6:$D$185,3,FALSE)),"",IF(VLOOKUP($F44,Declarations!$B$6:$D$185,3,FALSE)="","NOT DECLARED",VLOOKUP($F44,Declarations!$B$6:$D$185,3,FALSE)&amp;LEFT(VLOOKUP($F44,Declarations!$B$6:$E$185,4,FALSE))))</f>
        <v>U12G</v>
      </c>
      <c r="F44" s="58">
        <v>102</v>
      </c>
      <c r="G44" s="115">
        <v>1.5312500000000001E-3</v>
      </c>
      <c r="H44" s="281"/>
      <c r="I44" s="114" t="str">
        <f>IF(ISNA(VLOOKUP(F44,Declarations!B$6:C$185,2,FALSE)),"",IF(VLOOKUP(F44,Declarations!B$6:C$185,2,FALSE)="","NOT DECLARED",VLOOKUP(F44,Declarations!B$6:C$185,2,FALSE)))</f>
        <v>NORA POFF</v>
      </c>
      <c r="J44" s="116">
        <f>IF(LOWER(G44)="dnf",1,IF(U44&lt;ScoringTable!C$3,ScoringTable!I$2,VLOOKUP((1000-U44),ScoringTable!H$2:I$95,2)))</f>
        <v>57</v>
      </c>
      <c r="K44" s="112" t="str">
        <f>IF(OR(E44="",G44=""),"",IF(RIGHT(E44,1)="G",_xlfn.XLOOKUP(G44,Data!$D$11:$L$11,Data!$D$9:$L$9,"",1,1),_xlfn.XLOOKUP(G44,Data!$D$4:$L$4,Data!$D$2:$L$2,"",1,1)))</f>
        <v>PB3</v>
      </c>
      <c r="L44" s="160" t="str" cm="1">
        <f t="array" ref="L44">IFERROR(_xlfn.IFNA(
                      _xlfn.IFS(
                      G44="", "",
                      G44=0, "",
                      AND(E44="U12B",G44&lt;=Data!$M$4), "U12 Boys record",
                      AND(E44="U12G",G44&lt;=Data!$M$11), "U12 Girls record"
                       ),""), "")</f>
        <v/>
      </c>
      <c r="M44" s="18" cm="1">
        <f t="array" ref="M44">_xlfn.IFS(OR($G44="",$G44=0),0, AND(NOT(ISNUMBER($G44)),LOWER($G44)&lt;&gt;"dnf"),"Not a valid time",OR(LOWER($G44)="dnf",$G44&gt;ScoringTable!$N$161),1,RIGHT($E44,1)="B",_xlfn.XLOOKUP($G44,ScoringTable!$N$2:$N$161,ScoringTable!$L$2:$L$161,,1),TRUE,_xlfn.XLOOKUP($G44,ScoringTable!$T$2:$T$161,ScoringTable!$R$2:$R$161,,1))</f>
        <v>55</v>
      </c>
      <c r="N44" s="18"/>
      <c r="Q44" s="117">
        <f t="shared" si="0"/>
        <v>132.30000000000001</v>
      </c>
      <c r="R44" s="118">
        <f t="shared" si="1"/>
        <v>2.2050000000000001</v>
      </c>
      <c r="S44" s="119">
        <f t="shared" si="2"/>
        <v>2</v>
      </c>
      <c r="T44" s="118">
        <f t="shared" si="3"/>
        <v>12.300000000000011</v>
      </c>
      <c r="U44" s="120">
        <f t="shared" si="4"/>
        <v>2.1230000000000002</v>
      </c>
    </row>
    <row r="45" spans="1:21" s="7" customFormat="1" ht="16.05" customHeight="1">
      <c r="A45" s="113" t="s">
        <v>95</v>
      </c>
      <c r="B45" s="114" t="str">
        <f>IF(ISNA(VLOOKUP($F45,Declarations!B$6:C$185,2,FALSE)),"",IF(VLOOKUP($F45,Declarations!B$6:C$185,2,FALSE)="","NOT DECLARED",IF(ISNA(_xlfn.TEXTBEFORE(VLOOKUP($F45,Declarations!B$6:C$185,2,FALSE)," ")),VLOOKUP($F45,Declarations!B$6:C$185,2,FALSE),_xlfn.TEXTBEFORE(VLOOKUP($F45,Declarations!B$6:C$185,2,FALSE)," "))))</f>
        <v>ALIYAH</v>
      </c>
      <c r="C45" s="114" t="str">
        <f>IF(ISNA(VLOOKUP($F45,Declarations!B$6:C$185,2,FALSE)),"",IF(VLOOKUP($F45,Declarations!B$6:C$185,2,FALSE)="","NOT DECLARED",IF(ISNA(_xlfn.TEXTAFTER(VLOOKUP($F45,Declarations!B$6:C$185,2,FALSE)," ")),VLOOKUP($F45,Declarations!B$6:C$185,2,FALSE),_xlfn.TEXTAFTER(VLOOKUP($F45,Declarations!B$6:C$185,2,FALSE)," "))))</f>
        <v>KENNAUGH</v>
      </c>
      <c r="D45" s="114" t="str">
        <f>IF(ISNA(VLOOKUP($F45,Declarations!$B$6:$F$185,5,FALSE)),"",IF(VLOOKUP($F45,Declarations!$B$6:$F$185,5,FALSE)="","NOT DECLARED",VLOOKUP($F45,Declarations!$B$6:$F$185,5,FALSE)))</f>
        <v>Woking AC</v>
      </c>
      <c r="E45" s="112" t="str">
        <f>IF(ISNA(VLOOKUP($F45,Declarations!$B$6:$D$185,3,FALSE)),"",IF(VLOOKUP($F45,Declarations!$B$6:$D$185,3,FALSE)="","NOT DECLARED",VLOOKUP($F45,Declarations!$B$6:$D$185,3,FALSE)&amp;LEFT(VLOOKUP($F45,Declarations!$B$6:$E$185,4,FALSE))))</f>
        <v>U12G</v>
      </c>
      <c r="F45" s="58">
        <v>23</v>
      </c>
      <c r="G45" s="115">
        <v>1.5393518518518519E-3</v>
      </c>
      <c r="H45" s="281"/>
      <c r="I45" s="114" t="str">
        <f>IF(ISNA(VLOOKUP(F45,Declarations!B$6:C$185,2,FALSE)),"",IF(VLOOKUP(F45,Declarations!B$6:C$185,2,FALSE)="","NOT DECLARED",VLOOKUP(F45,Declarations!B$6:C$185,2,FALSE)))</f>
        <v>ALIYAH KENNAUGH</v>
      </c>
      <c r="J45" s="116">
        <f>IF(LOWER(G45)="dnf",1,IF(U45&lt;ScoringTable!C$3,ScoringTable!I$2,VLOOKUP((1000-U45),ScoringTable!H$2:I$95,2)))</f>
        <v>57</v>
      </c>
      <c r="K45" s="112" t="str">
        <f>IF(OR(E45="",G45=""),"",IF(RIGHT(E45,1)="G",_xlfn.XLOOKUP(G45,Data!$D$11:$L$11,Data!$D$9:$L$9,"",1,1),_xlfn.XLOOKUP(G45,Data!$D$4:$L$4,Data!$D$2:$L$2,"",1,1)))</f>
        <v>PB3</v>
      </c>
      <c r="L45" s="160" t="str" cm="1">
        <f t="array" ref="L45">IFERROR(_xlfn.IFNA(
                      _xlfn.IFS(
                      G45="", "",
                      G45=0, "",
                      AND(E45="U12B",G45&lt;=Data!$M$4), "U12 Boys record",
                      AND(E45="U12G",G45&lt;=Data!$M$11), "U12 Girls record"
                       ),""), "")</f>
        <v/>
      </c>
      <c r="M45" s="18" cm="1">
        <f t="array" ref="M45">_xlfn.IFS(OR($G45="",$G45=0),0, AND(NOT(ISNUMBER($G45)),LOWER($G45)&lt;&gt;"dnf"),"Not a valid time",OR(LOWER($G45)="dnf",$G45&gt;ScoringTable!$N$161),1,RIGHT($E45,1)="B",_xlfn.XLOOKUP($G45,ScoringTable!$N$2:$N$161,ScoringTable!$L$2:$L$161,,1),TRUE,_xlfn.XLOOKUP($G45,ScoringTable!$T$2:$T$161,ScoringTable!$R$2:$R$161,,1))</f>
        <v>54</v>
      </c>
      <c r="N45" s="18"/>
      <c r="Q45" s="117">
        <f t="shared" si="0"/>
        <v>133</v>
      </c>
      <c r="R45" s="118">
        <f t="shared" si="1"/>
        <v>2.2166666666666668</v>
      </c>
      <c r="S45" s="119">
        <f t="shared" si="2"/>
        <v>2</v>
      </c>
      <c r="T45" s="118">
        <f t="shared" si="3"/>
        <v>13</v>
      </c>
      <c r="U45" s="120">
        <f t="shared" si="4"/>
        <v>2.13</v>
      </c>
    </row>
    <row r="46" spans="1:21" s="7" customFormat="1" ht="16.05" customHeight="1">
      <c r="A46" s="113" t="s">
        <v>95</v>
      </c>
      <c r="B46" s="114" t="str">
        <f>IF(ISNA(VLOOKUP($F46,Declarations!B$6:C$185,2,FALSE)),"",IF(VLOOKUP($F46,Declarations!B$6:C$185,2,FALSE)="","NOT DECLARED",IF(ISNA(_xlfn.TEXTBEFORE(VLOOKUP($F46,Declarations!B$6:C$185,2,FALSE)," ")),VLOOKUP($F46,Declarations!B$6:C$185,2,FALSE),_xlfn.TEXTBEFORE(VLOOKUP($F46,Declarations!B$6:C$185,2,FALSE)," "))))</f>
        <v>BEATRICE</v>
      </c>
      <c r="C46" s="114" t="str">
        <f>IF(ISNA(VLOOKUP($F46,Declarations!B$6:C$185,2,FALSE)),"",IF(VLOOKUP($F46,Declarations!B$6:C$185,2,FALSE)="","NOT DECLARED",IF(ISNA(_xlfn.TEXTAFTER(VLOOKUP($F46,Declarations!B$6:C$185,2,FALSE)," ")),VLOOKUP($F46,Declarations!B$6:C$185,2,FALSE),_xlfn.TEXTAFTER(VLOOKUP($F46,Declarations!B$6:C$185,2,FALSE)," "))))</f>
        <v>MONCAD</v>
      </c>
      <c r="D46" s="114" t="str">
        <f>IF(ISNA(VLOOKUP($F46,Declarations!$B$6:$F$185,5,FALSE)),"",IF(VLOOKUP($F46,Declarations!$B$6:$F$185,5,FALSE)="","NOT DECLARED",VLOOKUP($F46,Declarations!$B$6:$F$185,5,FALSE)))</f>
        <v>Basingstoke &amp; Mid Hants AC</v>
      </c>
      <c r="E46" s="112" t="str">
        <f>IF(ISNA(VLOOKUP($F46,Declarations!$B$6:$D$185,3,FALSE)),"",IF(VLOOKUP($F46,Declarations!$B$6:$D$185,3,FALSE)="","NOT DECLARED",VLOOKUP($F46,Declarations!$B$6:$D$185,3,FALSE)&amp;LEFT(VLOOKUP($F46,Declarations!$B$6:$E$185,4,FALSE))))</f>
        <v>U12G</v>
      </c>
      <c r="F46" s="58">
        <v>104</v>
      </c>
      <c r="G46" s="115">
        <v>1.5405092592592593E-3</v>
      </c>
      <c r="H46" s="281"/>
      <c r="I46" s="114" t="str">
        <f>IF(ISNA(VLOOKUP(F46,Declarations!B$6:C$185,2,FALSE)),"",IF(VLOOKUP(F46,Declarations!B$6:C$185,2,FALSE)="","NOT DECLARED",VLOOKUP(F46,Declarations!B$6:C$185,2,FALSE)))</f>
        <v>BEATRICE MONCAD</v>
      </c>
      <c r="J46" s="116">
        <f>IF(LOWER(G46)="dnf",1,IF(U46&lt;ScoringTable!C$3,ScoringTable!I$2,VLOOKUP((1000-U46),ScoringTable!H$2:I$95,2)))</f>
        <v>56</v>
      </c>
      <c r="K46" s="112" t="str">
        <f>IF(OR(E46="",G46=""),"",IF(RIGHT(E46,1)="G",_xlfn.XLOOKUP(G46,Data!$D$11:$L$11,Data!$D$9:$L$9,"",1,1),_xlfn.XLOOKUP(G46,Data!$D$4:$L$4,Data!$D$2:$L$2,"",1,1)))</f>
        <v>PB3</v>
      </c>
      <c r="L46" s="160" t="str" cm="1">
        <f t="array" ref="L46">IFERROR(_xlfn.IFNA(
                      _xlfn.IFS(
                      G46="", "",
                      G46=0, "",
                      AND(E46="U12B",G46&lt;=Data!$M$4), "U12 Boys record",
                      AND(E46="U12G",G46&lt;=Data!$M$11), "U12 Girls record"
                       ),""), "")</f>
        <v/>
      </c>
      <c r="M46" s="18" cm="1">
        <f t="array" ref="M46">_xlfn.IFS(OR($G46="",$G46=0),0, AND(NOT(ISNUMBER($G46)),LOWER($G46)&lt;&gt;"dnf"),"Not a valid time",OR(LOWER($G46)="dnf",$G46&gt;ScoringTable!$N$161),1,RIGHT($E46,1)="B",_xlfn.XLOOKUP($G46,ScoringTable!$N$2:$N$161,ScoringTable!$L$2:$L$161,,1),TRUE,_xlfn.XLOOKUP($G46,ScoringTable!$T$2:$T$161,ScoringTable!$R$2:$R$161,,1))</f>
        <v>53</v>
      </c>
      <c r="N46" s="18"/>
      <c r="Q46" s="117">
        <f t="shared" si="0"/>
        <v>133.1</v>
      </c>
      <c r="R46" s="118">
        <f t="shared" si="1"/>
        <v>2.2183333333333333</v>
      </c>
      <c r="S46" s="119">
        <f t="shared" si="2"/>
        <v>2</v>
      </c>
      <c r="T46" s="118">
        <f t="shared" si="3"/>
        <v>13.099999999999994</v>
      </c>
      <c r="U46" s="120">
        <f t="shared" si="4"/>
        <v>2.1309999999999998</v>
      </c>
    </row>
    <row r="47" spans="1:21" s="7" customFormat="1" ht="16.05" customHeight="1">
      <c r="A47" s="113" t="s">
        <v>95</v>
      </c>
      <c r="B47" s="114" t="str">
        <f>IF(ISNA(VLOOKUP($F47,Declarations!B$6:C$185,2,FALSE)),"",IF(VLOOKUP($F47,Declarations!B$6:C$185,2,FALSE)="","NOT DECLARED",IF(ISNA(_xlfn.TEXTBEFORE(VLOOKUP($F47,Declarations!B$6:C$185,2,FALSE)," ")),VLOOKUP($F47,Declarations!B$6:C$185,2,FALSE),_xlfn.TEXTBEFORE(VLOOKUP($F47,Declarations!B$6:C$185,2,FALSE)," "))))</f>
        <v>POLLY</v>
      </c>
      <c r="C47" s="114" t="str">
        <f>IF(ISNA(VLOOKUP($F47,Declarations!B$6:C$185,2,FALSE)),"",IF(VLOOKUP($F47,Declarations!B$6:C$185,2,FALSE)="","NOT DECLARED",IF(ISNA(_xlfn.TEXTAFTER(VLOOKUP($F47,Declarations!B$6:C$185,2,FALSE)," ")),VLOOKUP($F47,Declarations!B$6:C$185,2,FALSE),_xlfn.TEXTAFTER(VLOOKUP($F47,Declarations!B$6:C$185,2,FALSE)," "))))</f>
        <v>WARBOYS</v>
      </c>
      <c r="D47" s="114" t="str">
        <f>IF(ISNA(VLOOKUP($F47,Declarations!$B$6:$F$185,5,FALSE)),"",IF(VLOOKUP($F47,Declarations!$B$6:$F$185,5,FALSE)="","NOT DECLARED",VLOOKUP($F47,Declarations!$B$6:$F$185,5,FALSE)))</f>
        <v>Poole Runners</v>
      </c>
      <c r="E47" s="112" t="str">
        <f>IF(ISNA(VLOOKUP($F47,Declarations!$B$6:$D$185,3,FALSE)),"",IF(VLOOKUP($F47,Declarations!$B$6:$D$185,3,FALSE)="","NOT DECLARED",VLOOKUP($F47,Declarations!$B$6:$D$185,3,FALSE)&amp;LEFT(VLOOKUP($F47,Declarations!$B$6:$E$185,4,FALSE))))</f>
        <v>U12G</v>
      </c>
      <c r="F47" s="58">
        <v>44</v>
      </c>
      <c r="G47" s="115">
        <v>1.6226851851851851E-3</v>
      </c>
      <c r="H47" s="281"/>
      <c r="I47" s="114" t="str">
        <f>IF(ISNA(VLOOKUP(F47,Declarations!B$6:C$185,2,FALSE)),"",IF(VLOOKUP(F47,Declarations!B$6:C$185,2,FALSE)="","NOT DECLARED",VLOOKUP(F47,Declarations!B$6:C$185,2,FALSE)))</f>
        <v>POLLY WARBOYS</v>
      </c>
      <c r="J47" s="116">
        <f>IF(LOWER(G47)="dnf",1,IF(U47&lt;ScoringTable!C$3,ScoringTable!I$2,VLOOKUP((1000-U47),ScoringTable!H$2:I$95,2)))</f>
        <v>49</v>
      </c>
      <c r="K47" s="112" t="str">
        <f>IF(OR(E47="",G47=""),"",IF(RIGHT(E47,1)="G",_xlfn.XLOOKUP(G47,Data!$D$11:$L$11,Data!$D$9:$L$9,"",1,1),_xlfn.XLOOKUP(G47,Data!$D$4:$L$4,Data!$D$2:$L$2,"",1,1)))</f>
        <v>PB2</v>
      </c>
      <c r="L47" s="160" t="str" cm="1">
        <f t="array" ref="L47">IFERROR(_xlfn.IFNA(
                      _xlfn.IFS(
                      G47="", "",
                      G47=0, "",
                      AND(E47="U12B",G47&lt;=Data!$M$4), "U12 Boys record",
                      AND(E47="U12G",G47&lt;=Data!$M$11), "U12 Girls record"
                       ),""), "")</f>
        <v/>
      </c>
      <c r="M47" s="18" cm="1">
        <f t="array" ref="M47">_xlfn.IFS(OR($G47="",$G47=0),0, AND(NOT(ISNUMBER($G47)),LOWER($G47)&lt;&gt;"dnf"),"Not a valid time",OR(LOWER($G47)="dnf",$G47&gt;ScoringTable!$N$161),1,RIGHT($E47,1)="B",_xlfn.XLOOKUP($G47,ScoringTable!$N$2:$N$161,ScoringTable!$L$2:$L$161,,1),TRUE,_xlfn.XLOOKUP($G47,ScoringTable!$T$2:$T$161,ScoringTable!$R$2:$R$161,,1))</f>
        <v>39</v>
      </c>
      <c r="N47" s="18"/>
      <c r="Q47" s="117">
        <f t="shared" si="0"/>
        <v>140.19999999999999</v>
      </c>
      <c r="R47" s="118">
        <f t="shared" si="1"/>
        <v>2.3366666666666664</v>
      </c>
      <c r="S47" s="119">
        <f t="shared" si="2"/>
        <v>2</v>
      </c>
      <c r="T47" s="118">
        <f t="shared" si="3"/>
        <v>20.199999999999989</v>
      </c>
      <c r="U47" s="120">
        <f t="shared" si="4"/>
        <v>2.202</v>
      </c>
    </row>
    <row r="48" spans="1:21" s="7" customFormat="1" ht="16.05" customHeight="1">
      <c r="A48" s="113" t="s">
        <v>95</v>
      </c>
      <c r="B48" s="114" t="str">
        <f>IF(ISNA(VLOOKUP($F48,Declarations!B$6:C$185,2,FALSE)),"",IF(VLOOKUP($F48,Declarations!B$6:C$185,2,FALSE)="","NOT DECLARED",IF(ISNA(_xlfn.TEXTBEFORE(VLOOKUP($F48,Declarations!B$6:C$185,2,FALSE)," ")),VLOOKUP($F48,Declarations!B$6:C$185,2,FALSE),_xlfn.TEXTBEFORE(VLOOKUP($F48,Declarations!B$6:C$185,2,FALSE)," "))))</f>
        <v>JESSICA</v>
      </c>
      <c r="C48" s="114" t="str">
        <f>IF(ISNA(VLOOKUP($F48,Declarations!B$6:C$185,2,FALSE)),"",IF(VLOOKUP($F48,Declarations!B$6:C$185,2,FALSE)="","NOT DECLARED",IF(ISNA(_xlfn.TEXTAFTER(VLOOKUP($F48,Declarations!B$6:C$185,2,FALSE)," ")),VLOOKUP($F48,Declarations!B$6:C$185,2,FALSE),_xlfn.TEXTAFTER(VLOOKUP($F48,Declarations!B$6:C$185,2,FALSE)," "))))</f>
        <v>FRANK</v>
      </c>
      <c r="D48" s="114" t="str">
        <f>IF(ISNA(VLOOKUP($F48,Declarations!$B$6:$F$185,5,FALSE)),"",IF(VLOOKUP($F48,Declarations!$B$6:$F$185,5,FALSE)="","NOT DECLARED",VLOOKUP($F48,Declarations!$B$6:$F$185,5,FALSE)))</f>
        <v>Poole Runners</v>
      </c>
      <c r="E48" s="112" t="str">
        <f>IF(ISNA(VLOOKUP($F48,Declarations!$B$6:$D$185,3,FALSE)),"",IF(VLOOKUP($F48,Declarations!$B$6:$D$185,3,FALSE)="","NOT DECLARED",VLOOKUP($F48,Declarations!$B$6:$D$185,3,FALSE)&amp;LEFT(VLOOKUP($F48,Declarations!$B$6:$E$185,4,FALSE))))</f>
        <v>U12G</v>
      </c>
      <c r="F48" s="58">
        <v>47</v>
      </c>
      <c r="G48" s="115">
        <v>1.673611111111111E-3</v>
      </c>
      <c r="H48" s="281"/>
      <c r="I48" s="114" t="str">
        <f>IF(ISNA(VLOOKUP(F48,Declarations!B$6:C$185,2,FALSE)),"",IF(VLOOKUP(F48,Declarations!B$6:C$185,2,FALSE)="","NOT DECLARED",VLOOKUP(F48,Declarations!B$6:C$185,2,FALSE)))</f>
        <v>JESSICA FRANK</v>
      </c>
      <c r="J48" s="116">
        <f>IF(LOWER(G48)="dnf",1,IF(U48&lt;ScoringTable!C$3,ScoringTable!I$2,VLOOKUP((1000-U48),ScoringTable!H$2:I$95,2)))</f>
        <v>45</v>
      </c>
      <c r="K48" s="112" t="str">
        <f>IF(OR(E48="",G48=""),"",IF(RIGHT(E48,1)="G",_xlfn.XLOOKUP(G48,Data!$D$11:$L$11,Data!$D$9:$L$9,"",1,1),_xlfn.XLOOKUP(G48,Data!$D$4:$L$4,Data!$D$2:$L$2,"",1,1)))</f>
        <v>PB2</v>
      </c>
      <c r="L48" s="160" t="str" cm="1">
        <f t="array" ref="L48">IFERROR(_xlfn.IFNA(
                      _xlfn.IFS(
                      G48="", "",
                      G48=0, "",
                      AND(E48="U12B",G48&lt;=Data!$M$4), "U12 Boys record",
                      AND(E48="U12G",G48&lt;=Data!$M$11), "U12 Girls record"
                       ),""), "")</f>
        <v/>
      </c>
      <c r="M48" s="18" cm="1">
        <f t="array" ref="M48">_xlfn.IFS(OR($G48="",$G48=0),0, AND(NOT(ISNUMBER($G48)),LOWER($G48)&lt;&gt;"dnf"),"Not a valid time",OR(LOWER($G48)="dnf",$G48&gt;ScoringTable!$N$161),1,RIGHT($E48,1)="B",_xlfn.XLOOKUP($G48,ScoringTable!$N$2:$N$161,ScoringTable!$L$2:$L$161,,1),TRUE,_xlfn.XLOOKUP($G48,ScoringTable!$T$2:$T$161,ScoringTable!$R$2:$R$161,,1))</f>
        <v>30</v>
      </c>
      <c r="N48" s="18"/>
      <c r="Q48" s="117">
        <f t="shared" si="0"/>
        <v>144.6</v>
      </c>
      <c r="R48" s="118">
        <f t="shared" si="1"/>
        <v>2.4099999999999997</v>
      </c>
      <c r="S48" s="119">
        <f t="shared" si="2"/>
        <v>2</v>
      </c>
      <c r="T48" s="118">
        <f t="shared" si="3"/>
        <v>24.599999999999994</v>
      </c>
      <c r="U48" s="120">
        <f t="shared" si="4"/>
        <v>2.246</v>
      </c>
    </row>
    <row r="49" spans="1:21" s="7" customFormat="1" ht="16.05" customHeight="1">
      <c r="A49" s="113" t="s">
        <v>95</v>
      </c>
      <c r="B49" s="114" t="str">
        <f>IF(ISNA(VLOOKUP($F49,Declarations!B$6:C$185,2,FALSE)),"",IF(VLOOKUP($F49,Declarations!B$6:C$185,2,FALSE)="","NOT DECLARED",IF(ISNA(_xlfn.TEXTBEFORE(VLOOKUP($F49,Declarations!B$6:C$185,2,FALSE)," ")),VLOOKUP($F49,Declarations!B$6:C$185,2,FALSE),_xlfn.TEXTBEFORE(VLOOKUP($F49,Declarations!B$6:C$185,2,FALSE)," "))))</f>
        <v>IZZY</v>
      </c>
      <c r="C49" s="114" t="str">
        <f>IF(ISNA(VLOOKUP($F49,Declarations!B$6:C$185,2,FALSE)),"",IF(VLOOKUP($F49,Declarations!B$6:C$185,2,FALSE)="","NOT DECLARED",IF(ISNA(_xlfn.TEXTAFTER(VLOOKUP($F49,Declarations!B$6:C$185,2,FALSE)," ")),VLOOKUP($F49,Declarations!B$6:C$185,2,FALSE),_xlfn.TEXTAFTER(VLOOKUP($F49,Declarations!B$6:C$185,2,FALSE)," "))))</f>
        <v>YOUNG</v>
      </c>
      <c r="D49" s="114" t="str">
        <f>IF(ISNA(VLOOKUP($F49,Declarations!$B$6:$F$185,5,FALSE)),"",IF(VLOOKUP($F49,Declarations!$B$6:$F$185,5,FALSE)="","NOT DECLARED",VLOOKUP($F49,Declarations!$B$6:$F$185,5,FALSE)))</f>
        <v>Poole Runners</v>
      </c>
      <c r="E49" s="112" t="str">
        <f>IF(ISNA(VLOOKUP($F49,Declarations!$B$6:$D$185,3,FALSE)),"",IF(VLOOKUP($F49,Declarations!$B$6:$D$185,3,FALSE)="","NOT DECLARED",VLOOKUP($F49,Declarations!$B$6:$D$185,3,FALSE)&amp;LEFT(VLOOKUP($F49,Declarations!$B$6:$E$185,4,FALSE))))</f>
        <v>U12G</v>
      </c>
      <c r="F49" s="58">
        <v>49</v>
      </c>
      <c r="G49" s="115">
        <v>1.707175925925926E-3</v>
      </c>
      <c r="H49" s="281"/>
      <c r="I49" s="114" t="str">
        <f>IF(ISNA(VLOOKUP(F49,Declarations!B$6:C$185,2,FALSE)),"",IF(VLOOKUP(F49,Declarations!B$6:C$185,2,FALSE)="","NOT DECLARED",VLOOKUP(F49,Declarations!B$6:C$185,2,FALSE)))</f>
        <v>IZZY YOUNG</v>
      </c>
      <c r="J49" s="116">
        <f>IF(LOWER(G49)="dnf",1,IF(U49&lt;ScoringTable!C$3,ScoringTable!I$2,VLOOKUP((1000-U49),ScoringTable!H$2:I$95,2)))</f>
        <v>42</v>
      </c>
      <c r="K49" s="112" t="str">
        <f>IF(OR(E49="",G49=""),"",IF(RIGHT(E49,1)="G",_xlfn.XLOOKUP(G49,Data!$D$11:$L$11,Data!$D$9:$L$9,"",1,1),_xlfn.XLOOKUP(G49,Data!$D$4:$L$4,Data!$D$2:$L$2,"",1,1)))</f>
        <v>PB1</v>
      </c>
      <c r="L49" s="160" t="str" cm="1">
        <f t="array" ref="L49">IFERROR(_xlfn.IFNA(
                      _xlfn.IFS(
                      G49="", "",
                      G49=0, "",
                      AND(E49="U12B",G49&lt;=Data!$M$4), "U12 Boys record",
                      AND(E49="U12G",G49&lt;=Data!$M$11), "U12 Girls record"
                       ),""), "")</f>
        <v/>
      </c>
      <c r="M49" s="18" cm="1">
        <f t="array" ref="M49">_xlfn.IFS(OR($G49="",$G49=0),0, AND(NOT(ISNUMBER($G49)),LOWER($G49)&lt;&gt;"dnf"),"Not a valid time",OR(LOWER($G49)="dnf",$G49&gt;ScoringTable!$N$161),1,RIGHT($E49,1)="B",_xlfn.XLOOKUP($G49,ScoringTable!$N$2:$N$161,ScoringTable!$L$2:$L$161,,1),TRUE,_xlfn.XLOOKUP($G49,ScoringTable!$T$2:$T$161,ScoringTable!$R$2:$R$161,,1))</f>
        <v>27</v>
      </c>
      <c r="N49" s="18"/>
      <c r="Q49" s="117">
        <f t="shared" si="0"/>
        <v>147.5</v>
      </c>
      <c r="R49" s="118">
        <f t="shared" si="1"/>
        <v>2.4583333333333335</v>
      </c>
      <c r="S49" s="119">
        <f t="shared" si="2"/>
        <v>2</v>
      </c>
      <c r="T49" s="118">
        <f t="shared" si="3"/>
        <v>27.5</v>
      </c>
      <c r="U49" s="120">
        <f t="shared" si="4"/>
        <v>2.2749999999999999</v>
      </c>
    </row>
    <row r="50" spans="1:21" s="7" customFormat="1" ht="16.05" customHeight="1">
      <c r="A50" s="113" t="s">
        <v>95</v>
      </c>
      <c r="B50" s="114" t="str">
        <f>IF(ISNA(VLOOKUP($F50,Declarations!B$6:C$185,2,FALSE)),"",IF(VLOOKUP($F50,Declarations!B$6:C$185,2,FALSE)="","NOT DECLARED",IF(ISNA(_xlfn.TEXTBEFORE(VLOOKUP($F50,Declarations!B$6:C$185,2,FALSE)," ")),VLOOKUP($F50,Declarations!B$6:C$185,2,FALSE),_xlfn.TEXTBEFORE(VLOOKUP($F50,Declarations!B$6:C$185,2,FALSE)," "))))</f>
        <v>ELEANOR</v>
      </c>
      <c r="C50" s="114" t="str">
        <f>IF(ISNA(VLOOKUP($F50,Declarations!B$6:C$185,2,FALSE)),"",IF(VLOOKUP($F50,Declarations!B$6:C$185,2,FALSE)="","NOT DECLARED",IF(ISNA(_xlfn.TEXTAFTER(VLOOKUP($F50,Declarations!B$6:C$185,2,FALSE)," ")),VLOOKUP($F50,Declarations!B$6:C$185,2,FALSE),_xlfn.TEXTAFTER(VLOOKUP($F50,Declarations!B$6:C$185,2,FALSE)," "))))</f>
        <v>OLALEMI</v>
      </c>
      <c r="D50" s="114" t="str">
        <f>IF(ISNA(VLOOKUP($F50,Declarations!$B$6:$F$185,5,FALSE)),"",IF(VLOOKUP($F50,Declarations!$B$6:$F$185,5,FALSE)="","NOT DECLARED",VLOOKUP($F50,Declarations!$B$6:$F$185,5,FALSE)))</f>
        <v>Waverley Athletics Club</v>
      </c>
      <c r="E50" s="112" t="str">
        <f>IF(ISNA(VLOOKUP($F50,Declarations!$B$6:$D$185,3,FALSE)),"",IF(VLOOKUP($F50,Declarations!$B$6:$D$185,3,FALSE)="","NOT DECLARED",VLOOKUP($F50,Declarations!$B$6:$D$185,3,FALSE)&amp;LEFT(VLOOKUP($F50,Declarations!$B$6:$E$185,4,FALSE))))</f>
        <v>U12G</v>
      </c>
      <c r="F50" s="58">
        <v>83</v>
      </c>
      <c r="G50" s="115">
        <v>1.7534722222222222E-3</v>
      </c>
      <c r="H50" s="281"/>
      <c r="I50" s="114" t="str">
        <f>IF(ISNA(VLOOKUP(F50,Declarations!B$6:C$185,2,FALSE)),"",IF(VLOOKUP(F50,Declarations!B$6:C$185,2,FALSE)="","NOT DECLARED",VLOOKUP(F50,Declarations!B$6:C$185,2,FALSE)))</f>
        <v>ELEANOR OLALEMI</v>
      </c>
      <c r="J50" s="116">
        <f>IF(LOWER(G50)="dnf",1,IF(U50&lt;ScoringTable!C$3,ScoringTable!I$2,VLOOKUP((1000-U50),ScoringTable!H$2:I$95,2)))</f>
        <v>38</v>
      </c>
      <c r="K50" s="112" t="str">
        <f>IF(OR(E50="",G50=""),"",IF(RIGHT(E50,1)="G",_xlfn.XLOOKUP(G50,Data!$D$11:$L$11,Data!$D$9:$L$9,"",1,1),_xlfn.XLOOKUP(G50,Data!$D$4:$L$4,Data!$D$2:$L$2,"",1,1)))</f>
        <v>PB1</v>
      </c>
      <c r="L50" s="160" t="str" cm="1">
        <f t="array" ref="L50">IFERROR(_xlfn.IFNA(
                      _xlfn.IFS(
                      G50="", "",
                      G50=0, "",
                      AND(E50="U12B",G50&lt;=Data!$M$4), "U12 Boys record",
                      AND(E50="U12G",G50&lt;=Data!$M$11), "U12 Girls record"
                       ),""), "")</f>
        <v/>
      </c>
      <c r="M50" s="18" cm="1">
        <f t="array" ref="M50">_xlfn.IFS(OR($G50="",$G50=0),0, AND(NOT(ISNUMBER($G50)),LOWER($G50)&lt;&gt;"dnf"),"Not a valid time",OR(LOWER($G50)="dnf",$G50&gt;ScoringTable!$N$161),1,RIGHT($E50,1)="B",_xlfn.XLOOKUP($G50,ScoringTable!$N$2:$N$161,ScoringTable!$L$2:$L$161,,1),TRUE,_xlfn.XLOOKUP($G50,ScoringTable!$T$2:$T$161,ScoringTable!$R$2:$R$161,,1))</f>
        <v>23</v>
      </c>
      <c r="N50" s="18"/>
      <c r="Q50" s="117">
        <f t="shared" si="0"/>
        <v>151.5</v>
      </c>
      <c r="R50" s="118">
        <f t="shared" si="1"/>
        <v>2.5249999999999999</v>
      </c>
      <c r="S50" s="119">
        <f t="shared" si="2"/>
        <v>2</v>
      </c>
      <c r="T50" s="118">
        <f t="shared" si="3"/>
        <v>31.5</v>
      </c>
      <c r="U50" s="120">
        <f t="shared" si="4"/>
        <v>2.3149999999999999</v>
      </c>
    </row>
    <row r="51" spans="1:21" s="7" customFormat="1" ht="16.05" customHeight="1">
      <c r="A51" s="113" t="s">
        <v>95</v>
      </c>
      <c r="B51" s="114" t="str">
        <f>IF(ISNA(VLOOKUP($F51,Declarations!B$6:C$185,2,FALSE)),"",IF(VLOOKUP($F51,Declarations!B$6:C$185,2,FALSE)="","NOT DECLARED",IF(ISNA(_xlfn.TEXTBEFORE(VLOOKUP($F51,Declarations!B$6:C$185,2,FALSE)," ")),VLOOKUP($F51,Declarations!B$6:C$185,2,FALSE),_xlfn.TEXTBEFORE(VLOOKUP($F51,Declarations!B$6:C$185,2,FALSE)," "))))</f>
        <v>MATTHEW</v>
      </c>
      <c r="C51" s="114" t="str">
        <f>IF(ISNA(VLOOKUP($F51,Declarations!B$6:C$185,2,FALSE)),"",IF(VLOOKUP($F51,Declarations!B$6:C$185,2,FALSE)="","NOT DECLARED",IF(ISNA(_xlfn.TEXTAFTER(VLOOKUP($F51,Declarations!B$6:C$185,2,FALSE)," ")),VLOOKUP($F51,Declarations!B$6:C$185,2,FALSE),_xlfn.TEXTAFTER(VLOOKUP($F51,Declarations!B$6:C$185,2,FALSE)," "))))</f>
        <v>SCALES</v>
      </c>
      <c r="D51" s="114" t="str">
        <f>IF(ISNA(VLOOKUP($F51,Declarations!$B$6:$F$185,5,FALSE)),"",IF(VLOOKUP($F51,Declarations!$B$6:$F$185,5,FALSE)="","NOT DECLARED",VLOOKUP($F51,Declarations!$B$6:$F$185,5,FALSE)))</f>
        <v>Camberley &amp; District AC</v>
      </c>
      <c r="E51" s="112" t="str">
        <f>IF(ISNA(VLOOKUP($F51,Declarations!$B$6:$D$185,3,FALSE)),"",IF(VLOOKUP($F51,Declarations!$B$6:$D$185,3,FALSE)="","NOT DECLARED",VLOOKUP($F51,Declarations!$B$6:$D$185,3,FALSE)&amp;LEFT(VLOOKUP($F51,Declarations!$B$6:$E$185,4,FALSE))))</f>
        <v>U12B</v>
      </c>
      <c r="F51" s="58">
        <v>11</v>
      </c>
      <c r="G51" s="115">
        <v>1.2789351851851853E-3</v>
      </c>
      <c r="H51" s="281"/>
      <c r="I51" s="114" t="str">
        <f>IF(ISNA(VLOOKUP(F51,Declarations!B$6:C$185,2,FALSE)),"",IF(VLOOKUP(F51,Declarations!B$6:C$185,2,FALSE)="","NOT DECLARED",VLOOKUP(F51,Declarations!B$6:C$185,2,FALSE)))</f>
        <v>MATTHEW SCALES</v>
      </c>
      <c r="J51" s="116">
        <f>IF(LOWER(G51)="dnf",1,IF(U51&lt;ScoringTable!C$3,ScoringTable!I$2,VLOOKUP((1000-U51),ScoringTable!H$2:I$95,2)))</f>
        <v>79</v>
      </c>
      <c r="K51" s="112" t="str">
        <f>IF(OR(E51="",G51=""),"",IF(RIGHT(E51,1)="G",_xlfn.XLOOKUP(G51,Data!$D$11:$L$11,Data!$D$9:$L$9,"",1,1),_xlfn.XLOOKUP(G51,Data!$D$4:$L$4,Data!$D$2:$L$2,"",1,1)))</f>
        <v>PB7</v>
      </c>
      <c r="L51" s="160" t="str" cm="1">
        <f t="array" ref="L51">IFERROR(_xlfn.IFNA(
                      _xlfn.IFS(
                      G51="", "",
                      G51=0, "",
                      AND(E51="U12B",G51&lt;=Data!$M$4), "U12 Boys record",
                      AND(E51="U12G",G51&lt;=Data!$M$11), "U12 Girls record"
                       ),""), "")</f>
        <v/>
      </c>
      <c r="M51" s="18" cm="1">
        <f t="array" ref="M51">_xlfn.IFS(OR($G51="",$G51=0),0, AND(NOT(ISNUMBER($G51)),LOWER($G51)&lt;&gt;"dnf"),"Not a valid time",OR(LOWER($G51)="dnf",$G51&gt;ScoringTable!$N$161),1,RIGHT($E51,1)="B",_xlfn.XLOOKUP($G51,ScoringTable!$N$2:$N$161,ScoringTable!$L$2:$L$161,,1),TRUE,_xlfn.XLOOKUP($G51,ScoringTable!$T$2:$T$161,ScoringTable!$R$2:$R$161,,1))</f>
        <v>85</v>
      </c>
      <c r="N51" s="18"/>
      <c r="Q51" s="117">
        <f t="shared" si="0"/>
        <v>110.5</v>
      </c>
      <c r="R51" s="118">
        <f t="shared" si="1"/>
        <v>1.8416666666666666</v>
      </c>
      <c r="S51" s="119">
        <f t="shared" si="2"/>
        <v>1</v>
      </c>
      <c r="T51" s="118">
        <f t="shared" si="3"/>
        <v>50.5</v>
      </c>
      <c r="U51" s="120">
        <f t="shared" si="4"/>
        <v>1.5049999999999999</v>
      </c>
    </row>
    <row r="52" spans="1:21" s="7" customFormat="1" ht="16.05" customHeight="1">
      <c r="A52" s="113" t="s">
        <v>95</v>
      </c>
      <c r="B52" s="114" t="str">
        <f>IF(ISNA(VLOOKUP($F52,Declarations!B$6:C$185,2,FALSE)),"",IF(VLOOKUP($F52,Declarations!B$6:C$185,2,FALSE)="","NOT DECLARED",IF(ISNA(_xlfn.TEXTBEFORE(VLOOKUP($F52,Declarations!B$6:C$185,2,FALSE)," ")),VLOOKUP($F52,Declarations!B$6:C$185,2,FALSE),_xlfn.TEXTBEFORE(VLOOKUP($F52,Declarations!B$6:C$185,2,FALSE)," "))))</f>
        <v>KAI</v>
      </c>
      <c r="C52" s="114" t="str">
        <f>IF(ISNA(VLOOKUP($F52,Declarations!B$6:C$185,2,FALSE)),"",IF(VLOOKUP($F52,Declarations!B$6:C$185,2,FALSE)="","NOT DECLARED",IF(ISNA(_xlfn.TEXTAFTER(VLOOKUP($F52,Declarations!B$6:C$185,2,FALSE)," ")),VLOOKUP($F52,Declarations!B$6:C$185,2,FALSE),_xlfn.TEXTAFTER(VLOOKUP($F52,Declarations!B$6:C$185,2,FALSE)," "))))</f>
        <v>TEGG</v>
      </c>
      <c r="D52" s="114" t="str">
        <f>IF(ISNA(VLOOKUP($F52,Declarations!$B$6:$F$185,5,FALSE)),"",IF(VLOOKUP($F52,Declarations!$B$6:$F$185,5,FALSE)="","NOT DECLARED",VLOOKUP($F52,Declarations!$B$6:$F$185,5,FALSE)))</f>
        <v>Woking AC</v>
      </c>
      <c r="E52" s="112" t="str">
        <f>IF(ISNA(VLOOKUP($F52,Declarations!$B$6:$D$185,3,FALSE)),"",IF(VLOOKUP($F52,Declarations!$B$6:$D$185,3,FALSE)="","NOT DECLARED",VLOOKUP($F52,Declarations!$B$6:$D$185,3,FALSE)&amp;LEFT(VLOOKUP($F52,Declarations!$B$6:$E$185,4,FALSE))))</f>
        <v>U12B</v>
      </c>
      <c r="F52" s="58">
        <v>36</v>
      </c>
      <c r="G52" s="115">
        <v>1.2824074074074075E-3</v>
      </c>
      <c r="H52" s="281"/>
      <c r="I52" s="114" t="str">
        <f>IF(ISNA(VLOOKUP(F52,Declarations!B$6:C$185,2,FALSE)),"",IF(VLOOKUP(F52,Declarations!B$6:C$185,2,FALSE)="","NOT DECLARED",VLOOKUP(F52,Declarations!B$6:C$185,2,FALSE)))</f>
        <v>KAI TEGG</v>
      </c>
      <c r="J52" s="116">
        <f>IF(LOWER(G52)="dnf",1,IF(U52&lt;ScoringTable!C$3,ScoringTable!I$2,VLOOKUP((1000-U52),ScoringTable!H$2:I$95,2)))</f>
        <v>79</v>
      </c>
      <c r="K52" s="112" t="str">
        <f>IF(OR(E52="",G52=""),"",IF(RIGHT(E52,1)="G",_xlfn.XLOOKUP(G52,Data!$D$11:$L$11,Data!$D$9:$L$9,"",1,1),_xlfn.XLOOKUP(G52,Data!$D$4:$L$4,Data!$D$2:$L$2,"",1,1)))</f>
        <v>PB7</v>
      </c>
      <c r="L52" s="160" t="str" cm="1">
        <f t="array" ref="L52">IFERROR(_xlfn.IFNA(
                      _xlfn.IFS(
                      G52="", "",
                      G52=0, "",
                      AND(E52="U12B",G52&lt;=Data!$M$4), "U12 Boys record",
                      AND(E52="U12G",G52&lt;=Data!$M$11), "U12 Girls record"
                       ),""), "")</f>
        <v/>
      </c>
      <c r="M52" s="18" cm="1">
        <f t="array" ref="M52">_xlfn.IFS(OR($G52="",$G52=0),0, AND(NOT(ISNUMBER($G52)),LOWER($G52)&lt;&gt;"dnf"),"Not a valid time",OR(LOWER($G52)="dnf",$G52&gt;ScoringTable!$N$161),1,RIGHT($E52,1)="B",_xlfn.XLOOKUP($G52,ScoringTable!$N$2:$N$161,ScoringTable!$L$2:$L$161,,1),TRUE,_xlfn.XLOOKUP($G52,ScoringTable!$T$2:$T$161,ScoringTable!$R$2:$R$161,,1))</f>
        <v>84</v>
      </c>
      <c r="N52" s="18"/>
      <c r="Q52" s="117">
        <f t="shared" si="0"/>
        <v>110.8</v>
      </c>
      <c r="R52" s="118">
        <f t="shared" si="1"/>
        <v>1.8466666666666667</v>
      </c>
      <c r="S52" s="119">
        <f t="shared" si="2"/>
        <v>1</v>
      </c>
      <c r="T52" s="118">
        <f t="shared" si="3"/>
        <v>50.8</v>
      </c>
      <c r="U52" s="120">
        <f t="shared" si="4"/>
        <v>1.508</v>
      </c>
    </row>
    <row r="53" spans="1:21" s="7" customFormat="1" ht="16.05" customHeight="1">
      <c r="A53" s="113" t="s">
        <v>95</v>
      </c>
      <c r="B53" s="114" t="str">
        <f>IF(ISNA(VLOOKUP($F53,Declarations!B$6:C$185,2,FALSE)),"",IF(VLOOKUP($F53,Declarations!B$6:C$185,2,FALSE)="","NOT DECLARED",IF(ISNA(_xlfn.TEXTBEFORE(VLOOKUP($F53,Declarations!B$6:C$185,2,FALSE)," ")),VLOOKUP($F53,Declarations!B$6:C$185,2,FALSE),_xlfn.TEXTBEFORE(VLOOKUP($F53,Declarations!B$6:C$185,2,FALSE)," "))))</f>
        <v>WILLIAM</v>
      </c>
      <c r="C53" s="114" t="str">
        <f>IF(ISNA(VLOOKUP($F53,Declarations!B$6:C$185,2,FALSE)),"",IF(VLOOKUP($F53,Declarations!B$6:C$185,2,FALSE)="","NOT DECLARED",IF(ISNA(_xlfn.TEXTAFTER(VLOOKUP($F53,Declarations!B$6:C$185,2,FALSE)," ")),VLOOKUP($F53,Declarations!B$6:C$185,2,FALSE),_xlfn.TEXTAFTER(VLOOKUP($F53,Declarations!B$6:C$185,2,FALSE)," "))))</f>
        <v>PEARCE</v>
      </c>
      <c r="D53" s="114" t="str">
        <f>IF(ISNA(VLOOKUP($F53,Declarations!$B$6:$F$185,5,FALSE)),"",IF(VLOOKUP($F53,Declarations!$B$6:$F$185,5,FALSE)="","NOT DECLARED",VLOOKUP($F53,Declarations!$B$6:$F$185,5,FALSE)))</f>
        <v>Woking AC</v>
      </c>
      <c r="E53" s="112" t="str">
        <f>IF(ISNA(VLOOKUP($F53,Declarations!$B$6:$D$185,3,FALSE)),"",IF(VLOOKUP($F53,Declarations!$B$6:$D$185,3,FALSE)="","NOT DECLARED",VLOOKUP($F53,Declarations!$B$6:$D$185,3,FALSE)&amp;LEFT(VLOOKUP($F53,Declarations!$B$6:$E$185,4,FALSE))))</f>
        <v>U12B</v>
      </c>
      <c r="F53" s="58">
        <v>33</v>
      </c>
      <c r="G53" s="115">
        <v>1.2893518518518519E-3</v>
      </c>
      <c r="H53" s="281"/>
      <c r="I53" s="114" t="str">
        <f>IF(ISNA(VLOOKUP(F53,Declarations!B$6:C$185,2,FALSE)),"",IF(VLOOKUP(F53,Declarations!B$6:C$185,2,FALSE)="","NOT DECLARED",VLOOKUP(F53,Declarations!B$6:C$185,2,FALSE)))</f>
        <v>WILLIAM PEARCE</v>
      </c>
      <c r="J53" s="116">
        <f>IF(LOWER(G53)="dnf",1,IF(U53&lt;ScoringTable!C$3,ScoringTable!I$2,VLOOKUP((1000-U53),ScoringTable!H$2:I$95,2)))</f>
        <v>78</v>
      </c>
      <c r="K53" s="112" t="str">
        <f>IF(OR(E53="",G53=""),"",IF(RIGHT(E53,1)="G",_xlfn.XLOOKUP(G53,Data!$D$11:$L$11,Data!$D$9:$L$9,"",1,1),_xlfn.XLOOKUP(G53,Data!$D$4:$L$4,Data!$D$2:$L$2,"",1,1)))</f>
        <v>PB7</v>
      </c>
      <c r="L53" s="160" t="str" cm="1">
        <f t="array" ref="L53">IFERROR(_xlfn.IFNA(
                      _xlfn.IFS(
                      G53="", "",
                      G53=0, "",
                      AND(E53="U12B",G53&lt;=Data!$M$4), "U12 Boys record",
                      AND(E53="U12G",G53&lt;=Data!$M$11), "U12 Girls record"
                       ),""), "")</f>
        <v/>
      </c>
      <c r="M53" s="18" cm="1">
        <f t="array" ref="M53">_xlfn.IFS(OR($G53="",$G53=0),0, AND(NOT(ISNUMBER($G53)),LOWER($G53)&lt;&gt;"dnf"),"Not a valid time",OR(LOWER($G53)="dnf",$G53&gt;ScoringTable!$N$161),1,RIGHT($E53,1)="B",_xlfn.XLOOKUP($G53,ScoringTable!$N$2:$N$161,ScoringTable!$L$2:$L$161,,1),TRUE,_xlfn.XLOOKUP($G53,ScoringTable!$T$2:$T$161,ScoringTable!$R$2:$R$161,,1))</f>
        <v>82</v>
      </c>
      <c r="N53" s="18"/>
      <c r="Q53" s="117">
        <f t="shared" si="0"/>
        <v>111.4</v>
      </c>
      <c r="R53" s="118">
        <f t="shared" si="1"/>
        <v>1.8566666666666667</v>
      </c>
      <c r="S53" s="119">
        <f t="shared" si="2"/>
        <v>1</v>
      </c>
      <c r="T53" s="118">
        <f t="shared" si="3"/>
        <v>51.400000000000006</v>
      </c>
      <c r="U53" s="120">
        <f t="shared" si="4"/>
        <v>1.514</v>
      </c>
    </row>
    <row r="54" spans="1:21" s="7" customFormat="1" ht="16.05" customHeight="1">
      <c r="A54" s="113" t="s">
        <v>95</v>
      </c>
      <c r="B54" s="114" t="str">
        <f>IF(ISNA(VLOOKUP($F54,Declarations!B$6:C$185,2,FALSE)),"",IF(VLOOKUP($F54,Declarations!B$6:C$185,2,FALSE)="","NOT DECLARED",IF(ISNA(_xlfn.TEXTBEFORE(VLOOKUP($F54,Declarations!B$6:C$185,2,FALSE)," ")),VLOOKUP($F54,Declarations!B$6:C$185,2,FALSE),_xlfn.TEXTBEFORE(VLOOKUP($F54,Declarations!B$6:C$185,2,FALSE)," "))))</f>
        <v>CHARLIE</v>
      </c>
      <c r="C54" s="114" t="str">
        <f>IF(ISNA(VLOOKUP($F54,Declarations!B$6:C$185,2,FALSE)),"",IF(VLOOKUP($F54,Declarations!B$6:C$185,2,FALSE)="","NOT DECLARED",IF(ISNA(_xlfn.TEXTAFTER(VLOOKUP($F54,Declarations!B$6:C$185,2,FALSE)," ")),VLOOKUP($F54,Declarations!B$6:C$185,2,FALSE),_xlfn.TEXTAFTER(VLOOKUP($F54,Declarations!B$6:C$185,2,FALSE)," "))))</f>
        <v>BLACKWELL</v>
      </c>
      <c r="D54" s="114" t="str">
        <f>IF(ISNA(VLOOKUP($F54,Declarations!$B$6:$F$185,5,FALSE)),"",IF(VLOOKUP($F54,Declarations!$B$6:$F$185,5,FALSE)="","NOT DECLARED",VLOOKUP($F54,Declarations!$B$6:$F$185,5,FALSE)))</f>
        <v>Fleet &amp; Crookham AC</v>
      </c>
      <c r="E54" s="112" t="str">
        <f>IF(ISNA(VLOOKUP($F54,Declarations!$B$6:$D$185,3,FALSE)),"",IF(VLOOKUP($F54,Declarations!$B$6:$D$185,3,FALSE)="","NOT DECLARED",VLOOKUP($F54,Declarations!$B$6:$D$185,3,FALSE)&amp;LEFT(VLOOKUP($F54,Declarations!$B$6:$E$185,4,FALSE))))</f>
        <v>U12B</v>
      </c>
      <c r="F54" s="58">
        <v>73</v>
      </c>
      <c r="G54" s="115">
        <v>1.4062499999999999E-3</v>
      </c>
      <c r="H54" s="281"/>
      <c r="I54" s="114" t="str">
        <f>IF(ISNA(VLOOKUP(F54,Declarations!B$6:C$185,2,FALSE)),"",IF(VLOOKUP(F54,Declarations!B$6:C$185,2,FALSE)="","NOT DECLARED",VLOOKUP(F54,Declarations!B$6:C$185,2,FALSE)))</f>
        <v>CHARLIE BLACKWELL</v>
      </c>
      <c r="J54" s="116">
        <f>IF(LOWER(G54)="dnf",1,IF(U54&lt;ScoringTable!C$3,ScoringTable!I$2,VLOOKUP((1000-U54),ScoringTable!H$2:I$95,2)))</f>
        <v>68</v>
      </c>
      <c r="K54" s="112" t="str">
        <f>IF(OR(E54="",G54=""),"",IF(RIGHT(E54,1)="G",_xlfn.XLOOKUP(G54,Data!$D$11:$L$11,Data!$D$9:$L$9,"",1,1),_xlfn.XLOOKUP(G54,Data!$D$4:$L$4,Data!$D$2:$L$2,"",1,1)))</f>
        <v>PB4</v>
      </c>
      <c r="L54" s="160" t="str" cm="1">
        <f t="array" ref="L54">IFERROR(_xlfn.IFNA(
                      _xlfn.IFS(
                      G54="", "",
                      G54=0, "",
                      AND(E54="U12B",G54&lt;=Data!$M$4), "U12 Boys record",
                      AND(E54="U12G",G54&lt;=Data!$M$11), "U12 Girls record"
                       ),""), "")</f>
        <v/>
      </c>
      <c r="M54" s="18" cm="1">
        <f t="array" ref="M54">_xlfn.IFS(OR($G54="",$G54=0),0, AND(NOT(ISNUMBER($G54)),LOWER($G54)&lt;&gt;"dnf"),"Not a valid time",OR(LOWER($G54)="dnf",$G54&gt;ScoringTable!$N$161),1,RIGHT($E54,1)="B",_xlfn.XLOOKUP($G54,ScoringTable!$N$2:$N$161,ScoringTable!$L$2:$L$161,,1),TRUE,_xlfn.XLOOKUP($G54,ScoringTable!$T$2:$T$161,ScoringTable!$R$2:$R$161,,1))</f>
        <v>57</v>
      </c>
      <c r="N54" s="18"/>
      <c r="Q54" s="117">
        <f t="shared" si="0"/>
        <v>121.5</v>
      </c>
      <c r="R54" s="118">
        <f t="shared" si="1"/>
        <v>2.0249999999999999</v>
      </c>
      <c r="S54" s="119">
        <f t="shared" si="2"/>
        <v>2</v>
      </c>
      <c r="T54" s="118">
        <f t="shared" si="3"/>
        <v>1.5</v>
      </c>
      <c r="U54" s="120">
        <f t="shared" si="4"/>
        <v>2.0150000000000001</v>
      </c>
    </row>
    <row r="55" spans="1:21" s="7" customFormat="1" ht="16.05" customHeight="1">
      <c r="A55" s="113" t="s">
        <v>95</v>
      </c>
      <c r="B55" s="114" t="str">
        <f>IF(ISNA(VLOOKUP($F55,Declarations!B$6:C$185,2,FALSE)),"",IF(VLOOKUP($F55,Declarations!B$6:C$185,2,FALSE)="","NOT DECLARED",IF(ISNA(_xlfn.TEXTBEFORE(VLOOKUP($F55,Declarations!B$6:C$185,2,FALSE)," ")),VLOOKUP($F55,Declarations!B$6:C$185,2,FALSE),_xlfn.TEXTBEFORE(VLOOKUP($F55,Declarations!B$6:C$185,2,FALSE)," "))))</f>
        <v>ROME</v>
      </c>
      <c r="C55" s="114" t="str">
        <f>IF(ISNA(VLOOKUP($F55,Declarations!B$6:C$185,2,FALSE)),"",IF(VLOOKUP($F55,Declarations!B$6:C$185,2,FALSE)="","NOT DECLARED",IF(ISNA(_xlfn.TEXTAFTER(VLOOKUP($F55,Declarations!B$6:C$185,2,FALSE)," ")),VLOOKUP($F55,Declarations!B$6:C$185,2,FALSE),_xlfn.TEXTAFTER(VLOOKUP($F55,Declarations!B$6:C$185,2,FALSE)," "))))</f>
        <v>ALEXANDER SOLOMAN</v>
      </c>
      <c r="D55" s="114" t="str">
        <f>IF(ISNA(VLOOKUP($F55,Declarations!$B$6:$F$185,5,FALSE)),"",IF(VLOOKUP($F55,Declarations!$B$6:$F$185,5,FALSE)="","NOT DECLARED",VLOOKUP($F55,Declarations!$B$6:$F$185,5,FALSE)))</f>
        <v>Basingstoke &amp; Mid Hants AC</v>
      </c>
      <c r="E55" s="112" t="str">
        <f>IF(ISNA(VLOOKUP($F55,Declarations!$B$6:$D$185,3,FALSE)),"",IF(VLOOKUP($F55,Declarations!$B$6:$D$185,3,FALSE)="","NOT DECLARED",VLOOKUP($F55,Declarations!$B$6:$D$185,3,FALSE)&amp;LEFT(VLOOKUP($F55,Declarations!$B$6:$E$185,4,FALSE))))</f>
        <v>U12B</v>
      </c>
      <c r="F55" s="58">
        <v>113</v>
      </c>
      <c r="G55" s="115">
        <v>1.4108796296296298E-3</v>
      </c>
      <c r="H55" s="281"/>
      <c r="I55" s="114" t="str">
        <f>IF(ISNA(VLOOKUP(F55,Declarations!B$6:C$185,2,FALSE)),"",IF(VLOOKUP(F55,Declarations!B$6:C$185,2,FALSE)="","NOT DECLARED",VLOOKUP(F55,Declarations!B$6:C$185,2,FALSE)))</f>
        <v>ROME ALEXANDER SOLOMAN</v>
      </c>
      <c r="J55" s="116">
        <f>IF(LOWER(G55)="dnf",1,IF(U55&lt;ScoringTable!C$3,ScoringTable!I$2,VLOOKUP((1000-U55),ScoringTable!H$2:I$95,2)))</f>
        <v>68</v>
      </c>
      <c r="K55" s="112" t="str">
        <f>IF(OR(E55="",G55=""),"",IF(RIGHT(E55,1)="G",_xlfn.XLOOKUP(G55,Data!$D$11:$L$11,Data!$D$9:$L$9,"",1,1),_xlfn.XLOOKUP(G55,Data!$D$4:$L$4,Data!$D$2:$L$2,"",1,1)))</f>
        <v>PB4</v>
      </c>
      <c r="L55" s="160" t="str" cm="1">
        <f t="array" ref="L55">IFERROR(_xlfn.IFNA(
                      _xlfn.IFS(
                      G55="", "",
                      G55=0, "",
                      AND(E55="U12B",G55&lt;=Data!$M$4), "U12 Boys record",
                      AND(E55="U12G",G55&lt;=Data!$M$11), "U12 Girls record"
                       ),""), "")</f>
        <v/>
      </c>
      <c r="M55" s="18" cm="1">
        <f t="array" ref="M55">_xlfn.IFS(OR($G55="",$G55=0),0, AND(NOT(ISNUMBER($G55)),LOWER($G55)&lt;&gt;"dnf"),"Not a valid time",OR(LOWER($G55)="dnf",$G55&gt;ScoringTable!$N$161),1,RIGHT($E55,1)="B",_xlfn.XLOOKUP($G55,ScoringTable!$N$2:$N$161,ScoringTable!$L$2:$L$161,,1),TRUE,_xlfn.XLOOKUP($G55,ScoringTable!$T$2:$T$161,ScoringTable!$R$2:$R$161,,1))</f>
        <v>56</v>
      </c>
      <c r="N55" s="18"/>
      <c r="Q55" s="117">
        <f t="shared" si="0"/>
        <v>121.9</v>
      </c>
      <c r="R55" s="118">
        <f t="shared" si="1"/>
        <v>2.0316666666666667</v>
      </c>
      <c r="S55" s="119">
        <f t="shared" si="2"/>
        <v>2</v>
      </c>
      <c r="T55" s="118">
        <f t="shared" si="3"/>
        <v>1.9000000000000057</v>
      </c>
      <c r="U55" s="120">
        <f t="shared" si="4"/>
        <v>2.0190000000000001</v>
      </c>
    </row>
    <row r="56" spans="1:21" s="7" customFormat="1" ht="16.05" customHeight="1">
      <c r="A56" s="113" t="s">
        <v>95</v>
      </c>
      <c r="B56" s="114" t="str">
        <f>IF(ISNA(VLOOKUP($F56,Declarations!B$6:C$185,2,FALSE)),"",IF(VLOOKUP($F56,Declarations!B$6:C$185,2,FALSE)="","NOT DECLARED",IF(ISNA(_xlfn.TEXTBEFORE(VLOOKUP($F56,Declarations!B$6:C$185,2,FALSE)," ")),VLOOKUP($F56,Declarations!B$6:C$185,2,FALSE),_xlfn.TEXTBEFORE(VLOOKUP($F56,Declarations!B$6:C$185,2,FALSE)," "))))</f>
        <v>DANIEL</v>
      </c>
      <c r="C56" s="114" t="str">
        <f>IF(ISNA(VLOOKUP($F56,Declarations!B$6:C$185,2,FALSE)),"",IF(VLOOKUP($F56,Declarations!B$6:C$185,2,FALSE)="","NOT DECLARED",IF(ISNA(_xlfn.TEXTAFTER(VLOOKUP($F56,Declarations!B$6:C$185,2,FALSE)," ")),VLOOKUP($F56,Declarations!B$6:C$185,2,FALSE),_xlfn.TEXTAFTER(VLOOKUP($F56,Declarations!B$6:C$185,2,FALSE)," "))))</f>
        <v>BURDON</v>
      </c>
      <c r="D56" s="114" t="str">
        <f>IF(ISNA(VLOOKUP($F56,Declarations!$B$6:$F$185,5,FALSE)),"",IF(VLOOKUP($F56,Declarations!$B$6:$F$185,5,FALSE)="","NOT DECLARED",VLOOKUP($F56,Declarations!$B$6:$F$185,5,FALSE)))</f>
        <v>Camberley &amp; District AC</v>
      </c>
      <c r="E56" s="112" t="str">
        <f>IF(ISNA(VLOOKUP($F56,Declarations!$B$6:$D$185,3,FALSE)),"",IF(VLOOKUP($F56,Declarations!$B$6:$D$185,3,FALSE)="","NOT DECLARED",VLOOKUP($F56,Declarations!$B$6:$D$185,3,FALSE)&amp;LEFT(VLOOKUP($F56,Declarations!$B$6:$E$185,4,FALSE))))</f>
        <v>U12B</v>
      </c>
      <c r="F56" s="58">
        <v>14</v>
      </c>
      <c r="G56" s="115">
        <v>1.4849537037037038E-3</v>
      </c>
      <c r="H56" s="281"/>
      <c r="I56" s="114" t="str">
        <f>IF(ISNA(VLOOKUP(F56,Declarations!B$6:C$185,2,FALSE)),"",IF(VLOOKUP(F56,Declarations!B$6:C$185,2,FALSE)="","NOT DECLARED",VLOOKUP(F56,Declarations!B$6:C$185,2,FALSE)))</f>
        <v>DANIEL BURDON</v>
      </c>
      <c r="J56" s="116">
        <f>IF(LOWER(G56)="dnf",1,IF(U56&lt;ScoringTable!C$3,ScoringTable!I$2,VLOOKUP((1000-U56),ScoringTable!H$2:I$95,2)))</f>
        <v>61</v>
      </c>
      <c r="K56" s="112" t="str">
        <f>IF(OR(E56="",G56=""),"",IF(RIGHT(E56,1)="G",_xlfn.XLOOKUP(G56,Data!$D$11:$L$11,Data!$D$9:$L$9,"",1,1),_xlfn.XLOOKUP(G56,Data!$D$4:$L$4,Data!$D$2:$L$2,"",1,1)))</f>
        <v>PB3</v>
      </c>
      <c r="L56" s="160" t="str" cm="1">
        <f t="array" ref="L56">IFERROR(_xlfn.IFNA(
                      _xlfn.IFS(
                      G56="", "",
                      G56=0, "",
                      AND(E56="U12B",G56&lt;=Data!$M$4), "U12 Boys record",
                      AND(E56="U12G",G56&lt;=Data!$M$11), "U12 Girls record"
                       ),""), "")</f>
        <v/>
      </c>
      <c r="M56" s="18" cm="1">
        <f t="array" ref="M56">_xlfn.IFS(OR($G56="",$G56=0),0, AND(NOT(ISNUMBER($G56)),LOWER($G56)&lt;&gt;"dnf"),"Not a valid time",OR(LOWER($G56)="dnf",$G56&gt;ScoringTable!$N$161),1,RIGHT($E56,1)="B",_xlfn.XLOOKUP($G56,ScoringTable!$N$2:$N$161,ScoringTable!$L$2:$L$161,,1),TRUE,_xlfn.XLOOKUP($G56,ScoringTable!$T$2:$T$161,ScoringTable!$R$2:$R$161,,1))</f>
        <v>43</v>
      </c>
      <c r="N56" s="18"/>
      <c r="Q56" s="117">
        <f t="shared" si="0"/>
        <v>128.30000000000001</v>
      </c>
      <c r="R56" s="118">
        <f t="shared" si="1"/>
        <v>2.1383333333333336</v>
      </c>
      <c r="S56" s="119">
        <f t="shared" si="2"/>
        <v>2</v>
      </c>
      <c r="T56" s="118">
        <f t="shared" si="3"/>
        <v>8.3000000000000114</v>
      </c>
      <c r="U56" s="120">
        <f t="shared" si="4"/>
        <v>2.0830000000000002</v>
      </c>
    </row>
    <row r="57" spans="1:21" s="7" customFormat="1" ht="16.05" customHeight="1">
      <c r="A57" s="113" t="s">
        <v>95</v>
      </c>
      <c r="B57" s="114" t="str">
        <f>IF(ISNA(VLOOKUP($F57,Declarations!B$6:C$185,2,FALSE)),"",IF(VLOOKUP($F57,Declarations!B$6:C$185,2,FALSE)="","NOT DECLARED",IF(ISNA(_xlfn.TEXTBEFORE(VLOOKUP($F57,Declarations!B$6:C$185,2,FALSE)," ")),VLOOKUP($F57,Declarations!B$6:C$185,2,FALSE),_xlfn.TEXTBEFORE(VLOOKUP($F57,Declarations!B$6:C$185,2,FALSE)," "))))</f>
        <v>LEO</v>
      </c>
      <c r="C57" s="114" t="str">
        <f>IF(ISNA(VLOOKUP($F57,Declarations!B$6:C$185,2,FALSE)),"",IF(VLOOKUP($F57,Declarations!B$6:C$185,2,FALSE)="","NOT DECLARED",IF(ISNA(_xlfn.TEXTAFTER(VLOOKUP($F57,Declarations!B$6:C$185,2,FALSE)," ")),VLOOKUP($F57,Declarations!B$6:C$185,2,FALSE),_xlfn.TEXTAFTER(VLOOKUP($F57,Declarations!B$6:C$185,2,FALSE)," "))))</f>
        <v>AMEY</v>
      </c>
      <c r="D57" s="114" t="str">
        <f>IF(ISNA(VLOOKUP($F57,Declarations!$B$6:$F$185,5,FALSE)),"",IF(VLOOKUP($F57,Declarations!$B$6:$F$185,5,FALSE)="","NOT DECLARED",VLOOKUP($F57,Declarations!$B$6:$F$185,5,FALSE)))</f>
        <v>Poole Runners</v>
      </c>
      <c r="E57" s="112" t="str">
        <f>IF(ISNA(VLOOKUP($F57,Declarations!$B$6:$D$185,3,FALSE)),"",IF(VLOOKUP($F57,Declarations!$B$6:$D$185,3,FALSE)="","NOT DECLARED",VLOOKUP($F57,Declarations!$B$6:$D$185,3,FALSE)&amp;LEFT(VLOOKUP($F57,Declarations!$B$6:$E$185,4,FALSE))))</f>
        <v>U12B</v>
      </c>
      <c r="F57" s="58">
        <v>56</v>
      </c>
      <c r="G57" s="115">
        <v>1.4872685185185186E-3</v>
      </c>
      <c r="H57" s="281"/>
      <c r="I57" s="114" t="str">
        <f>IF(ISNA(VLOOKUP(F57,Declarations!B$6:C$185,2,FALSE)),"",IF(VLOOKUP(F57,Declarations!B$6:C$185,2,FALSE)="","NOT DECLARED",VLOOKUP(F57,Declarations!B$6:C$185,2,FALSE)))</f>
        <v>LEO AMEY</v>
      </c>
      <c r="J57" s="116">
        <f>IF(LOWER(G57)="dnf",1,IF(U57&lt;ScoringTable!C$3,ScoringTable!I$2,VLOOKUP((1000-U57),ScoringTable!H$2:I$95,2)))</f>
        <v>61</v>
      </c>
      <c r="K57" s="112" t="str">
        <f>IF(OR(E57="",G57=""),"",IF(RIGHT(E57,1)="G",_xlfn.XLOOKUP(G57,Data!$D$11:$L$11,Data!$D$9:$L$9,"",1,1),_xlfn.XLOOKUP(G57,Data!$D$4:$L$4,Data!$D$2:$L$2,"",1,1)))</f>
        <v>PB3</v>
      </c>
      <c r="L57" s="160" t="str" cm="1">
        <f t="array" ref="L57">IFERROR(_xlfn.IFNA(
                      _xlfn.IFS(
                      G57="", "",
                      G57=0, "",
                      AND(E57="U12B",G57&lt;=Data!$M$4), "U12 Boys record",
                      AND(E57="U12G",G57&lt;=Data!$M$11), "U12 Girls record"
                       ),""), "")</f>
        <v/>
      </c>
      <c r="M57" s="18" cm="1">
        <f t="array" ref="M57">_xlfn.IFS(OR($G57="",$G57=0),0, AND(NOT(ISNUMBER($G57)),LOWER($G57)&lt;&gt;"dnf"),"Not a valid time",OR(LOWER($G57)="dnf",$G57&gt;ScoringTable!$N$161),1,RIGHT($E57,1)="B",_xlfn.XLOOKUP($G57,ScoringTable!$N$2:$N$161,ScoringTable!$L$2:$L$161,,1),TRUE,_xlfn.XLOOKUP($G57,ScoringTable!$T$2:$T$161,ScoringTable!$R$2:$R$161,,1))</f>
        <v>43</v>
      </c>
      <c r="N57" s="18"/>
      <c r="Q57" s="117">
        <f t="shared" si="0"/>
        <v>128.5</v>
      </c>
      <c r="R57" s="118">
        <f t="shared" si="1"/>
        <v>2.1416666666666666</v>
      </c>
      <c r="S57" s="119">
        <f t="shared" si="2"/>
        <v>2</v>
      </c>
      <c r="T57" s="118">
        <f t="shared" si="3"/>
        <v>8.5</v>
      </c>
      <c r="U57" s="120">
        <f t="shared" si="4"/>
        <v>2.085</v>
      </c>
    </row>
    <row r="58" spans="1:21" s="7" customFormat="1" ht="16.05" customHeight="1">
      <c r="A58" s="113" t="s">
        <v>95</v>
      </c>
      <c r="B58" s="114" t="str">
        <f>IF(ISNA(VLOOKUP($F58,Declarations!B$6:C$185,2,FALSE)),"",IF(VLOOKUP($F58,Declarations!B$6:C$185,2,FALSE)="","NOT DECLARED",IF(ISNA(_xlfn.TEXTBEFORE(VLOOKUP($F58,Declarations!B$6:C$185,2,FALSE)," ")),VLOOKUP($F58,Declarations!B$6:C$185,2,FALSE),_xlfn.TEXTBEFORE(VLOOKUP($F58,Declarations!B$6:C$185,2,FALSE)," "))))</f>
        <v>ALEX</v>
      </c>
      <c r="C58" s="114" t="str">
        <f>IF(ISNA(VLOOKUP($F58,Declarations!B$6:C$185,2,FALSE)),"",IF(VLOOKUP($F58,Declarations!B$6:C$185,2,FALSE)="","NOT DECLARED",IF(ISNA(_xlfn.TEXTAFTER(VLOOKUP($F58,Declarations!B$6:C$185,2,FALSE)," ")),VLOOKUP($F58,Declarations!B$6:C$185,2,FALSE),_xlfn.TEXTAFTER(VLOOKUP($F58,Declarations!B$6:C$185,2,FALSE)," "))))</f>
        <v>WILKINSON</v>
      </c>
      <c r="D58" s="114" t="str">
        <f>IF(ISNA(VLOOKUP($F58,Declarations!$B$6:$F$185,5,FALSE)),"",IF(VLOOKUP($F58,Declarations!$B$6:$F$185,5,FALSE)="","NOT DECLARED",VLOOKUP($F58,Declarations!$B$6:$F$185,5,FALSE)))</f>
        <v>Basingstoke &amp; Mid Hants AC</v>
      </c>
      <c r="E58" s="112" t="str">
        <f>IF(ISNA(VLOOKUP($F58,Declarations!$B$6:$D$185,3,FALSE)),"",IF(VLOOKUP($F58,Declarations!$B$6:$D$185,3,FALSE)="","NOT DECLARED",VLOOKUP($F58,Declarations!$B$6:$D$185,3,FALSE)&amp;LEFT(VLOOKUP($F58,Declarations!$B$6:$E$185,4,FALSE))))</f>
        <v>U12B</v>
      </c>
      <c r="F58" s="58">
        <v>119</v>
      </c>
      <c r="G58" s="115">
        <v>1.523148148148148E-3</v>
      </c>
      <c r="H58" s="281"/>
      <c r="I58" s="114" t="str">
        <f>IF(ISNA(VLOOKUP(F58,Declarations!B$6:C$185,2,FALSE)),"",IF(VLOOKUP(F58,Declarations!B$6:C$185,2,FALSE)="","NOT DECLARED",VLOOKUP(F58,Declarations!B$6:C$185,2,FALSE)))</f>
        <v>ALEX WILKINSON</v>
      </c>
      <c r="J58" s="116">
        <f>IF(LOWER(G58)="dnf",1,IF(U58&lt;ScoringTable!C$3,ScoringTable!I$2,VLOOKUP((1000-U58),ScoringTable!H$2:I$95,2)))</f>
        <v>58</v>
      </c>
      <c r="K58" s="112" t="str">
        <f>IF(OR(E58="",G58=""),"",IF(RIGHT(E58,1)="G",_xlfn.XLOOKUP(G58,Data!$D$11:$L$11,Data!$D$9:$L$9,"",1,1),_xlfn.XLOOKUP(G58,Data!$D$4:$L$4,Data!$D$2:$L$2,"",1,1)))</f>
        <v>PB2</v>
      </c>
      <c r="L58" s="160" t="str" cm="1">
        <f t="array" ref="L58">IFERROR(_xlfn.IFNA(
                      _xlfn.IFS(
                      G58="", "",
                      G58=0, "",
                      AND(E58="U12B",G58&lt;=Data!$M$4), "U12 Boys record",
                      AND(E58="U12G",G58&lt;=Data!$M$11), "U12 Girls record"
                       ),""), "")</f>
        <v/>
      </c>
      <c r="M58" s="18" cm="1">
        <f t="array" ref="M58">_xlfn.IFS(OR($G58="",$G58=0),0, AND(NOT(ISNUMBER($G58)),LOWER($G58)&lt;&gt;"dnf"),"Not a valid time",OR(LOWER($G58)="dnf",$G58&gt;ScoringTable!$N$161),1,RIGHT($E58,1)="B",_xlfn.XLOOKUP($G58,ScoringTable!$N$2:$N$161,ScoringTable!$L$2:$L$161,,1),TRUE,_xlfn.XLOOKUP($G58,ScoringTable!$T$2:$T$161,ScoringTable!$R$2:$R$161,,1))</f>
        <v>38</v>
      </c>
      <c r="N58" s="18"/>
      <c r="Q58" s="117">
        <f t="shared" si="0"/>
        <v>131.6</v>
      </c>
      <c r="R58" s="118">
        <f t="shared" si="1"/>
        <v>2.1933333333333334</v>
      </c>
      <c r="S58" s="119">
        <f t="shared" si="2"/>
        <v>2</v>
      </c>
      <c r="T58" s="118">
        <f t="shared" si="3"/>
        <v>11.599999999999994</v>
      </c>
      <c r="U58" s="120">
        <f t="shared" si="4"/>
        <v>2.1160000000000001</v>
      </c>
    </row>
    <row r="59" spans="1:21" s="7" customFormat="1" ht="16.05" customHeight="1">
      <c r="A59" s="113" t="s">
        <v>95</v>
      </c>
      <c r="B59" s="114" t="str">
        <f>IF(ISNA(VLOOKUP($F59,Declarations!B$6:C$185,2,FALSE)),"",IF(VLOOKUP($F59,Declarations!B$6:C$185,2,FALSE)="","NOT DECLARED",IF(ISNA(_xlfn.TEXTBEFORE(VLOOKUP($F59,Declarations!B$6:C$185,2,FALSE)," ")),VLOOKUP($F59,Declarations!B$6:C$185,2,FALSE),_xlfn.TEXTBEFORE(VLOOKUP($F59,Declarations!B$6:C$185,2,FALSE)," "))))</f>
        <v>OWEN</v>
      </c>
      <c r="C59" s="114" t="str">
        <f>IF(ISNA(VLOOKUP($F59,Declarations!B$6:C$185,2,FALSE)),"",IF(VLOOKUP($F59,Declarations!B$6:C$185,2,FALSE)="","NOT DECLARED",IF(ISNA(_xlfn.TEXTAFTER(VLOOKUP($F59,Declarations!B$6:C$185,2,FALSE)," ")),VLOOKUP($F59,Declarations!B$6:C$185,2,FALSE),_xlfn.TEXTAFTER(VLOOKUP($F59,Declarations!B$6:C$185,2,FALSE)," "))))</f>
        <v>BRAYBOOKE</v>
      </c>
      <c r="D59" s="114" t="str">
        <f>IF(ISNA(VLOOKUP($F59,Declarations!$B$6:$F$185,5,FALSE)),"",IF(VLOOKUP($F59,Declarations!$B$6:$F$185,5,FALSE)="","NOT DECLARED",VLOOKUP($F59,Declarations!$B$6:$F$185,5,FALSE)))</f>
        <v>Woking AC</v>
      </c>
      <c r="E59" s="112" t="str">
        <f>IF(ISNA(VLOOKUP($F59,Declarations!$B$6:$D$185,3,FALSE)),"",IF(VLOOKUP($F59,Declarations!$B$6:$D$185,3,FALSE)="","NOT DECLARED",VLOOKUP($F59,Declarations!$B$6:$D$185,3,FALSE)&amp;LEFT(VLOOKUP($F59,Declarations!$B$6:$E$185,4,FALSE))))</f>
        <v>U12B</v>
      </c>
      <c r="F59" s="58">
        <v>40</v>
      </c>
      <c r="G59" s="115">
        <v>1.6226851851851851E-3</v>
      </c>
      <c r="H59" s="281"/>
      <c r="I59" s="114" t="str">
        <f>IF(ISNA(VLOOKUP(F59,Declarations!B$6:C$185,2,FALSE)),"",IF(VLOOKUP(F59,Declarations!B$6:C$185,2,FALSE)="","NOT DECLARED",VLOOKUP(F59,Declarations!B$6:C$185,2,FALSE)))</f>
        <v>OWEN BRAYBOOKE</v>
      </c>
      <c r="J59" s="116">
        <f>IF(LOWER(G59)="dnf",1,IF(U59&lt;ScoringTable!C$3,ScoringTable!I$2,VLOOKUP((1000-U59),ScoringTable!H$2:I$95,2)))</f>
        <v>49</v>
      </c>
      <c r="K59" s="112" t="str">
        <f>IF(OR(E59="",G59=""),"",IF(RIGHT(E59,1)="G",_xlfn.XLOOKUP(G59,Data!$D$11:$L$11,Data!$D$9:$L$9,"",1,1),_xlfn.XLOOKUP(G59,Data!$D$4:$L$4,Data!$D$2:$L$2,"",1,1)))</f>
        <v>PB1</v>
      </c>
      <c r="L59" s="160" t="str" cm="1">
        <f t="array" ref="L59">IFERROR(_xlfn.IFNA(
                      _xlfn.IFS(
                      G59="", "",
                      G59=0, "",
                      AND(E59="U12B",G59&lt;=Data!$M$4), "U12 Boys record",
                      AND(E59="U12G",G59&lt;=Data!$M$11), "U12 Girls record"
                       ),""), "")</f>
        <v/>
      </c>
      <c r="M59" s="18" cm="1">
        <f t="array" ref="M59">_xlfn.IFS(OR($G59="",$G59=0),0, AND(NOT(ISNUMBER($G59)),LOWER($G59)&lt;&gt;"dnf"),"Not a valid time",OR(LOWER($G59)="dnf",$G59&gt;ScoringTable!$N$161),1,RIGHT($E59,1)="B",_xlfn.XLOOKUP($G59,ScoringTable!$N$2:$N$161,ScoringTable!$L$2:$L$161,,1),TRUE,_xlfn.XLOOKUP($G59,ScoringTable!$T$2:$T$161,ScoringTable!$R$2:$R$161,,1))</f>
        <v>29</v>
      </c>
      <c r="N59" s="18"/>
      <c r="Q59" s="117">
        <f t="shared" si="0"/>
        <v>140.19999999999999</v>
      </c>
      <c r="R59" s="118">
        <f t="shared" si="1"/>
        <v>2.3366666666666664</v>
      </c>
      <c r="S59" s="119">
        <f t="shared" si="2"/>
        <v>2</v>
      </c>
      <c r="T59" s="118">
        <f t="shared" si="3"/>
        <v>20.199999999999989</v>
      </c>
      <c r="U59" s="120">
        <f t="shared" si="4"/>
        <v>2.202</v>
      </c>
    </row>
    <row r="60" spans="1:21" s="7" customFormat="1" ht="16.05" customHeight="1">
      <c r="A60" s="113" t="s">
        <v>95</v>
      </c>
      <c r="B60" s="114" t="str">
        <f>IF(ISNA(VLOOKUP($F60,Declarations!B$6:C$185,2,FALSE)),"",IF(VLOOKUP($F60,Declarations!B$6:C$185,2,FALSE)="","NOT DECLARED",IF(ISNA(_xlfn.TEXTBEFORE(VLOOKUP($F60,Declarations!B$6:C$185,2,FALSE)," ")),VLOOKUP($F60,Declarations!B$6:C$185,2,FALSE),_xlfn.TEXTBEFORE(VLOOKUP($F60,Declarations!B$6:C$185,2,FALSE)," "))))</f>
        <v>FELIX</v>
      </c>
      <c r="C60" s="114" t="str">
        <f>IF(ISNA(VLOOKUP($F60,Declarations!B$6:C$185,2,FALSE)),"",IF(VLOOKUP($F60,Declarations!B$6:C$185,2,FALSE)="","NOT DECLARED",IF(ISNA(_xlfn.TEXTAFTER(VLOOKUP($F60,Declarations!B$6:C$185,2,FALSE)," ")),VLOOKUP($F60,Declarations!B$6:C$185,2,FALSE),_xlfn.TEXTAFTER(VLOOKUP($F60,Declarations!B$6:C$185,2,FALSE)," "))))</f>
        <v>POWERS</v>
      </c>
      <c r="D60" s="114" t="str">
        <f>IF(ISNA(VLOOKUP($F60,Declarations!$B$6:$F$185,5,FALSE)),"",IF(VLOOKUP($F60,Declarations!$B$6:$F$185,5,FALSE)="","NOT DECLARED",VLOOKUP($F60,Declarations!$B$6:$F$185,5,FALSE)))</f>
        <v>Camberley &amp; District AC</v>
      </c>
      <c r="E60" s="112" t="str">
        <f>IF(ISNA(VLOOKUP($F60,Declarations!$B$6:$D$185,3,FALSE)),"",IF(VLOOKUP($F60,Declarations!$B$6:$D$185,3,FALSE)="","NOT DECLARED",VLOOKUP($F60,Declarations!$B$6:$D$185,3,FALSE)&amp;LEFT(VLOOKUP($F60,Declarations!$B$6:$E$185,4,FALSE))))</f>
        <v>U12B</v>
      </c>
      <c r="F60" s="58">
        <v>17</v>
      </c>
      <c r="G60" s="115">
        <v>1.6319444444444445E-3</v>
      </c>
      <c r="H60" s="281"/>
      <c r="I60" s="114" t="str">
        <f>IF(ISNA(VLOOKUP(F60,Declarations!B$6:C$185,2,FALSE)),"",IF(VLOOKUP(F60,Declarations!B$6:C$185,2,FALSE)="","NOT DECLARED",VLOOKUP(F60,Declarations!B$6:C$185,2,FALSE)))</f>
        <v>FELIX POWERS</v>
      </c>
      <c r="J60" s="116">
        <f>IF(LOWER(G60)="dnf",1,IF(U60&lt;ScoringTable!C$3,ScoringTable!I$2,VLOOKUP((1000-U60),ScoringTable!H$2:I$95,2)))</f>
        <v>49</v>
      </c>
      <c r="K60" s="112" t="str">
        <f>IF(OR(E60="",G60=""),"",IF(RIGHT(E60,1)="G",_xlfn.XLOOKUP(G60,Data!$D$11:$L$11,Data!$D$9:$L$9,"",1,1),_xlfn.XLOOKUP(G60,Data!$D$4:$L$4,Data!$D$2:$L$2,"",1,1)))</f>
        <v>PB1</v>
      </c>
      <c r="L60" s="160" t="str" cm="1">
        <f t="array" ref="L60">IFERROR(_xlfn.IFNA(
                      _xlfn.IFS(
                      G60="", "",
                      G60=0, "",
                      AND(E60="U12B",G60&lt;=Data!$M$4), "U12 Boys record",
                      AND(E60="U12G",G60&lt;=Data!$M$11), "U12 Girls record"
                       ),""), "")</f>
        <v/>
      </c>
      <c r="M60" s="18" cm="1">
        <f t="array" ref="M60">_xlfn.IFS(OR($G60="",$G60=0),0, AND(NOT(ISNUMBER($G60)),LOWER($G60)&lt;&gt;"dnf"),"Not a valid time",OR(LOWER($G60)="dnf",$G60&gt;ScoringTable!$N$161),1,RIGHT($E60,1)="B",_xlfn.XLOOKUP($G60,ScoringTable!$N$2:$N$161,ScoringTable!$L$2:$L$161,,1),TRUE,_xlfn.XLOOKUP($G60,ScoringTable!$T$2:$T$161,ScoringTable!$R$2:$R$161,,1))</f>
        <v>29</v>
      </c>
      <c r="N60" s="18"/>
      <c r="Q60" s="117">
        <f t="shared" si="0"/>
        <v>141</v>
      </c>
      <c r="R60" s="118">
        <f t="shared" si="1"/>
        <v>2.35</v>
      </c>
      <c r="S60" s="119">
        <f t="shared" si="2"/>
        <v>2</v>
      </c>
      <c r="T60" s="118">
        <f t="shared" si="3"/>
        <v>21</v>
      </c>
      <c r="U60" s="120">
        <f t="shared" si="4"/>
        <v>2.21</v>
      </c>
    </row>
    <row r="61" spans="1:21" s="7" customFormat="1" ht="16.05" customHeight="1">
      <c r="A61" s="113" t="s">
        <v>95</v>
      </c>
      <c r="B61" s="114" t="str">
        <f>IF(ISNA(VLOOKUP($F61,Declarations!B$6:C$185,2,FALSE)),"",IF(VLOOKUP($F61,Declarations!B$6:C$185,2,FALSE)="","NOT DECLARED",IF(ISNA(_xlfn.TEXTBEFORE(VLOOKUP($F61,Declarations!B$6:C$185,2,FALSE)," ")),VLOOKUP($F61,Declarations!B$6:C$185,2,FALSE),_xlfn.TEXTBEFORE(VLOOKUP($F61,Declarations!B$6:C$185,2,FALSE)," "))))</f>
        <v>OAKLEY</v>
      </c>
      <c r="C61" s="114" t="str">
        <f>IF(ISNA(VLOOKUP($F61,Declarations!B$6:C$185,2,FALSE)),"",IF(VLOOKUP($F61,Declarations!B$6:C$185,2,FALSE)="","NOT DECLARED",IF(ISNA(_xlfn.TEXTAFTER(VLOOKUP($F61,Declarations!B$6:C$185,2,FALSE)," ")),VLOOKUP($F61,Declarations!B$6:C$185,2,FALSE),_xlfn.TEXTAFTER(VLOOKUP($F61,Declarations!B$6:C$185,2,FALSE)," "))))</f>
        <v>SHEAN-STEVENS</v>
      </c>
      <c r="D61" s="114" t="str">
        <f>IF(ISNA(VLOOKUP($F61,Declarations!$B$6:$F$185,5,FALSE)),"",IF(VLOOKUP($F61,Declarations!$B$6:$F$185,5,FALSE)="","NOT DECLARED",VLOOKUP($F61,Declarations!$B$6:$F$185,5,FALSE)))</f>
        <v>Poole Runners</v>
      </c>
      <c r="E61" s="112" t="str">
        <f>IF(ISNA(VLOOKUP($F61,Declarations!$B$6:$D$185,3,FALSE)),"",IF(VLOOKUP($F61,Declarations!$B$6:$D$185,3,FALSE)="","NOT DECLARED",VLOOKUP($F61,Declarations!$B$6:$D$185,3,FALSE)&amp;LEFT(VLOOKUP($F61,Declarations!$B$6:$E$185,4,FALSE))))</f>
        <v>U12B</v>
      </c>
      <c r="F61" s="58">
        <v>53</v>
      </c>
      <c r="G61" s="115">
        <v>1.646990740740741E-3</v>
      </c>
      <c r="H61" s="281"/>
      <c r="I61" s="114" t="str">
        <f>IF(ISNA(VLOOKUP(F61,Declarations!B$6:C$185,2,FALSE)),"",IF(VLOOKUP(F61,Declarations!B$6:C$185,2,FALSE)="","NOT DECLARED",VLOOKUP(F61,Declarations!B$6:C$185,2,FALSE)))</f>
        <v>OAKLEY SHEAN-STEVENS</v>
      </c>
      <c r="J61" s="116">
        <f>IF(LOWER(G61)="dnf",1,IF(U61&lt;ScoringTable!C$3,ScoringTable!I$2,VLOOKUP((1000-U61),ScoringTable!H$2:I$95,2)))</f>
        <v>47</v>
      </c>
      <c r="K61" s="112" t="str">
        <f>IF(OR(E61="",G61=""),"",IF(RIGHT(E61,1)="G",_xlfn.XLOOKUP(G61,Data!$D$11:$L$11,Data!$D$9:$L$9,"",1,1),_xlfn.XLOOKUP(G61,Data!$D$4:$L$4,Data!$D$2:$L$2,"",1,1)))</f>
        <v>PB1</v>
      </c>
      <c r="L61" s="160" t="str" cm="1">
        <f t="array" ref="L61">IFERROR(_xlfn.IFNA(
                      _xlfn.IFS(
                      G61="", "",
                      G61=0, "",
                      AND(E61="U12B",G61&lt;=Data!$M$4), "U12 Boys record",
                      AND(E61="U12G",G61&lt;=Data!$M$11), "U12 Girls record"
                       ),""), "")</f>
        <v/>
      </c>
      <c r="M61" s="18" cm="1">
        <f t="array" ref="M61">_xlfn.IFS(OR($G61="",$G61=0),0, AND(NOT(ISNUMBER($G61)),LOWER($G61)&lt;&gt;"dnf"),"Not a valid time",OR(LOWER($G61)="dnf",$G61&gt;ScoringTable!$N$161),1,RIGHT($E61,1)="B",_xlfn.XLOOKUP($G61,ScoringTable!$N$2:$N$161,ScoringTable!$L$2:$L$161,,1),TRUE,_xlfn.XLOOKUP($G61,ScoringTable!$T$2:$T$161,ScoringTable!$R$2:$R$161,,1))</f>
        <v>27</v>
      </c>
      <c r="Q61" s="117">
        <f t="shared" si="0"/>
        <v>142.30000000000001</v>
      </c>
      <c r="R61" s="118">
        <f t="shared" si="1"/>
        <v>2.371666666666667</v>
      </c>
      <c r="S61" s="119">
        <f t="shared" si="2"/>
        <v>2</v>
      </c>
      <c r="T61" s="118">
        <f t="shared" si="3"/>
        <v>22.300000000000011</v>
      </c>
      <c r="U61" s="120">
        <f t="shared" si="4"/>
        <v>2.2230000000000003</v>
      </c>
    </row>
    <row r="62" spans="1:21" s="7" customFormat="1" ht="16.05" customHeight="1">
      <c r="A62" s="113" t="s">
        <v>95</v>
      </c>
      <c r="B62" s="114" t="str">
        <f>IF(ISNA(VLOOKUP($F62,Declarations!B$6:C$185,2,FALSE)),"",IF(VLOOKUP($F62,Declarations!B$6:C$185,2,FALSE)="","NOT DECLARED",IF(ISNA(_xlfn.TEXTBEFORE(VLOOKUP($F62,Declarations!B$6:C$185,2,FALSE)," ")),VLOOKUP($F62,Declarations!B$6:C$185,2,FALSE),_xlfn.TEXTBEFORE(VLOOKUP($F62,Declarations!B$6:C$185,2,FALSE)," "))))</f>
        <v>BEN</v>
      </c>
      <c r="C62" s="114" t="str">
        <f>IF(ISNA(VLOOKUP($F62,Declarations!B$6:C$185,2,FALSE)),"",IF(VLOOKUP($F62,Declarations!B$6:C$185,2,FALSE)="","NOT DECLARED",IF(ISNA(_xlfn.TEXTAFTER(VLOOKUP($F62,Declarations!B$6:C$185,2,FALSE)," ")),VLOOKUP($F62,Declarations!B$6:C$185,2,FALSE),_xlfn.TEXTAFTER(VLOOKUP($F62,Declarations!B$6:C$185,2,FALSE)," "))))</f>
        <v>QUICK</v>
      </c>
      <c r="D62" s="114" t="str">
        <f>IF(ISNA(VLOOKUP($F62,Declarations!$B$6:$F$185,5,FALSE)),"",IF(VLOOKUP($F62,Declarations!$B$6:$F$185,5,FALSE)="","NOT DECLARED",VLOOKUP($F62,Declarations!$B$6:$F$185,5,FALSE)))</f>
        <v>Waverley Athletics Club</v>
      </c>
      <c r="E62" s="112" t="str">
        <f>IF(ISNA(VLOOKUP($F62,Declarations!$B$6:$D$185,3,FALSE)),"",IF(VLOOKUP($F62,Declarations!$B$6:$D$185,3,FALSE)="","NOT DECLARED",VLOOKUP($F62,Declarations!$B$6:$D$185,3,FALSE)&amp;LEFT(VLOOKUP($F62,Declarations!$B$6:$E$185,4,FALSE))))</f>
        <v>U12B</v>
      </c>
      <c r="F62" s="58">
        <v>93</v>
      </c>
      <c r="G62" s="115">
        <v>1.6932870370370372E-3</v>
      </c>
      <c r="H62" s="281"/>
      <c r="I62" s="114" t="str">
        <f>IF(ISNA(VLOOKUP(F62,Declarations!B$6:C$185,2,FALSE)),"",IF(VLOOKUP(F62,Declarations!B$6:C$185,2,FALSE)="","NOT DECLARED",VLOOKUP(F62,Declarations!B$6:C$185,2,FALSE)))</f>
        <v>BEN QUICK</v>
      </c>
      <c r="J62" s="116">
        <f>IF(LOWER(G62)="dnf",1,IF(U62&lt;ScoringTable!C$3,ScoringTable!I$2,VLOOKUP((1000-U62),ScoringTable!H$2:I$95,2)))</f>
        <v>43</v>
      </c>
      <c r="K62" s="112" t="str">
        <f>IF(OR(E62="",G62=""),"",IF(RIGHT(E62,1)="G",_xlfn.XLOOKUP(G62,Data!$D$11:$L$11,Data!$D$9:$L$9,"",1,1),_xlfn.XLOOKUP(G62,Data!$D$4:$L$4,Data!$D$2:$L$2,"",1,1)))</f>
        <v>PB1</v>
      </c>
      <c r="L62" s="160" t="str" cm="1">
        <f t="array" ref="L62">IFERROR(_xlfn.IFNA(
                      _xlfn.IFS(
                      G62="", "",
                      G62=0, "",
                      AND(E62="U12B",G62&lt;=Data!$M$4), "U12 Boys record",
                      AND(E62="U12G",G62&lt;=Data!$M$11), "U12 Girls record"
                       ),""), "")</f>
        <v/>
      </c>
      <c r="M62" s="18" cm="1">
        <f t="array" ref="M62">_xlfn.IFS(OR($G62="",$G62=0),0, AND(NOT(ISNUMBER($G62)),LOWER($G62)&lt;&gt;"dnf"),"Not a valid time",OR(LOWER($G62)="dnf",$G62&gt;ScoringTable!$N$161),1,RIGHT($E62,1)="B",_xlfn.XLOOKUP($G62,ScoringTable!$N$2:$N$161,ScoringTable!$L$2:$L$161,,1),TRUE,_xlfn.XLOOKUP($G62,ScoringTable!$T$2:$T$161,ScoringTable!$R$2:$R$161,,1))</f>
        <v>23</v>
      </c>
      <c r="Q62" s="117">
        <f t="shared" si="0"/>
        <v>146.30000000000001</v>
      </c>
      <c r="R62" s="118">
        <f t="shared" si="1"/>
        <v>2.4383333333333335</v>
      </c>
      <c r="S62" s="119">
        <f t="shared" si="2"/>
        <v>2</v>
      </c>
      <c r="T62" s="118">
        <f t="shared" si="3"/>
        <v>26.300000000000011</v>
      </c>
      <c r="U62" s="120">
        <f t="shared" si="4"/>
        <v>2.2629999999999999</v>
      </c>
    </row>
    <row r="63" spans="1:21" s="7" customFormat="1" ht="16.05" customHeight="1">
      <c r="A63" s="113" t="s">
        <v>95</v>
      </c>
      <c r="B63" s="114" t="str">
        <f>IF(ISNA(VLOOKUP($F63,Declarations!B$6:C$185,2,FALSE)),"",IF(VLOOKUP($F63,Declarations!B$6:C$185,2,FALSE)="","NOT DECLARED",IF(ISNA(_xlfn.TEXTBEFORE(VLOOKUP($F63,Declarations!B$6:C$185,2,FALSE)," ")),VLOOKUP($F63,Declarations!B$6:C$185,2,FALSE),_xlfn.TEXTBEFORE(VLOOKUP($F63,Declarations!B$6:C$185,2,FALSE)," "))))</f>
        <v>DYLAN</v>
      </c>
      <c r="C63" s="114" t="str">
        <f>IF(ISNA(VLOOKUP($F63,Declarations!B$6:C$185,2,FALSE)),"",IF(VLOOKUP($F63,Declarations!B$6:C$185,2,FALSE)="","NOT DECLARED",IF(ISNA(_xlfn.TEXTAFTER(VLOOKUP($F63,Declarations!B$6:C$185,2,FALSE)," ")),VLOOKUP($F63,Declarations!B$6:C$185,2,FALSE),_xlfn.TEXTAFTER(VLOOKUP($F63,Declarations!B$6:C$185,2,FALSE)," "))))</f>
        <v>MARLEY</v>
      </c>
      <c r="D63" s="114" t="str">
        <f>IF(ISNA(VLOOKUP($F63,Declarations!$B$6:$F$185,5,FALSE)),"",IF(VLOOKUP($F63,Declarations!$B$6:$F$185,5,FALSE)="","NOT DECLARED",VLOOKUP($F63,Declarations!$B$6:$F$185,5,FALSE)))</f>
        <v>Fleet &amp; Crookham AC</v>
      </c>
      <c r="E63" s="112" t="str">
        <f>IF(ISNA(VLOOKUP($F63,Declarations!$B$6:$D$185,3,FALSE)),"",IF(VLOOKUP($F63,Declarations!$B$6:$D$185,3,FALSE)="","NOT DECLARED",VLOOKUP($F63,Declarations!$B$6:$D$185,3,FALSE)&amp;LEFT(VLOOKUP($F63,Declarations!$B$6:$E$185,4,FALSE))))</f>
        <v>U12B</v>
      </c>
      <c r="F63" s="58">
        <v>76</v>
      </c>
      <c r="G63" s="115">
        <v>1.7476851851851852E-3</v>
      </c>
      <c r="H63" s="281"/>
      <c r="I63" s="114" t="str">
        <f>IF(ISNA(VLOOKUP(F63,Declarations!B$6:C$185,2,FALSE)),"",IF(VLOOKUP(F63,Declarations!B$6:C$185,2,FALSE)="","NOT DECLARED",VLOOKUP(F63,Declarations!B$6:C$185,2,FALSE)))</f>
        <v>DYLAN MARLEY</v>
      </c>
      <c r="J63" s="116">
        <f>IF(LOWER(G63)="dnf",1,IF(U63&lt;ScoringTable!C$3,ScoringTable!I$2,VLOOKUP((1000-U63),ScoringTable!H$2:I$95,2)))</f>
        <v>39</v>
      </c>
      <c r="K63" s="112" t="str">
        <f>IF(OR(E63="",G63=""),"",IF(RIGHT(E63,1)="G",_xlfn.XLOOKUP(G63,Data!$D$11:$L$11,Data!$D$9:$L$9,"",1,1),_xlfn.XLOOKUP(G63,Data!$D$4:$L$4,Data!$D$2:$L$2,"",1,1)))</f>
        <v/>
      </c>
      <c r="L63" s="160" t="str" cm="1">
        <f t="array" ref="L63">IFERROR(_xlfn.IFNA(
                      _xlfn.IFS(
                      G63="", "",
                      G63=0, "",
                      AND(E63="U12B",G63&lt;=Data!$M$4), "U12 Boys record",
                      AND(E63="U12G",G63&lt;=Data!$M$11), "U12 Girls record"
                       ),""), "")</f>
        <v/>
      </c>
      <c r="M63" s="18" cm="1">
        <f t="array" ref="M63">_xlfn.IFS(OR($G63="",$G63=0),0, AND(NOT(ISNUMBER($G63)),LOWER($G63)&lt;&gt;"dnf"),"Not a valid time",OR(LOWER($G63)="dnf",$G63&gt;ScoringTable!$N$161),1,RIGHT($E63,1)="B",_xlfn.XLOOKUP($G63,ScoringTable!$N$2:$N$161,ScoringTable!$L$2:$L$161,,1),TRUE,_xlfn.XLOOKUP($G63,ScoringTable!$T$2:$T$161,ScoringTable!$R$2:$R$161,,1))</f>
        <v>19</v>
      </c>
      <c r="Q63" s="117">
        <f t="shared" si="0"/>
        <v>151</v>
      </c>
      <c r="R63" s="118">
        <f t="shared" si="1"/>
        <v>2.5166666666666666</v>
      </c>
      <c r="S63" s="119">
        <f t="shared" si="2"/>
        <v>2</v>
      </c>
      <c r="T63" s="118">
        <f t="shared" si="3"/>
        <v>31</v>
      </c>
      <c r="U63" s="120">
        <f t="shared" si="4"/>
        <v>2.31</v>
      </c>
    </row>
    <row r="64" spans="1:21" s="7" customFormat="1" ht="16.05" customHeight="1">
      <c r="A64" s="113" t="s">
        <v>95</v>
      </c>
      <c r="B64" s="114" t="str">
        <f>IF(ISNA(VLOOKUP($F64,Declarations!B$6:C$185,2,FALSE)),"",IF(VLOOKUP($F64,Declarations!B$6:C$185,2,FALSE)="","NOT DECLARED",IF(ISNA(_xlfn.TEXTBEFORE(VLOOKUP($F64,Declarations!B$6:C$185,2,FALSE)," ")),VLOOKUP($F64,Declarations!B$6:C$185,2,FALSE),_xlfn.TEXTBEFORE(VLOOKUP($F64,Declarations!B$6:C$185,2,FALSE)," "))))</f>
        <v>NOAH</v>
      </c>
      <c r="C64" s="114" t="str">
        <f>IF(ISNA(VLOOKUP($F64,Declarations!B$6:C$185,2,FALSE)),"",IF(VLOOKUP($F64,Declarations!B$6:C$185,2,FALSE)="","NOT DECLARED",IF(ISNA(_xlfn.TEXTAFTER(VLOOKUP($F64,Declarations!B$6:C$185,2,FALSE)," ")),VLOOKUP($F64,Declarations!B$6:C$185,2,FALSE),_xlfn.TEXTAFTER(VLOOKUP($F64,Declarations!B$6:C$185,2,FALSE)," "))))</f>
        <v>GRAHAM</v>
      </c>
      <c r="D64" s="114" t="str">
        <f>IF(ISNA(VLOOKUP($F64,Declarations!$B$6:$F$185,5,FALSE)),"",IF(VLOOKUP($F64,Declarations!$B$6:$F$185,5,FALSE)="","NOT DECLARED",VLOOKUP($F64,Declarations!$B$6:$F$185,5,FALSE)))</f>
        <v>Basingstoke &amp; Mid Hants AC</v>
      </c>
      <c r="E64" s="112" t="str">
        <f>IF(ISNA(VLOOKUP($F64,Declarations!$B$6:$D$185,3,FALSE)),"",IF(VLOOKUP($F64,Declarations!$B$6:$D$185,3,FALSE)="","NOT DECLARED",VLOOKUP($F64,Declarations!$B$6:$D$185,3,FALSE)&amp;LEFT(VLOOKUP($F64,Declarations!$B$6:$E$185,4,FALSE))))</f>
        <v>U12B</v>
      </c>
      <c r="F64" s="58">
        <v>112</v>
      </c>
      <c r="G64" s="115">
        <v>1.3287037037037037E-3</v>
      </c>
      <c r="H64" s="281"/>
      <c r="I64" s="114" t="str">
        <f>IF(ISNA(VLOOKUP(F64,Declarations!B$6:C$185,2,FALSE)),"",IF(VLOOKUP(F64,Declarations!B$6:C$185,2,FALSE)="","NOT DECLARED",VLOOKUP(F64,Declarations!B$6:C$185,2,FALSE)))</f>
        <v>NOAH GRAHAM</v>
      </c>
      <c r="J64" s="116">
        <f>IF(LOWER(G64)="dnf",1,IF(U64&lt;ScoringTable!C$3,ScoringTable!I$2,VLOOKUP((1000-U64),ScoringTable!H$2:I$95,2)))</f>
        <v>75</v>
      </c>
      <c r="K64" s="112" t="str">
        <f>IF(OR(E64="",G64=""),"",IF(RIGHT(E64,1)="G",_xlfn.XLOOKUP(G64,Data!$D$11:$L$11,Data!$D$9:$L$9,"",1,1),_xlfn.XLOOKUP(G64,Data!$D$4:$L$4,Data!$D$2:$L$2,"",1,1)))</f>
        <v>PB6</v>
      </c>
      <c r="L64" s="160" t="str" cm="1">
        <f t="array" ref="L64">IFERROR(_xlfn.IFNA(
                      _xlfn.IFS(
                      G64="", "",
                      G64=0, "",
                      AND(E64="U12B",G64&lt;=Data!$M$4), "U12 Boys record",
                      AND(E64="U12G",G64&lt;=Data!$M$11), "U12 Girls record"
                       ),""), "")</f>
        <v/>
      </c>
      <c r="M64" s="18" cm="1">
        <f t="array" ref="M64">_xlfn.IFS(OR($G64="",$G64=0),0, AND(NOT(ISNUMBER($G64)),LOWER($G64)&lt;&gt;"dnf"),"Not a valid time",OR(LOWER($G64)="dnf",$G64&gt;ScoringTable!$N$161),1,RIGHT($E64,1)="B",_xlfn.XLOOKUP($G64,ScoringTable!$N$2:$N$161,ScoringTable!$L$2:$L$161,,1),TRUE,_xlfn.XLOOKUP($G64,ScoringTable!$T$2:$T$161,ScoringTable!$R$2:$R$161,,1))</f>
        <v>70</v>
      </c>
      <c r="Q64" s="117">
        <f t="shared" si="0"/>
        <v>114.8</v>
      </c>
      <c r="R64" s="118">
        <f t="shared" si="1"/>
        <v>1.9133333333333333</v>
      </c>
      <c r="S64" s="119">
        <f t="shared" si="2"/>
        <v>1</v>
      </c>
      <c r="T64" s="118">
        <f t="shared" si="3"/>
        <v>54.8</v>
      </c>
      <c r="U64" s="120">
        <f t="shared" si="4"/>
        <v>1.548</v>
      </c>
    </row>
    <row r="65" spans="1:21" s="7" customFormat="1" ht="16.05" customHeight="1">
      <c r="A65" s="113" t="s">
        <v>95</v>
      </c>
      <c r="B65" s="114" t="str">
        <f>IF(ISNA(VLOOKUP($F65,Declarations!B$6:C$185,2,FALSE)),"",IF(VLOOKUP($F65,Declarations!B$6:C$185,2,FALSE)="","NOT DECLARED",IF(ISNA(_xlfn.TEXTBEFORE(VLOOKUP($F65,Declarations!B$6:C$185,2,FALSE)," ")),VLOOKUP($F65,Declarations!B$6:C$185,2,FALSE),_xlfn.TEXTBEFORE(VLOOKUP($F65,Declarations!B$6:C$185,2,FALSE)," "))))</f>
        <v>TOBY</v>
      </c>
      <c r="C65" s="114" t="str">
        <f>IF(ISNA(VLOOKUP($F65,Declarations!B$6:C$185,2,FALSE)),"",IF(VLOOKUP($F65,Declarations!B$6:C$185,2,FALSE)="","NOT DECLARED",IF(ISNA(_xlfn.TEXTAFTER(VLOOKUP($F65,Declarations!B$6:C$185,2,FALSE)," ")),VLOOKUP($F65,Declarations!B$6:C$185,2,FALSE),_xlfn.TEXTAFTER(VLOOKUP($F65,Declarations!B$6:C$185,2,FALSE)," "))))</f>
        <v>POWELL</v>
      </c>
      <c r="D65" s="114" t="str">
        <f>IF(ISNA(VLOOKUP($F65,Declarations!$B$6:$F$185,5,FALSE)),"",IF(VLOOKUP($F65,Declarations!$B$6:$F$185,5,FALSE)="","NOT DECLARED",VLOOKUP($F65,Declarations!$B$6:$F$185,5,FALSE)))</f>
        <v>Basingstoke &amp; Mid Hants AC</v>
      </c>
      <c r="E65" s="112" t="str">
        <f>IF(ISNA(VLOOKUP($F65,Declarations!$B$6:$D$185,3,FALSE)),"",IF(VLOOKUP($F65,Declarations!$B$6:$D$185,3,FALSE)="","NOT DECLARED",VLOOKUP($F65,Declarations!$B$6:$D$185,3,FALSE)&amp;LEFT(VLOOKUP($F65,Declarations!$B$6:$E$185,4,FALSE))))</f>
        <v>U12B</v>
      </c>
      <c r="F65" s="58">
        <v>118</v>
      </c>
      <c r="G65" s="115">
        <v>1.3368055555555555E-3</v>
      </c>
      <c r="H65" s="281"/>
      <c r="I65" s="114" t="str">
        <f>IF(ISNA(VLOOKUP(F65,Declarations!B$6:C$185,2,FALSE)),"",IF(VLOOKUP(F65,Declarations!B$6:C$185,2,FALSE)="","NOT DECLARED",VLOOKUP(F65,Declarations!B$6:C$185,2,FALSE)))</f>
        <v>TOBY POWELL</v>
      </c>
      <c r="J65" s="116">
        <f>IF(LOWER(G65)="dnf",1,IF(U65&lt;ScoringTable!C$3,ScoringTable!I$2,VLOOKUP((1000-U65),ScoringTable!H$2:I$95,2)))</f>
        <v>74</v>
      </c>
      <c r="K65" s="112" t="str">
        <f>IF(OR(E65="",G65=""),"",IF(RIGHT(E65,1)="G",_xlfn.XLOOKUP(G65,Data!$D$11:$L$11,Data!$D$9:$L$9,"",1,1),_xlfn.XLOOKUP(G65,Data!$D$4:$L$4,Data!$D$2:$L$2,"",1,1)))</f>
        <v>PB5</v>
      </c>
      <c r="L65" s="160" t="str" cm="1">
        <f t="array" ref="L65">IFERROR(_xlfn.IFNA(
                      _xlfn.IFS(
                      G65="", "",
                      G65=0, "",
                      AND(E65="U12B",G65&lt;=Data!$M$4), "U12 Boys record",
                      AND(E65="U12G",G65&lt;=Data!$M$11), "U12 Girls record"
                       ),""), "")</f>
        <v/>
      </c>
      <c r="M65" s="18" cm="1">
        <f t="array" ref="M65">_xlfn.IFS(OR($G65="",$G65=0),0, AND(NOT(ISNUMBER($G65)),LOWER($G65)&lt;&gt;"dnf"),"Not a valid time",OR(LOWER($G65)="dnf",$G65&gt;ScoringTable!$N$161),1,RIGHT($E65,1)="B",_xlfn.XLOOKUP($G65,ScoringTable!$N$2:$N$161,ScoringTable!$L$2:$L$161,,1),TRUE,_xlfn.XLOOKUP($G65,ScoringTable!$T$2:$T$161,ScoringTable!$R$2:$R$161,,1))</f>
        <v>69</v>
      </c>
      <c r="Q65" s="117">
        <f t="shared" si="0"/>
        <v>115.5</v>
      </c>
      <c r="R65" s="118">
        <f t="shared" si="1"/>
        <v>1.925</v>
      </c>
      <c r="S65" s="119">
        <f t="shared" si="2"/>
        <v>1</v>
      </c>
      <c r="T65" s="118">
        <f t="shared" si="3"/>
        <v>55.5</v>
      </c>
      <c r="U65" s="120">
        <f t="shared" si="4"/>
        <v>1.5550000000000002</v>
      </c>
    </row>
    <row r="66" spans="1:21" s="7" customFormat="1" ht="16.05" customHeight="1">
      <c r="A66" s="113" t="s">
        <v>95</v>
      </c>
      <c r="B66" s="114" t="str">
        <f>IF(ISNA(VLOOKUP($F66,Declarations!B$6:C$185,2,FALSE)),"",IF(VLOOKUP($F66,Declarations!B$6:C$185,2,FALSE)="","NOT DECLARED",IF(ISNA(_xlfn.TEXTBEFORE(VLOOKUP($F66,Declarations!B$6:C$185,2,FALSE)," ")),VLOOKUP($F66,Declarations!B$6:C$185,2,FALSE),_xlfn.TEXTBEFORE(VLOOKUP($F66,Declarations!B$6:C$185,2,FALSE)," "))))</f>
        <v>JESSE</v>
      </c>
      <c r="C66" s="114" t="str">
        <f>IF(ISNA(VLOOKUP($F66,Declarations!B$6:C$185,2,FALSE)),"",IF(VLOOKUP($F66,Declarations!B$6:C$185,2,FALSE)="","NOT DECLARED",IF(ISNA(_xlfn.TEXTAFTER(VLOOKUP($F66,Declarations!B$6:C$185,2,FALSE)," ")),VLOOKUP($F66,Declarations!B$6:C$185,2,FALSE),_xlfn.TEXTAFTER(VLOOKUP($F66,Declarations!B$6:C$185,2,FALSE)," "))))</f>
        <v>MCDONNELL</v>
      </c>
      <c r="D66" s="114" t="str">
        <f>IF(ISNA(VLOOKUP($F66,Declarations!$B$6:$F$185,5,FALSE)),"",IF(VLOOKUP($F66,Declarations!$B$6:$F$185,5,FALSE)="","NOT DECLARED",VLOOKUP($F66,Declarations!$B$6:$F$185,5,FALSE)))</f>
        <v>Fleet &amp; Crookham AC</v>
      </c>
      <c r="E66" s="112" t="str">
        <f>IF(ISNA(VLOOKUP($F66,Declarations!$B$6:$D$185,3,FALSE)),"",IF(VLOOKUP($F66,Declarations!$B$6:$D$185,3,FALSE)="","NOT DECLARED",VLOOKUP($F66,Declarations!$B$6:$D$185,3,FALSE)&amp;LEFT(VLOOKUP($F66,Declarations!$B$6:$E$185,4,FALSE))))</f>
        <v>U12B</v>
      </c>
      <c r="F66" s="58">
        <v>71</v>
      </c>
      <c r="G66" s="115">
        <v>1.3368055555555555E-3</v>
      </c>
      <c r="H66" s="281"/>
      <c r="I66" s="114" t="str">
        <f>IF(ISNA(VLOOKUP(F66,Declarations!B$6:C$185,2,FALSE)),"",IF(VLOOKUP(F66,Declarations!B$6:C$185,2,FALSE)="","NOT DECLARED",VLOOKUP(F66,Declarations!B$6:C$185,2,FALSE)))</f>
        <v>JESSE MCDONNELL</v>
      </c>
      <c r="J66" s="116">
        <f>IF(LOWER(G66)="dnf",1,IF(U66&lt;ScoringTable!C$3,ScoringTable!I$2,VLOOKUP((1000-U66),ScoringTable!H$2:I$95,2)))</f>
        <v>74</v>
      </c>
      <c r="K66" s="112" t="str">
        <f>IF(OR(E66="",G66=""),"",IF(RIGHT(E66,1)="G",_xlfn.XLOOKUP(G66,Data!$D$11:$L$11,Data!$D$9:$L$9,"",1,1),_xlfn.XLOOKUP(G66,Data!$D$4:$L$4,Data!$D$2:$L$2,"",1,1)))</f>
        <v>PB5</v>
      </c>
      <c r="L66" s="160" t="str" cm="1">
        <f t="array" ref="L66">IFERROR(_xlfn.IFNA(
                      _xlfn.IFS(
                      G66="", "",
                      G66=0, "",
                      AND(E66="U12B",G66&lt;=Data!$M$4), "U12 Boys record",
                      AND(E66="U12G",G66&lt;=Data!$M$11), "U12 Girls record"
                       ),""), "")</f>
        <v/>
      </c>
      <c r="M66" s="18" cm="1">
        <f t="array" ref="M66">_xlfn.IFS(OR($G66="",$G66=0),0, AND(NOT(ISNUMBER($G66)),LOWER($G66)&lt;&gt;"dnf"),"Not a valid time",OR(LOWER($G66)="dnf",$G66&gt;ScoringTable!$N$161),1,RIGHT($E66,1)="B",_xlfn.XLOOKUP($G66,ScoringTable!$N$2:$N$161,ScoringTable!$L$2:$L$161,,1),TRUE,_xlfn.XLOOKUP($G66,ScoringTable!$T$2:$T$161,ScoringTable!$R$2:$R$161,,1))</f>
        <v>69</v>
      </c>
      <c r="Q66" s="117">
        <f t="shared" si="0"/>
        <v>115.5</v>
      </c>
      <c r="R66" s="118">
        <f t="shared" si="1"/>
        <v>1.925</v>
      </c>
      <c r="S66" s="119">
        <f t="shared" si="2"/>
        <v>1</v>
      </c>
      <c r="T66" s="118">
        <f t="shared" si="3"/>
        <v>55.5</v>
      </c>
      <c r="U66" s="120">
        <f t="shared" si="4"/>
        <v>1.5550000000000002</v>
      </c>
    </row>
    <row r="67" spans="1:21" s="7" customFormat="1" ht="16.05" customHeight="1">
      <c r="A67" s="113" t="s">
        <v>95</v>
      </c>
      <c r="B67" s="114" t="str">
        <f>IF(ISNA(VLOOKUP($F67,Declarations!B$6:C$185,2,FALSE)),"",IF(VLOOKUP($F67,Declarations!B$6:C$185,2,FALSE)="","NOT DECLARED",IF(ISNA(_xlfn.TEXTBEFORE(VLOOKUP($F67,Declarations!B$6:C$185,2,FALSE)," ")),VLOOKUP($F67,Declarations!B$6:C$185,2,FALSE),_xlfn.TEXTBEFORE(VLOOKUP($F67,Declarations!B$6:C$185,2,FALSE)," "))))</f>
        <v>FINLAY</v>
      </c>
      <c r="C67" s="114" t="str">
        <f>IF(ISNA(VLOOKUP($F67,Declarations!B$6:C$185,2,FALSE)),"",IF(VLOOKUP($F67,Declarations!B$6:C$185,2,FALSE)="","NOT DECLARED",IF(ISNA(_xlfn.TEXTAFTER(VLOOKUP($F67,Declarations!B$6:C$185,2,FALSE)," ")),VLOOKUP($F67,Declarations!B$6:C$185,2,FALSE),_xlfn.TEXTAFTER(VLOOKUP($F67,Declarations!B$6:C$185,2,FALSE)," "))))</f>
        <v>KENYON</v>
      </c>
      <c r="D67" s="114" t="str">
        <f>IF(ISNA(VLOOKUP($F67,Declarations!$B$6:$F$185,5,FALSE)),"",IF(VLOOKUP($F67,Declarations!$B$6:$F$185,5,FALSE)="","NOT DECLARED",VLOOKUP($F67,Declarations!$B$6:$F$185,5,FALSE)))</f>
        <v>Poole Runners</v>
      </c>
      <c r="E67" s="112" t="str">
        <f>IF(ISNA(VLOOKUP($F67,Declarations!$B$6:$D$185,3,FALSE)),"",IF(VLOOKUP($F67,Declarations!$B$6:$D$185,3,FALSE)="","NOT DECLARED",VLOOKUP($F67,Declarations!$B$6:$D$185,3,FALSE)&amp;LEFT(VLOOKUP($F67,Declarations!$B$6:$E$185,4,FALSE))))</f>
        <v>U12B</v>
      </c>
      <c r="F67" s="58">
        <v>58</v>
      </c>
      <c r="G67" s="115">
        <v>1.3541666666666667E-3</v>
      </c>
      <c r="H67" s="281"/>
      <c r="I67" s="114" t="str">
        <f>IF(ISNA(VLOOKUP(F67,Declarations!B$6:C$185,2,FALSE)),"",IF(VLOOKUP(F67,Declarations!B$6:C$185,2,FALSE)="","NOT DECLARED",VLOOKUP(F67,Declarations!B$6:C$185,2,FALSE)))</f>
        <v>FINLAY KENYON</v>
      </c>
      <c r="J67" s="116">
        <f>IF(LOWER(G67)="dnf",1,IF(U67&lt;ScoringTable!C$3,ScoringTable!I$2,VLOOKUP((1000-U67),ScoringTable!H$2:I$95,2)))</f>
        <v>73</v>
      </c>
      <c r="K67" s="112" t="str">
        <f>IF(OR(E67="",G67=""),"",IF(RIGHT(E67,1)="G",_xlfn.XLOOKUP(G67,Data!$D$11:$L$11,Data!$D$9:$L$9,"",1,1),_xlfn.XLOOKUP(G67,Data!$D$4:$L$4,Data!$D$2:$L$2,"",1,1)))</f>
        <v>PB5</v>
      </c>
      <c r="L67" s="160" t="str" cm="1">
        <f t="array" ref="L67">IFERROR(_xlfn.IFNA(
                      _xlfn.IFS(
                      G67="", "",
                      G67=0, "",
                      AND(E67="U12B",G67&lt;=Data!$M$4), "U12 Boys record",
                      AND(E67="U12G",G67&lt;=Data!$M$11), "U12 Girls record"
                       ),""), "")</f>
        <v/>
      </c>
      <c r="M67" s="18" cm="1">
        <f t="array" ref="M67">_xlfn.IFS(OR($G67="",$G67=0),0, AND(NOT(ISNUMBER($G67)),LOWER($G67)&lt;&gt;"dnf"),"Not a valid time",OR(LOWER($G67)="dnf",$G67&gt;ScoringTable!$N$161),1,RIGHT($E67,1)="B",_xlfn.XLOOKUP($G67,ScoringTable!$N$2:$N$161,ScoringTable!$L$2:$L$161,,1),TRUE,_xlfn.XLOOKUP($G67,ScoringTable!$T$2:$T$161,ScoringTable!$R$2:$R$161,,1))</f>
        <v>66</v>
      </c>
      <c r="Q67" s="117">
        <f t="shared" si="0"/>
        <v>117</v>
      </c>
      <c r="R67" s="118">
        <f t="shared" si="1"/>
        <v>1.95</v>
      </c>
      <c r="S67" s="119">
        <f t="shared" si="2"/>
        <v>1</v>
      </c>
      <c r="T67" s="118">
        <f t="shared" si="3"/>
        <v>57</v>
      </c>
      <c r="U67" s="120">
        <f t="shared" si="4"/>
        <v>1.5699999999999998</v>
      </c>
    </row>
    <row r="68" spans="1:21" s="7" customFormat="1" ht="16.05" customHeight="1">
      <c r="A68" s="113" t="s">
        <v>95</v>
      </c>
      <c r="B68" s="114" t="str">
        <f>IF(ISNA(VLOOKUP($F68,Declarations!B$6:C$185,2,FALSE)),"",IF(VLOOKUP($F68,Declarations!B$6:C$185,2,FALSE)="","NOT DECLARED",IF(ISNA(_xlfn.TEXTBEFORE(VLOOKUP($F68,Declarations!B$6:C$185,2,FALSE)," ")),VLOOKUP($F68,Declarations!B$6:C$185,2,FALSE),_xlfn.TEXTBEFORE(VLOOKUP($F68,Declarations!B$6:C$185,2,FALSE)," "))))</f>
        <v>LOUIS</v>
      </c>
      <c r="C68" s="114" t="str">
        <f>IF(ISNA(VLOOKUP($F68,Declarations!B$6:C$185,2,FALSE)),"",IF(VLOOKUP($F68,Declarations!B$6:C$185,2,FALSE)="","NOT DECLARED",IF(ISNA(_xlfn.TEXTAFTER(VLOOKUP($F68,Declarations!B$6:C$185,2,FALSE)," ")),VLOOKUP($F68,Declarations!B$6:C$185,2,FALSE),_xlfn.TEXTAFTER(VLOOKUP($F68,Declarations!B$6:C$185,2,FALSE)," "))))</f>
        <v>MASON</v>
      </c>
      <c r="D68" s="114" t="str">
        <f>IF(ISNA(VLOOKUP($F68,Declarations!$B$6:$F$185,5,FALSE)),"",IF(VLOOKUP($F68,Declarations!$B$6:$F$185,5,FALSE)="","NOT DECLARED",VLOOKUP($F68,Declarations!$B$6:$F$185,5,FALSE)))</f>
        <v>Woking AC</v>
      </c>
      <c r="E68" s="112" t="str">
        <f>IF(ISNA(VLOOKUP($F68,Declarations!$B$6:$D$185,3,FALSE)),"",IF(VLOOKUP($F68,Declarations!$B$6:$D$185,3,FALSE)="","NOT DECLARED",VLOOKUP($F68,Declarations!$B$6:$D$185,3,FALSE)&amp;LEFT(VLOOKUP($F68,Declarations!$B$6:$E$185,4,FALSE))))</f>
        <v>U12B</v>
      </c>
      <c r="F68" s="58">
        <v>34</v>
      </c>
      <c r="G68" s="115">
        <v>1.3888888888888889E-3</v>
      </c>
      <c r="H68" s="281"/>
      <c r="I68" s="114" t="str">
        <f>IF(ISNA(VLOOKUP(F68,Declarations!B$6:C$185,2,FALSE)),"",IF(VLOOKUP(F68,Declarations!B$6:C$185,2,FALSE)="","NOT DECLARED",VLOOKUP(F68,Declarations!B$6:C$185,2,FALSE)))</f>
        <v>LOUIS MASON</v>
      </c>
      <c r="J68" s="116">
        <f>IF(LOWER(G68)="dnf",1,IF(U68&lt;ScoringTable!C$3,ScoringTable!I$2,VLOOKUP((1000-U68),ScoringTable!H$2:I$95,2)))</f>
        <v>70</v>
      </c>
      <c r="K68" s="112" t="str">
        <f>IF(OR(E68="",G68=""),"",IF(RIGHT(E68,1)="G",_xlfn.XLOOKUP(G68,Data!$D$11:$L$11,Data!$D$9:$L$9,"",1,1),_xlfn.XLOOKUP(G68,Data!$D$4:$L$4,Data!$D$2:$L$2,"",1,1)))</f>
        <v>PB5</v>
      </c>
      <c r="L68" s="160" t="str" cm="1">
        <f t="array" ref="L68">IFERROR(_xlfn.IFNA(
                      _xlfn.IFS(
                      G68="", "",
                      G68=0, "",
                      AND(E68="U12B",G68&lt;=Data!$M$4), "U12 Boys record",
                      AND(E68="U12G",G68&lt;=Data!$M$11), "U12 Girls record"
                       ),""), "")</f>
        <v/>
      </c>
      <c r="M68" s="18" cm="1">
        <f t="array" ref="M68">_xlfn.IFS(OR($G68="",$G68=0),0, AND(NOT(ISNUMBER($G68)),LOWER($G68)&lt;&gt;"dnf"),"Not a valid time",OR(LOWER($G68)="dnf",$G68&gt;ScoringTable!$N$161),1,RIGHT($E68,1)="B",_xlfn.XLOOKUP($G68,ScoringTable!$N$2:$N$161,ScoringTable!$L$2:$L$161,,1),TRUE,_xlfn.XLOOKUP($G68,ScoringTable!$T$2:$T$161,ScoringTable!$R$2:$R$161,,1))</f>
        <v>60</v>
      </c>
      <c r="Q68" s="117">
        <f t="shared" si="0"/>
        <v>120</v>
      </c>
      <c r="R68" s="118">
        <f t="shared" si="1"/>
        <v>2</v>
      </c>
      <c r="S68" s="119">
        <f t="shared" si="2"/>
        <v>2</v>
      </c>
      <c r="T68" s="118">
        <f t="shared" si="3"/>
        <v>0</v>
      </c>
      <c r="U68" s="120">
        <f t="shared" si="4"/>
        <v>2</v>
      </c>
    </row>
    <row r="69" spans="1:21" s="7" customFormat="1" ht="16.05" customHeight="1">
      <c r="A69" s="113" t="s">
        <v>95</v>
      </c>
      <c r="B69" s="114" t="str">
        <f>IF(ISNA(VLOOKUP($F69,Declarations!B$6:C$185,2,FALSE)),"",IF(VLOOKUP($F69,Declarations!B$6:C$185,2,FALSE)="","NOT DECLARED",IF(ISNA(_xlfn.TEXTBEFORE(VLOOKUP($F69,Declarations!B$6:C$185,2,FALSE)," ")),VLOOKUP($F69,Declarations!B$6:C$185,2,FALSE),_xlfn.TEXTBEFORE(VLOOKUP($F69,Declarations!B$6:C$185,2,FALSE)," "))))</f>
        <v>OSCAR</v>
      </c>
      <c r="C69" s="114" t="str">
        <f>IF(ISNA(VLOOKUP($F69,Declarations!B$6:C$185,2,FALSE)),"",IF(VLOOKUP($F69,Declarations!B$6:C$185,2,FALSE)="","NOT DECLARED",IF(ISNA(_xlfn.TEXTAFTER(VLOOKUP($F69,Declarations!B$6:C$185,2,FALSE)," ")),VLOOKUP($F69,Declarations!B$6:C$185,2,FALSE),_xlfn.TEXTAFTER(VLOOKUP($F69,Declarations!B$6:C$185,2,FALSE)," "))))</f>
        <v>FROST</v>
      </c>
      <c r="D69" s="114" t="str">
        <f>IF(ISNA(VLOOKUP($F69,Declarations!$B$6:$F$185,5,FALSE)),"",IF(VLOOKUP($F69,Declarations!$B$6:$F$185,5,FALSE)="","NOT DECLARED",VLOOKUP($F69,Declarations!$B$6:$F$185,5,FALSE)))</f>
        <v>Camberley &amp; District AC</v>
      </c>
      <c r="E69" s="112" t="str">
        <f>IF(ISNA(VLOOKUP($F69,Declarations!$B$6:$D$185,3,FALSE)),"",IF(VLOOKUP($F69,Declarations!$B$6:$D$185,3,FALSE)="","NOT DECLARED",VLOOKUP($F69,Declarations!$B$6:$D$185,3,FALSE)&amp;LEFT(VLOOKUP($F69,Declarations!$B$6:$E$185,4,FALSE))))</f>
        <v>U12B</v>
      </c>
      <c r="F69" s="58">
        <v>12</v>
      </c>
      <c r="G69" s="115">
        <v>1.3888888888888889E-3</v>
      </c>
      <c r="H69" s="281"/>
      <c r="I69" s="114" t="str">
        <f>IF(ISNA(VLOOKUP(F69,Declarations!B$6:C$185,2,FALSE)),"",IF(VLOOKUP(F69,Declarations!B$6:C$185,2,FALSE)="","NOT DECLARED",VLOOKUP(F69,Declarations!B$6:C$185,2,FALSE)))</f>
        <v>OSCAR FROST</v>
      </c>
      <c r="J69" s="116">
        <f>IF(LOWER(G69)="dnf",1,IF(U69&lt;ScoringTable!C$3,ScoringTable!I$2,VLOOKUP((1000-U69),ScoringTable!H$2:I$95,2)))</f>
        <v>70</v>
      </c>
      <c r="K69" s="112" t="str">
        <f>IF(OR(E69="",G69=""),"",IF(RIGHT(E69,1)="G",_xlfn.XLOOKUP(G69,Data!$D$11:$L$11,Data!$D$9:$L$9,"",1,1),_xlfn.XLOOKUP(G69,Data!$D$4:$L$4,Data!$D$2:$L$2,"",1,1)))</f>
        <v>PB5</v>
      </c>
      <c r="L69" s="160" t="str" cm="1">
        <f t="array" ref="L69">IFERROR(_xlfn.IFNA(
                      _xlfn.IFS(
                      G69="", "",
                      G69=0, "",
                      AND(E69="U12B",G69&lt;=Data!$M$4), "U12 Boys record",
                      AND(E69="U12G",G69&lt;=Data!$M$11), "U12 Girls record"
                       ),""), "")</f>
        <v/>
      </c>
      <c r="M69" s="18" cm="1">
        <f t="array" ref="M69">_xlfn.IFS(OR($G69="",$G69=0),0, AND(NOT(ISNUMBER($G69)),LOWER($G69)&lt;&gt;"dnf"),"Not a valid time",OR(LOWER($G69)="dnf",$G69&gt;ScoringTable!$N$161),1,RIGHT($E69,1)="B",_xlfn.XLOOKUP($G69,ScoringTable!$N$2:$N$161,ScoringTable!$L$2:$L$161,,1),TRUE,_xlfn.XLOOKUP($G69,ScoringTable!$T$2:$T$161,ScoringTable!$R$2:$R$161,,1))</f>
        <v>60</v>
      </c>
      <c r="Q69" s="117">
        <f t="shared" si="0"/>
        <v>120</v>
      </c>
      <c r="R69" s="118">
        <f t="shared" si="1"/>
        <v>2</v>
      </c>
      <c r="S69" s="119">
        <f t="shared" si="2"/>
        <v>2</v>
      </c>
      <c r="T69" s="118">
        <f t="shared" si="3"/>
        <v>0</v>
      </c>
      <c r="U69" s="120">
        <f t="shared" si="4"/>
        <v>2</v>
      </c>
    </row>
    <row r="70" spans="1:21" s="7" customFormat="1" ht="16.05" customHeight="1">
      <c r="A70" s="113" t="s">
        <v>95</v>
      </c>
      <c r="B70" s="114" t="str">
        <f>IF(ISNA(VLOOKUP($F70,Declarations!B$6:C$185,2,FALSE)),"",IF(VLOOKUP($F70,Declarations!B$6:C$185,2,FALSE)="","NOT DECLARED",IF(ISNA(_xlfn.TEXTBEFORE(VLOOKUP($F70,Declarations!B$6:C$185,2,FALSE)," ")),VLOOKUP($F70,Declarations!B$6:C$185,2,FALSE),_xlfn.TEXTBEFORE(VLOOKUP($F70,Declarations!B$6:C$185,2,FALSE)," "))))</f>
        <v>MATTHIAS</v>
      </c>
      <c r="C70" s="114" t="str">
        <f>IF(ISNA(VLOOKUP($F70,Declarations!B$6:C$185,2,FALSE)),"",IF(VLOOKUP($F70,Declarations!B$6:C$185,2,FALSE)="","NOT DECLARED",IF(ISNA(_xlfn.TEXTAFTER(VLOOKUP($F70,Declarations!B$6:C$185,2,FALSE)," ")),VLOOKUP($F70,Declarations!B$6:C$185,2,FALSE),_xlfn.TEXTAFTER(VLOOKUP($F70,Declarations!B$6:C$185,2,FALSE)," "))))</f>
        <v>DE PAULA DENS</v>
      </c>
      <c r="D70" s="114" t="str">
        <f>IF(ISNA(VLOOKUP($F70,Declarations!$B$6:$F$185,5,FALSE)),"",IF(VLOOKUP($F70,Declarations!$B$6:$F$185,5,FALSE)="","NOT DECLARED",VLOOKUP($F70,Declarations!$B$6:$F$185,5,FALSE)))</f>
        <v>Woking AC</v>
      </c>
      <c r="E70" s="112" t="str">
        <f>IF(ISNA(VLOOKUP($F70,Declarations!$B$6:$D$185,3,FALSE)),"",IF(VLOOKUP($F70,Declarations!$B$6:$D$185,3,FALSE)="","NOT DECLARED",VLOOKUP($F70,Declarations!$B$6:$D$185,3,FALSE)&amp;LEFT(VLOOKUP($F70,Declarations!$B$6:$E$185,4,FALSE))))</f>
        <v>U12B</v>
      </c>
      <c r="F70" s="58">
        <v>35</v>
      </c>
      <c r="G70" s="115">
        <v>1.4409722222222222E-3</v>
      </c>
      <c r="H70" s="281"/>
      <c r="I70" s="114" t="str">
        <f>IF(ISNA(VLOOKUP(F70,Declarations!B$6:C$185,2,FALSE)),"",IF(VLOOKUP(F70,Declarations!B$6:C$185,2,FALSE)="","NOT DECLARED",VLOOKUP(F70,Declarations!B$6:C$185,2,FALSE)))</f>
        <v>MATTHIAS DE PAULA DENS</v>
      </c>
      <c r="J70" s="116">
        <f>IF(LOWER(G70)="dnf",1,IF(U70&lt;ScoringTable!C$3,ScoringTable!I$2,VLOOKUP((1000-U70),ScoringTable!H$2:I$95,2)))</f>
        <v>65</v>
      </c>
      <c r="K70" s="112" t="str">
        <f>IF(OR(E70="",G70=""),"",IF(RIGHT(E70,1)="G",_xlfn.XLOOKUP(G70,Data!$D$11:$L$11,Data!$D$9:$L$9,"",1,1),_xlfn.XLOOKUP(G70,Data!$D$4:$L$4,Data!$D$2:$L$2,"",1,1)))</f>
        <v>PB4</v>
      </c>
      <c r="L70" s="160" t="str" cm="1">
        <f t="array" ref="L70">IFERROR(_xlfn.IFNA(
                      _xlfn.IFS(
                      G70="", "",
                      G70=0, "",
                      AND(E70="U12B",G70&lt;=Data!$M$4), "U12 Boys record",
                      AND(E70="U12G",G70&lt;=Data!$M$11), "U12 Girls record"
                       ),""), "")</f>
        <v/>
      </c>
      <c r="M70" s="18" cm="1">
        <f t="array" ref="M70">_xlfn.IFS(OR($G70="",$G70=0),0, AND(NOT(ISNUMBER($G70)),LOWER($G70)&lt;&gt;"dnf"),"Not a valid time",OR(LOWER($G70)="dnf",$G70&gt;ScoringTable!$N$161),1,RIGHT($E70,1)="B",_xlfn.XLOOKUP($G70,ScoringTable!$N$2:$N$161,ScoringTable!$L$2:$L$161,,1),TRUE,_xlfn.XLOOKUP($G70,ScoringTable!$T$2:$T$161,ScoringTable!$R$2:$R$161,,1))</f>
        <v>51</v>
      </c>
      <c r="Q70" s="117">
        <f t="shared" si="0"/>
        <v>124.5</v>
      </c>
      <c r="R70" s="118">
        <f t="shared" si="1"/>
        <v>2.0750000000000002</v>
      </c>
      <c r="S70" s="119">
        <f t="shared" si="2"/>
        <v>2</v>
      </c>
      <c r="T70" s="118">
        <f t="shared" si="3"/>
        <v>4.5</v>
      </c>
      <c r="U70" s="120">
        <f t="shared" si="4"/>
        <v>2.0449999999999999</v>
      </c>
    </row>
    <row r="71" spans="1:21" s="7" customFormat="1" ht="16.05" customHeight="1">
      <c r="A71" s="113" t="s">
        <v>95</v>
      </c>
      <c r="B71" s="114" t="str">
        <f>IF(ISNA(VLOOKUP($F71,Declarations!B$6:C$185,2,FALSE)),"",IF(VLOOKUP($F71,Declarations!B$6:C$185,2,FALSE)="","NOT DECLARED",IF(ISNA(_xlfn.TEXTBEFORE(VLOOKUP($F71,Declarations!B$6:C$185,2,FALSE)," ")),VLOOKUP($F71,Declarations!B$6:C$185,2,FALSE),_xlfn.TEXTBEFORE(VLOOKUP($F71,Declarations!B$6:C$185,2,FALSE)," "))))</f>
        <v>FERGUS</v>
      </c>
      <c r="C71" s="114" t="str">
        <f>IF(ISNA(VLOOKUP($F71,Declarations!B$6:C$185,2,FALSE)),"",IF(VLOOKUP($F71,Declarations!B$6:C$185,2,FALSE)="","NOT DECLARED",IF(ISNA(_xlfn.TEXTAFTER(VLOOKUP($F71,Declarations!B$6:C$185,2,FALSE)," ")),VLOOKUP($F71,Declarations!B$6:C$185,2,FALSE),_xlfn.TEXTAFTER(VLOOKUP($F71,Declarations!B$6:C$185,2,FALSE)," "))))</f>
        <v>STANNING</v>
      </c>
      <c r="D71" s="114" t="str">
        <f>IF(ISNA(VLOOKUP($F71,Declarations!$B$6:$F$185,5,FALSE)),"",IF(VLOOKUP($F71,Declarations!$B$6:$F$185,5,FALSE)="","NOT DECLARED",VLOOKUP($F71,Declarations!$B$6:$F$185,5,FALSE)))</f>
        <v>Poole Runners</v>
      </c>
      <c r="E71" s="112" t="str">
        <f>IF(ISNA(VLOOKUP($F71,Declarations!$B$6:$D$185,3,FALSE)),"",IF(VLOOKUP($F71,Declarations!$B$6:$D$185,3,FALSE)="","NOT DECLARED",VLOOKUP($F71,Declarations!$B$6:$D$185,3,FALSE)&amp;LEFT(VLOOKUP($F71,Declarations!$B$6:$E$185,4,FALSE))))</f>
        <v>U12B</v>
      </c>
      <c r="F71" s="58">
        <v>54</v>
      </c>
      <c r="G71" s="115">
        <v>1.4803240740740742E-3</v>
      </c>
      <c r="H71" s="281"/>
      <c r="I71" s="114" t="str">
        <f>IF(ISNA(VLOOKUP(F71,Declarations!B$6:C$185,2,FALSE)),"",IF(VLOOKUP(F71,Declarations!B$6:C$185,2,FALSE)="","NOT DECLARED",VLOOKUP(F71,Declarations!B$6:C$185,2,FALSE)))</f>
        <v>FERGUS STANNING</v>
      </c>
      <c r="J71" s="116">
        <f>IF(LOWER(G71)="dnf",1,IF(U71&lt;ScoringTable!C$3,ScoringTable!I$2,VLOOKUP((1000-U71),ScoringTable!H$2:I$95,2)))</f>
        <v>62</v>
      </c>
      <c r="K71" s="112" t="str">
        <f>IF(OR(E71="",G71=""),"",IF(RIGHT(E71,1)="G",_xlfn.XLOOKUP(G71,Data!$D$11:$L$11,Data!$D$9:$L$9,"",1,1),_xlfn.XLOOKUP(G71,Data!$D$4:$L$4,Data!$D$2:$L$2,"",1,1)))</f>
        <v>PB3</v>
      </c>
      <c r="L71" s="160" t="str" cm="1">
        <f t="array" ref="L71">IFERROR(_xlfn.IFNA(
                      _xlfn.IFS(
                      G71="", "",
                      G71=0, "",
                      AND(E71="U12B",G71&lt;=Data!$M$4), "U12 Boys record",
                      AND(E71="U12G",G71&lt;=Data!$M$11), "U12 Girls record"
                       ),""), "")</f>
        <v/>
      </c>
      <c r="M71" s="18" cm="1">
        <f t="array" ref="M71">_xlfn.IFS(OR($G71="",$G71=0),0, AND(NOT(ISNUMBER($G71)),LOWER($G71)&lt;&gt;"dnf"),"Not a valid time",OR(LOWER($G71)="dnf",$G71&gt;ScoringTable!$N$161),1,RIGHT($E71,1)="B",_xlfn.XLOOKUP($G71,ScoringTable!$N$2:$N$161,ScoringTable!$L$2:$L$161,,1),TRUE,_xlfn.XLOOKUP($G71,ScoringTable!$T$2:$T$161,ScoringTable!$R$2:$R$161,,1))</f>
        <v>44</v>
      </c>
      <c r="Q71" s="117">
        <f t="shared" ref="Q71:Q134" si="5">G71*86400</f>
        <v>127.90000000000002</v>
      </c>
      <c r="R71" s="118">
        <f t="shared" ref="R71:R134" si="6">Q71/60</f>
        <v>2.1316666666666668</v>
      </c>
      <c r="S71" s="119">
        <f t="shared" ref="S71:S134" si="7">(ROUNDDOWN(R71,0))</f>
        <v>2</v>
      </c>
      <c r="T71" s="118">
        <f t="shared" ref="T71:T134" si="8">Q71-((S71*60))</f>
        <v>7.9000000000000199</v>
      </c>
      <c r="U71" s="120">
        <f t="shared" ref="U71:U134" si="9">+(S71)+(T71/100)</f>
        <v>2.0790000000000002</v>
      </c>
    </row>
    <row r="72" spans="1:21" s="7" customFormat="1" ht="16.05" customHeight="1">
      <c r="A72" s="113" t="s">
        <v>95</v>
      </c>
      <c r="B72" s="114" t="str">
        <f>IF(ISNA(VLOOKUP($F72,Declarations!B$6:C$185,2,FALSE)),"",IF(VLOOKUP($F72,Declarations!B$6:C$185,2,FALSE)="","NOT DECLARED",IF(ISNA(_xlfn.TEXTBEFORE(VLOOKUP($F72,Declarations!B$6:C$185,2,FALSE)," ")),VLOOKUP($F72,Declarations!B$6:C$185,2,FALSE),_xlfn.TEXTBEFORE(VLOOKUP($F72,Declarations!B$6:C$185,2,FALSE)," "))))</f>
        <v>TADHG</v>
      </c>
      <c r="C72" s="114" t="str">
        <f>IF(ISNA(VLOOKUP($F72,Declarations!B$6:C$185,2,FALSE)),"",IF(VLOOKUP($F72,Declarations!B$6:C$185,2,FALSE)="","NOT DECLARED",IF(ISNA(_xlfn.TEXTAFTER(VLOOKUP($F72,Declarations!B$6:C$185,2,FALSE)," ")),VLOOKUP($F72,Declarations!B$6:C$185,2,FALSE),_xlfn.TEXTAFTER(VLOOKUP($F72,Declarations!B$6:C$185,2,FALSE)," "))))</f>
        <v>WATSON</v>
      </c>
      <c r="D72" s="114" t="str">
        <f>IF(ISNA(VLOOKUP($F72,Declarations!$B$6:$F$185,5,FALSE)),"",IF(VLOOKUP($F72,Declarations!$B$6:$F$185,5,FALSE)="","NOT DECLARED",VLOOKUP($F72,Declarations!$B$6:$F$185,5,FALSE)))</f>
        <v>Waverley Athletics Club</v>
      </c>
      <c r="E72" s="112" t="str">
        <f>IF(ISNA(VLOOKUP($F72,Declarations!$B$6:$D$185,3,FALSE)),"",IF(VLOOKUP($F72,Declarations!$B$6:$D$185,3,FALSE)="","NOT DECLARED",VLOOKUP($F72,Declarations!$B$6:$D$185,3,FALSE)&amp;LEFT(VLOOKUP($F72,Declarations!$B$6:$E$185,4,FALSE))))</f>
        <v>U12B</v>
      </c>
      <c r="F72" s="58">
        <v>96</v>
      </c>
      <c r="G72" s="115">
        <v>1.5312500000000001E-3</v>
      </c>
      <c r="H72" s="281"/>
      <c r="I72" s="114" t="str">
        <f>IF(ISNA(VLOOKUP(F72,Declarations!B$6:C$185,2,FALSE)),"",IF(VLOOKUP(F72,Declarations!B$6:C$185,2,FALSE)="","NOT DECLARED",VLOOKUP(F72,Declarations!B$6:C$185,2,FALSE)))</f>
        <v>TADHG WATSON</v>
      </c>
      <c r="J72" s="116">
        <f>IF(LOWER(G72)="dnf",1,IF(U72&lt;ScoringTable!C$3,ScoringTable!I$2,VLOOKUP((1000-U72),ScoringTable!H$2:I$95,2)))</f>
        <v>57</v>
      </c>
      <c r="K72" s="112" t="str">
        <f>IF(OR(E72="",G72=""),"",IF(RIGHT(E72,1)="G",_xlfn.XLOOKUP(G72,Data!$D$11:$L$11,Data!$D$9:$L$9,"",1,1),_xlfn.XLOOKUP(G72,Data!$D$4:$L$4,Data!$D$2:$L$2,"",1,1)))</f>
        <v>PB2</v>
      </c>
      <c r="L72" s="160" t="str" cm="1">
        <f t="array" ref="L72">IFERROR(_xlfn.IFNA(
                      _xlfn.IFS(
                      G72="", "",
                      G72=0, "",
                      AND(E72="U12B",G72&lt;=Data!$M$4), "U12 Boys record",
                      AND(E72="U12G",G72&lt;=Data!$M$11), "U12 Girls record"
                       ),""), "")</f>
        <v/>
      </c>
      <c r="M72" s="18" cm="1">
        <f t="array" ref="M72">_xlfn.IFS(OR($G72="",$G72=0),0, AND(NOT(ISNUMBER($G72)),LOWER($G72)&lt;&gt;"dnf"),"Not a valid time",OR(LOWER($G72)="dnf",$G72&gt;ScoringTable!$N$161),1,RIGHT($E72,1)="B",_xlfn.XLOOKUP($G72,ScoringTable!$N$2:$N$161,ScoringTable!$L$2:$L$161,,1),TRUE,_xlfn.XLOOKUP($G72,ScoringTable!$T$2:$T$161,ScoringTable!$R$2:$R$161,,1))</f>
        <v>37</v>
      </c>
      <c r="Q72" s="117">
        <f t="shared" si="5"/>
        <v>132.30000000000001</v>
      </c>
      <c r="R72" s="118">
        <f t="shared" si="6"/>
        <v>2.2050000000000001</v>
      </c>
      <c r="S72" s="119">
        <f t="shared" si="7"/>
        <v>2</v>
      </c>
      <c r="T72" s="118">
        <f t="shared" si="8"/>
        <v>12.300000000000011</v>
      </c>
      <c r="U72" s="120">
        <f t="shared" si="9"/>
        <v>2.1230000000000002</v>
      </c>
    </row>
    <row r="73" spans="1:21" s="7" customFormat="1" ht="16.05" customHeight="1">
      <c r="A73" s="113" t="s">
        <v>95</v>
      </c>
      <c r="B73" s="114" t="str">
        <f>IF(ISNA(VLOOKUP($F73,Declarations!B$6:C$185,2,FALSE)),"",IF(VLOOKUP($F73,Declarations!B$6:C$185,2,FALSE)="","NOT DECLARED",IF(ISNA(_xlfn.TEXTBEFORE(VLOOKUP($F73,Declarations!B$6:C$185,2,FALSE)," ")),VLOOKUP($F73,Declarations!B$6:C$185,2,FALSE),_xlfn.TEXTBEFORE(VLOOKUP($F73,Declarations!B$6:C$185,2,FALSE)," "))))</f>
        <v>ISAAC</v>
      </c>
      <c r="C73" s="114" t="str">
        <f>IF(ISNA(VLOOKUP($F73,Declarations!B$6:C$185,2,FALSE)),"",IF(VLOOKUP($F73,Declarations!B$6:C$185,2,FALSE)="","NOT DECLARED",IF(ISNA(_xlfn.TEXTAFTER(VLOOKUP($F73,Declarations!B$6:C$185,2,FALSE)," ")),VLOOKUP($F73,Declarations!B$6:C$185,2,FALSE),_xlfn.TEXTAFTER(VLOOKUP($F73,Declarations!B$6:C$185,2,FALSE)," "))))</f>
        <v>HUTCHISON</v>
      </c>
      <c r="D73" s="114" t="str">
        <f>IF(ISNA(VLOOKUP($F73,Declarations!$B$6:$F$185,5,FALSE)),"",IF(VLOOKUP($F73,Declarations!$B$6:$F$185,5,FALSE)="","NOT DECLARED",VLOOKUP($F73,Declarations!$B$6:$F$185,5,FALSE)))</f>
        <v>Woking AC</v>
      </c>
      <c r="E73" s="112" t="str">
        <f>IF(ISNA(VLOOKUP($F73,Declarations!$B$6:$D$185,3,FALSE)),"",IF(VLOOKUP($F73,Declarations!$B$6:$D$185,3,FALSE)="","NOT DECLARED",VLOOKUP($F73,Declarations!$B$6:$D$185,3,FALSE)&amp;LEFT(VLOOKUP($F73,Declarations!$B$6:$E$185,4,FALSE))))</f>
        <v>U12B</v>
      </c>
      <c r="F73" s="58">
        <v>32</v>
      </c>
      <c r="G73" s="115">
        <v>1.5312500000000001E-3</v>
      </c>
      <c r="H73" s="281"/>
      <c r="I73" s="114" t="str">
        <f>IF(ISNA(VLOOKUP(F73,Declarations!B$6:C$185,2,FALSE)),"",IF(VLOOKUP(F73,Declarations!B$6:C$185,2,FALSE)="","NOT DECLARED",VLOOKUP(F73,Declarations!B$6:C$185,2,FALSE)))</f>
        <v>ISAAC HUTCHISON</v>
      </c>
      <c r="J73" s="116">
        <f>IF(LOWER(G73)="dnf",1,IF(U73&lt;ScoringTable!C$3,ScoringTable!I$2,VLOOKUP((1000-U73),ScoringTable!H$2:I$95,2)))</f>
        <v>57</v>
      </c>
      <c r="K73" s="112" t="str">
        <f>IF(OR(E73="",G73=""),"",IF(RIGHT(E73,1)="G",_xlfn.XLOOKUP(G73,Data!$D$11:$L$11,Data!$D$9:$L$9,"",1,1),_xlfn.XLOOKUP(G73,Data!$D$4:$L$4,Data!$D$2:$L$2,"",1,1)))</f>
        <v>PB2</v>
      </c>
      <c r="L73" s="160" t="str" cm="1">
        <f t="array" ref="L73">IFERROR(_xlfn.IFNA(
                      _xlfn.IFS(
                      G73="", "",
                      G73=0, "",
                      AND(E73="U12B",G73&lt;=Data!$M$4), "U12 Boys record",
                      AND(E73="U12G",G73&lt;=Data!$M$11), "U12 Girls record"
                       ),""), "")</f>
        <v/>
      </c>
      <c r="M73" s="18" cm="1">
        <f t="array" ref="M73">_xlfn.IFS(OR($G73="",$G73=0),0, AND(NOT(ISNUMBER($G73)),LOWER($G73)&lt;&gt;"dnf"),"Not a valid time",OR(LOWER($G73)="dnf",$G73&gt;ScoringTable!$N$161),1,RIGHT($E73,1)="B",_xlfn.XLOOKUP($G73,ScoringTable!$N$2:$N$161,ScoringTable!$L$2:$L$161,,1),TRUE,_xlfn.XLOOKUP($G73,ScoringTable!$T$2:$T$161,ScoringTable!$R$2:$R$161,,1))</f>
        <v>37</v>
      </c>
      <c r="Q73" s="117">
        <f t="shared" si="5"/>
        <v>132.30000000000001</v>
      </c>
      <c r="R73" s="118">
        <f t="shared" si="6"/>
        <v>2.2050000000000001</v>
      </c>
      <c r="S73" s="119">
        <f t="shared" si="7"/>
        <v>2</v>
      </c>
      <c r="T73" s="118">
        <f t="shared" si="8"/>
        <v>12.300000000000011</v>
      </c>
      <c r="U73" s="120">
        <f t="shared" si="9"/>
        <v>2.1230000000000002</v>
      </c>
    </row>
    <row r="74" spans="1:21" s="7" customFormat="1" ht="16.05" customHeight="1">
      <c r="A74" s="113" t="s">
        <v>95</v>
      </c>
      <c r="B74" s="114" t="str">
        <f>IF(ISNA(VLOOKUP($F74,Declarations!B$6:C$185,2,FALSE)),"",IF(VLOOKUP($F74,Declarations!B$6:C$185,2,FALSE)="","NOT DECLARED",IF(ISNA(_xlfn.TEXTBEFORE(VLOOKUP($F74,Declarations!B$6:C$185,2,FALSE)," ")),VLOOKUP($F74,Declarations!B$6:C$185,2,FALSE),_xlfn.TEXTBEFORE(VLOOKUP($F74,Declarations!B$6:C$185,2,FALSE)," "))))</f>
        <v>ELLIOTT</v>
      </c>
      <c r="C74" s="114" t="str">
        <f>IF(ISNA(VLOOKUP($F74,Declarations!B$6:C$185,2,FALSE)),"",IF(VLOOKUP($F74,Declarations!B$6:C$185,2,FALSE)="","NOT DECLARED",IF(ISNA(_xlfn.TEXTAFTER(VLOOKUP($F74,Declarations!B$6:C$185,2,FALSE)," ")),VLOOKUP($F74,Declarations!B$6:C$185,2,FALSE),_xlfn.TEXTAFTER(VLOOKUP($F74,Declarations!B$6:C$185,2,FALSE)," "))))</f>
        <v>LEAVEY</v>
      </c>
      <c r="D74" s="114" t="str">
        <f>IF(ISNA(VLOOKUP($F74,Declarations!$B$6:$F$185,5,FALSE)),"",IF(VLOOKUP($F74,Declarations!$B$6:$F$185,5,FALSE)="","NOT DECLARED",VLOOKUP($F74,Declarations!$B$6:$F$185,5,FALSE)))</f>
        <v>Basingstoke &amp; Mid Hants AC</v>
      </c>
      <c r="E74" s="112" t="str">
        <f>IF(ISNA(VLOOKUP($F74,Declarations!$B$6:$D$185,3,FALSE)),"",IF(VLOOKUP($F74,Declarations!$B$6:$D$185,3,FALSE)="","NOT DECLARED",VLOOKUP($F74,Declarations!$B$6:$D$185,3,FALSE)&amp;LEFT(VLOOKUP($F74,Declarations!$B$6:$E$185,4,FALSE))))</f>
        <v>U12B</v>
      </c>
      <c r="F74" s="58">
        <v>115</v>
      </c>
      <c r="G74" s="115">
        <v>1.5648148148148147E-3</v>
      </c>
      <c r="H74" s="281"/>
      <c r="I74" s="114" t="str">
        <f>IF(ISNA(VLOOKUP(F74,Declarations!B$6:C$185,2,FALSE)),"",IF(VLOOKUP(F74,Declarations!B$6:C$185,2,FALSE)="","NOT DECLARED",VLOOKUP(F74,Declarations!B$6:C$185,2,FALSE)))</f>
        <v>ELLIOTT LEAVEY</v>
      </c>
      <c r="J74" s="116">
        <f>IF(LOWER(G74)="dnf",1,IF(U74&lt;ScoringTable!C$3,ScoringTable!I$2,VLOOKUP((1000-U74),ScoringTable!H$2:I$95,2)))</f>
        <v>54</v>
      </c>
      <c r="K74" s="112" t="str">
        <f>IF(OR(E74="",G74=""),"",IF(RIGHT(E74,1)="G",_xlfn.XLOOKUP(G74,Data!$D$11:$L$11,Data!$D$9:$L$9,"",1,1),_xlfn.XLOOKUP(G74,Data!$D$4:$L$4,Data!$D$2:$L$2,"",1,1)))</f>
        <v>PB2</v>
      </c>
      <c r="L74" s="160" t="str" cm="1">
        <f t="array" ref="L74">IFERROR(_xlfn.IFNA(
                      _xlfn.IFS(
                      G74="", "",
                      G74=0, "",
                      AND(E74="U12B",G74&lt;=Data!$M$4), "U12 Boys record",
                      AND(E74="U12G",G74&lt;=Data!$M$11), "U12 Girls record"
                       ),""), "")</f>
        <v/>
      </c>
      <c r="M74" s="18" cm="1">
        <f t="array" ref="M74">_xlfn.IFS(OR($G74="",$G74=0),0, AND(NOT(ISNUMBER($G74)),LOWER($G74)&lt;&gt;"dnf"),"Not a valid time",OR(LOWER($G74)="dnf",$G74&gt;ScoringTable!$N$161),1,RIGHT($E74,1)="B",_xlfn.XLOOKUP($G74,ScoringTable!$N$2:$N$161,ScoringTable!$L$2:$L$161,,1),TRUE,_xlfn.XLOOKUP($G74,ScoringTable!$T$2:$T$161,ScoringTable!$R$2:$R$161,,1))</f>
        <v>34</v>
      </c>
      <c r="Q74" s="117">
        <f t="shared" si="5"/>
        <v>135.19999999999999</v>
      </c>
      <c r="R74" s="118">
        <f t="shared" si="6"/>
        <v>2.253333333333333</v>
      </c>
      <c r="S74" s="119">
        <f t="shared" si="7"/>
        <v>2</v>
      </c>
      <c r="T74" s="118">
        <f t="shared" si="8"/>
        <v>15.199999999999989</v>
      </c>
      <c r="U74" s="120">
        <f t="shared" si="9"/>
        <v>2.1519999999999997</v>
      </c>
    </row>
    <row r="75" spans="1:21" s="7" customFormat="1" ht="16.05" customHeight="1">
      <c r="A75" s="113" t="s">
        <v>95</v>
      </c>
      <c r="B75" s="114" t="str">
        <f>IF(ISNA(VLOOKUP($F75,Declarations!B$6:C$185,2,FALSE)),"",IF(VLOOKUP($F75,Declarations!B$6:C$185,2,FALSE)="","NOT DECLARED",IF(ISNA(_xlfn.TEXTBEFORE(VLOOKUP($F75,Declarations!B$6:C$185,2,FALSE)," ")),VLOOKUP($F75,Declarations!B$6:C$185,2,FALSE),_xlfn.TEXTBEFORE(VLOOKUP($F75,Declarations!B$6:C$185,2,FALSE)," "))))</f>
        <v>BERTIE</v>
      </c>
      <c r="C75" s="114" t="str">
        <f>IF(ISNA(VLOOKUP($F75,Declarations!B$6:C$185,2,FALSE)),"",IF(VLOOKUP($F75,Declarations!B$6:C$185,2,FALSE)="","NOT DECLARED",IF(ISNA(_xlfn.TEXTAFTER(VLOOKUP($F75,Declarations!B$6:C$185,2,FALSE)," ")),VLOOKUP($F75,Declarations!B$6:C$185,2,FALSE),_xlfn.TEXTAFTER(VLOOKUP($F75,Declarations!B$6:C$185,2,FALSE)," "))))</f>
        <v>LEIGH</v>
      </c>
      <c r="D75" s="114" t="str">
        <f>IF(ISNA(VLOOKUP($F75,Declarations!$B$6:$F$185,5,FALSE)),"",IF(VLOOKUP($F75,Declarations!$B$6:$F$185,5,FALSE)="","NOT DECLARED",VLOOKUP($F75,Declarations!$B$6:$F$185,5,FALSE)))</f>
        <v>Poole Runners</v>
      </c>
      <c r="E75" s="112" t="str">
        <f>IF(ISNA(VLOOKUP($F75,Declarations!$B$6:$D$185,3,FALSE)),"",IF(VLOOKUP($F75,Declarations!$B$6:$D$185,3,FALSE)="","NOT DECLARED",VLOOKUP($F75,Declarations!$B$6:$D$185,3,FALSE)&amp;LEFT(VLOOKUP($F75,Declarations!$B$6:$E$185,4,FALSE))))</f>
        <v>U12B</v>
      </c>
      <c r="F75" s="58">
        <v>55</v>
      </c>
      <c r="G75" s="115">
        <v>1.5729166666666667E-3</v>
      </c>
      <c r="H75" s="281"/>
      <c r="I75" s="114" t="str">
        <f>IF(ISNA(VLOOKUP(F75,Declarations!B$6:C$185,2,FALSE)),"",IF(VLOOKUP(F75,Declarations!B$6:C$185,2,FALSE)="","NOT DECLARED",VLOOKUP(F75,Declarations!B$6:C$185,2,FALSE)))</f>
        <v>BERTIE LEIGH</v>
      </c>
      <c r="J75" s="116">
        <f>IF(LOWER(G75)="dnf",1,IF(U75&lt;ScoringTable!C$3,ScoringTable!I$2,VLOOKUP((1000-U75),ScoringTable!H$2:I$95,2)))</f>
        <v>54</v>
      </c>
      <c r="K75" s="112" t="str">
        <f>IF(OR(E75="",G75=""),"",IF(RIGHT(E75,1)="G",_xlfn.XLOOKUP(G75,Data!$D$11:$L$11,Data!$D$9:$L$9,"",1,1),_xlfn.XLOOKUP(G75,Data!$D$4:$L$4,Data!$D$2:$L$2,"",1,1)))</f>
        <v>PB2</v>
      </c>
      <c r="L75" s="160" t="str" cm="1">
        <f t="array" ref="L75">IFERROR(_xlfn.IFNA(
                      _xlfn.IFS(
                      G75="", "",
                      G75=0, "",
                      AND(E75="U12B",G75&lt;=Data!$M$4), "U12 Boys record",
                      AND(E75="U12G",G75&lt;=Data!$M$11), "U12 Girls record"
                       ),""), "")</f>
        <v/>
      </c>
      <c r="M75" s="18" cm="1">
        <f t="array" ref="M75">_xlfn.IFS(OR($G75="",$G75=0),0, AND(NOT(ISNUMBER($G75)),LOWER($G75)&lt;&gt;"dnf"),"Not a valid time",OR(LOWER($G75)="dnf",$G75&gt;ScoringTable!$N$161),1,RIGHT($E75,1)="B",_xlfn.XLOOKUP($G75,ScoringTable!$N$2:$N$161,ScoringTable!$L$2:$L$161,,1),TRUE,_xlfn.XLOOKUP($G75,ScoringTable!$T$2:$T$161,ScoringTable!$R$2:$R$161,,1))</f>
        <v>34</v>
      </c>
      <c r="Q75" s="117">
        <f t="shared" si="5"/>
        <v>135.9</v>
      </c>
      <c r="R75" s="118">
        <f t="shared" si="6"/>
        <v>2.2650000000000001</v>
      </c>
      <c r="S75" s="119">
        <f t="shared" si="7"/>
        <v>2</v>
      </c>
      <c r="T75" s="118">
        <f t="shared" si="8"/>
        <v>15.900000000000006</v>
      </c>
      <c r="U75" s="120">
        <f t="shared" si="9"/>
        <v>2.1590000000000003</v>
      </c>
    </row>
    <row r="76" spans="1:21" s="7" customFormat="1" ht="16.05" customHeight="1">
      <c r="A76" s="113" t="s">
        <v>95</v>
      </c>
      <c r="B76" s="114" t="str">
        <f>IF(ISNA(VLOOKUP($F76,Declarations!B$6:C$185,2,FALSE)),"",IF(VLOOKUP($F76,Declarations!B$6:C$185,2,FALSE)="","NOT DECLARED",IF(ISNA(_xlfn.TEXTBEFORE(VLOOKUP($F76,Declarations!B$6:C$185,2,FALSE)," ")),VLOOKUP($F76,Declarations!B$6:C$185,2,FALSE),_xlfn.TEXTBEFORE(VLOOKUP($F76,Declarations!B$6:C$185,2,FALSE)," "))))</f>
        <v>THOMAS</v>
      </c>
      <c r="C76" s="114" t="str">
        <f>IF(ISNA(VLOOKUP($F76,Declarations!B$6:C$185,2,FALSE)),"",IF(VLOOKUP($F76,Declarations!B$6:C$185,2,FALSE)="","NOT DECLARED",IF(ISNA(_xlfn.TEXTAFTER(VLOOKUP($F76,Declarations!B$6:C$185,2,FALSE)," ")),VLOOKUP($F76,Declarations!B$6:C$185,2,FALSE),_xlfn.TEXTAFTER(VLOOKUP($F76,Declarations!B$6:C$185,2,FALSE)," "))))</f>
        <v>MOORE</v>
      </c>
      <c r="D76" s="114" t="str">
        <f>IF(ISNA(VLOOKUP($F76,Declarations!$B$6:$F$185,5,FALSE)),"",IF(VLOOKUP($F76,Declarations!$B$6:$F$185,5,FALSE)="","NOT DECLARED",VLOOKUP($F76,Declarations!$B$6:$F$185,5,FALSE)))</f>
        <v>Fleet &amp; Crookham AC</v>
      </c>
      <c r="E76" s="112" t="str">
        <f>IF(ISNA(VLOOKUP($F76,Declarations!$B$6:$D$185,3,FALSE)),"",IF(VLOOKUP($F76,Declarations!$B$6:$D$185,3,FALSE)="","NOT DECLARED",VLOOKUP($F76,Declarations!$B$6:$D$185,3,FALSE)&amp;LEFT(VLOOKUP($F76,Declarations!$B$6:$E$185,4,FALSE))))</f>
        <v>U12B</v>
      </c>
      <c r="F76" s="58">
        <v>74</v>
      </c>
      <c r="G76" s="115">
        <v>1.6666666666666668E-3</v>
      </c>
      <c r="H76" s="281"/>
      <c r="I76" s="114" t="str">
        <f>IF(ISNA(VLOOKUP(F76,Declarations!B$6:C$185,2,FALSE)),"",IF(VLOOKUP(F76,Declarations!B$6:C$185,2,FALSE)="","NOT DECLARED",VLOOKUP(F76,Declarations!B$6:C$185,2,FALSE)))</f>
        <v>THOMAS MOORE</v>
      </c>
      <c r="J76" s="116">
        <f>IF(LOWER(G76)="dnf",1,IF(U76&lt;ScoringTable!C$3,ScoringTable!I$2,VLOOKUP((1000-U76),ScoringTable!H$2:I$95,2)))</f>
        <v>46</v>
      </c>
      <c r="K76" s="112" t="str">
        <f>IF(OR(E76="",G76=""),"",IF(RIGHT(E76,1)="G",_xlfn.XLOOKUP(G76,Data!$D$11:$L$11,Data!$D$9:$L$9,"",1,1),_xlfn.XLOOKUP(G76,Data!$D$4:$L$4,Data!$D$2:$L$2,"",1,1)))</f>
        <v>PB1</v>
      </c>
      <c r="L76" s="160" t="str" cm="1">
        <f t="array" ref="L76">IFERROR(_xlfn.IFNA(
                      _xlfn.IFS(
                      G76="", "",
                      G76=0, "",
                      AND(E76="U12B",G76&lt;=Data!$M$4), "U12 Boys record",
                      AND(E76="U12G",G76&lt;=Data!$M$11), "U12 Girls record"
                       ),""), "")</f>
        <v/>
      </c>
      <c r="M76" s="18" cm="1">
        <f t="array" ref="M76">_xlfn.IFS(OR($G76="",$G76=0),0, AND(NOT(ISNUMBER($G76)),LOWER($G76)&lt;&gt;"dnf"),"Not a valid time",OR(LOWER($G76)="dnf",$G76&gt;ScoringTable!$N$161),1,RIGHT($E76,1)="B",_xlfn.XLOOKUP($G76,ScoringTable!$N$2:$N$161,ScoringTable!$L$2:$L$161,,1),TRUE,_xlfn.XLOOKUP($G76,ScoringTable!$T$2:$T$161,ScoringTable!$R$2:$R$161,,1))</f>
        <v>26</v>
      </c>
      <c r="Q76" s="117">
        <f t="shared" si="5"/>
        <v>144</v>
      </c>
      <c r="R76" s="118">
        <f t="shared" si="6"/>
        <v>2.4</v>
      </c>
      <c r="S76" s="119">
        <f t="shared" si="7"/>
        <v>2</v>
      </c>
      <c r="T76" s="118">
        <f t="shared" si="8"/>
        <v>24</v>
      </c>
      <c r="U76" s="120">
        <f t="shared" si="9"/>
        <v>2.2400000000000002</v>
      </c>
    </row>
    <row r="77" spans="1:21" s="7" customFormat="1" ht="16.05" customHeight="1">
      <c r="A77" s="113" t="s">
        <v>95</v>
      </c>
      <c r="B77" s="114" t="str">
        <f>IF(ISNA(VLOOKUP($F77,Declarations!B$6:C$185,2,FALSE)),"",IF(VLOOKUP($F77,Declarations!B$6:C$185,2,FALSE)="","NOT DECLARED",IF(ISNA(_xlfn.TEXTBEFORE(VLOOKUP($F77,Declarations!B$6:C$185,2,FALSE)," ")),VLOOKUP($F77,Declarations!B$6:C$185,2,FALSE),_xlfn.TEXTBEFORE(VLOOKUP($F77,Declarations!B$6:C$185,2,FALSE)," "))))</f>
        <v>FREDDIE</v>
      </c>
      <c r="C77" s="114" t="str">
        <f>IF(ISNA(VLOOKUP($F77,Declarations!B$6:C$185,2,FALSE)),"",IF(VLOOKUP($F77,Declarations!B$6:C$185,2,FALSE)="","NOT DECLARED",IF(ISNA(_xlfn.TEXTAFTER(VLOOKUP($F77,Declarations!B$6:C$185,2,FALSE)," ")),VLOOKUP($F77,Declarations!B$6:C$185,2,FALSE),_xlfn.TEXTAFTER(VLOOKUP($F77,Declarations!B$6:C$185,2,FALSE)," "))))</f>
        <v>SMITH</v>
      </c>
      <c r="D77" s="114" t="str">
        <f>IF(ISNA(VLOOKUP($F77,Declarations!$B$6:$F$185,5,FALSE)),"",IF(VLOOKUP($F77,Declarations!$B$6:$F$185,5,FALSE)="","NOT DECLARED",VLOOKUP($F77,Declarations!$B$6:$F$185,5,FALSE)))</f>
        <v>Woking AC</v>
      </c>
      <c r="E77" s="112" t="str">
        <f>IF(ISNA(VLOOKUP($F77,Declarations!$B$6:$D$185,3,FALSE)),"",IF(VLOOKUP($F77,Declarations!$B$6:$D$185,3,FALSE)="","NOT DECLARED",VLOOKUP($F77,Declarations!$B$6:$D$185,3,FALSE)&amp;LEFT(VLOOKUP($F77,Declarations!$B$6:$E$185,4,FALSE))))</f>
        <v>U12B</v>
      </c>
      <c r="F77" s="58">
        <v>39</v>
      </c>
      <c r="G77" s="115">
        <v>1.7083333333333332E-3</v>
      </c>
      <c r="H77" s="281"/>
      <c r="I77" s="114" t="str">
        <f>IF(ISNA(VLOOKUP(F77,Declarations!B$6:C$185,2,FALSE)),"",IF(VLOOKUP(F77,Declarations!B$6:C$185,2,FALSE)="","NOT DECLARED",VLOOKUP(F77,Declarations!B$6:C$185,2,FALSE)))</f>
        <v>FREDDIE SMITH</v>
      </c>
      <c r="J77" s="116">
        <f>IF(LOWER(G77)="dnf",1,IF(U77&lt;ScoringTable!C$3,ScoringTable!I$2,VLOOKUP((1000-U77),ScoringTable!H$2:I$95,2)))</f>
        <v>42</v>
      </c>
      <c r="K77" s="112" t="str">
        <f>IF(OR(E77="",G77=""),"",IF(RIGHT(E77,1)="G",_xlfn.XLOOKUP(G77,Data!$D$11:$L$11,Data!$D$9:$L$9,"",1,1),_xlfn.XLOOKUP(G77,Data!$D$4:$L$4,Data!$D$2:$L$2,"",1,1)))</f>
        <v>PB1</v>
      </c>
      <c r="L77" s="160" t="str" cm="1">
        <f t="array" ref="L77">IFERROR(_xlfn.IFNA(
                      _xlfn.IFS(
                      G77="", "",
                      G77=0, "",
                      AND(E77="U12B",G77&lt;=Data!$M$4), "U12 Boys record",
                      AND(E77="U12G",G77&lt;=Data!$M$11), "U12 Girls record"
                       ),""), "")</f>
        <v/>
      </c>
      <c r="M77" s="18" cm="1">
        <f t="array" ref="M77">_xlfn.IFS(OR($G77="",$G77=0),0, AND(NOT(ISNUMBER($G77)),LOWER($G77)&lt;&gt;"dnf"),"Not a valid time",OR(LOWER($G77)="dnf",$G77&gt;ScoringTable!$N$161),1,RIGHT($E77,1)="B",_xlfn.XLOOKUP($G77,ScoringTable!$N$2:$N$161,ScoringTable!$L$2:$L$161,,1),TRUE,_xlfn.XLOOKUP($G77,ScoringTable!$T$2:$T$161,ScoringTable!$R$2:$R$161,,1))</f>
        <v>22</v>
      </c>
      <c r="Q77" s="117">
        <f t="shared" si="5"/>
        <v>147.6</v>
      </c>
      <c r="R77" s="118">
        <f t="shared" si="6"/>
        <v>2.46</v>
      </c>
      <c r="S77" s="119">
        <f t="shared" si="7"/>
        <v>2</v>
      </c>
      <c r="T77" s="118">
        <f t="shared" si="8"/>
        <v>27.599999999999994</v>
      </c>
      <c r="U77" s="120">
        <f t="shared" si="9"/>
        <v>2.2759999999999998</v>
      </c>
    </row>
    <row r="78" spans="1:21" s="7" customFormat="1" ht="16.05" customHeight="1">
      <c r="A78" s="113" t="s">
        <v>95</v>
      </c>
      <c r="B78" s="114" t="str">
        <f>IF(ISNA(VLOOKUP($F78,Declarations!B$6:C$185,2,FALSE)),"",IF(VLOOKUP($F78,Declarations!B$6:C$185,2,FALSE)="","NOT DECLARED",IF(ISNA(_xlfn.TEXTBEFORE(VLOOKUP($F78,Declarations!B$6:C$185,2,FALSE)," ")),VLOOKUP($F78,Declarations!B$6:C$185,2,FALSE),_xlfn.TEXTBEFORE(VLOOKUP($F78,Declarations!B$6:C$185,2,FALSE)," "))))</f>
        <v>TOBI</v>
      </c>
      <c r="C78" s="114" t="str">
        <f>IF(ISNA(VLOOKUP($F78,Declarations!B$6:C$185,2,FALSE)),"",IF(VLOOKUP($F78,Declarations!B$6:C$185,2,FALSE)="","NOT DECLARED",IF(ISNA(_xlfn.TEXTAFTER(VLOOKUP($F78,Declarations!B$6:C$185,2,FALSE)," ")),VLOOKUP($F78,Declarations!B$6:C$185,2,FALSE),_xlfn.TEXTAFTER(VLOOKUP($F78,Declarations!B$6:C$185,2,FALSE)," "))))</f>
        <v>AKINLUYI</v>
      </c>
      <c r="D78" s="114" t="str">
        <f>IF(ISNA(VLOOKUP($F78,Declarations!$B$6:$F$185,5,FALSE)),"",IF(VLOOKUP($F78,Declarations!$B$6:$F$185,5,FALSE)="","NOT DECLARED",VLOOKUP($F78,Declarations!$B$6:$F$185,5,FALSE)))</f>
        <v>Camberley &amp; District AC</v>
      </c>
      <c r="E78" s="112" t="str">
        <f>IF(ISNA(VLOOKUP($F78,Declarations!$B$6:$D$185,3,FALSE)),"",IF(VLOOKUP($F78,Declarations!$B$6:$D$185,3,FALSE)="","NOT DECLARED",VLOOKUP($F78,Declarations!$B$6:$D$185,3,FALSE)&amp;LEFT(VLOOKUP($F78,Declarations!$B$6:$E$185,4,FALSE))))</f>
        <v>U12B</v>
      </c>
      <c r="F78" s="58">
        <v>15</v>
      </c>
      <c r="G78" s="115">
        <v>1.7604166666666666E-3</v>
      </c>
      <c r="H78" s="281"/>
      <c r="I78" s="114" t="str">
        <f>IF(ISNA(VLOOKUP(F78,Declarations!B$6:C$185,2,FALSE)),"",IF(VLOOKUP(F78,Declarations!B$6:C$185,2,FALSE)="","NOT DECLARED",VLOOKUP(F78,Declarations!B$6:C$185,2,FALSE)))</f>
        <v>TOBI AKINLUYI</v>
      </c>
      <c r="J78" s="116">
        <f>IF(LOWER(G78)="dnf",1,IF(U78&lt;ScoringTable!C$3,ScoringTable!I$2,VLOOKUP((1000-U78),ScoringTable!H$2:I$95,2)))</f>
        <v>37</v>
      </c>
      <c r="K78" s="112" t="str">
        <f>IF(OR(E78="",G78=""),"",IF(RIGHT(E78,1)="G",_xlfn.XLOOKUP(G78,Data!$D$11:$L$11,Data!$D$9:$L$9,"",1,1),_xlfn.XLOOKUP(G78,Data!$D$4:$L$4,Data!$D$2:$L$2,"",1,1)))</f>
        <v/>
      </c>
      <c r="L78" s="160" t="str" cm="1">
        <f t="array" ref="L78">IFERROR(_xlfn.IFNA(
                      _xlfn.IFS(
                      G78="", "",
                      G78=0, "",
                      AND(E78="U12B",G78&lt;=Data!$M$4), "U12 Boys record",
                      AND(E78="U12G",G78&lt;=Data!$M$11), "U12 Girls record"
                       ),""), "")</f>
        <v/>
      </c>
      <c r="M78" s="18" cm="1">
        <f t="array" ref="M78">_xlfn.IFS(OR($G78="",$G78=0),0, AND(NOT(ISNUMBER($G78)),LOWER($G78)&lt;&gt;"dnf"),"Not a valid time",OR(LOWER($G78)="dnf",$G78&gt;ScoringTable!$N$161),1,RIGHT($E78,1)="B",_xlfn.XLOOKUP($G78,ScoringTable!$N$2:$N$161,ScoringTable!$L$2:$L$161,,1),TRUE,_xlfn.XLOOKUP($G78,ScoringTable!$T$2:$T$161,ScoringTable!$R$2:$R$161,,1))</f>
        <v>19</v>
      </c>
      <c r="Q78" s="117">
        <f t="shared" si="5"/>
        <v>152.1</v>
      </c>
      <c r="R78" s="118">
        <f t="shared" si="6"/>
        <v>2.5349999999999997</v>
      </c>
      <c r="S78" s="119">
        <f t="shared" si="7"/>
        <v>2</v>
      </c>
      <c r="T78" s="118">
        <f t="shared" si="8"/>
        <v>32.099999999999994</v>
      </c>
      <c r="U78" s="120">
        <f t="shared" si="9"/>
        <v>2.3209999999999997</v>
      </c>
    </row>
    <row r="79" spans="1:21" s="7" customFormat="1" ht="16.05" customHeight="1">
      <c r="A79" s="113" t="s">
        <v>95</v>
      </c>
      <c r="B79" s="114" t="str">
        <f>IF(ISNA(VLOOKUP($F79,Declarations!B$6:C$185,2,FALSE)),"",IF(VLOOKUP($F79,Declarations!B$6:C$185,2,FALSE)="","NOT DECLARED",IF(ISNA(_xlfn.TEXTBEFORE(VLOOKUP($F79,Declarations!B$6:C$185,2,FALSE)," ")),VLOOKUP($F79,Declarations!B$6:C$185,2,FALSE),_xlfn.TEXTBEFORE(VLOOKUP($F79,Declarations!B$6:C$185,2,FALSE)," "))))</f>
        <v>CADEN</v>
      </c>
      <c r="C79" s="114" t="str">
        <f>IF(ISNA(VLOOKUP($F79,Declarations!B$6:C$185,2,FALSE)),"",IF(VLOOKUP($F79,Declarations!B$6:C$185,2,FALSE)="","NOT DECLARED",IF(ISNA(_xlfn.TEXTAFTER(VLOOKUP($F79,Declarations!B$6:C$185,2,FALSE)," ")),VLOOKUP($F79,Declarations!B$6:C$185,2,FALSE),_xlfn.TEXTAFTER(VLOOKUP($F79,Declarations!B$6:C$185,2,FALSE)," "))))</f>
        <v>LUCAS</v>
      </c>
      <c r="D79" s="114" t="str">
        <f>IF(ISNA(VLOOKUP($F79,Declarations!$B$6:$F$185,5,FALSE)),"",IF(VLOOKUP($F79,Declarations!$B$6:$F$185,5,FALSE)="","NOT DECLARED",VLOOKUP($F79,Declarations!$B$6:$F$185,5,FALSE)))</f>
        <v>Camberley &amp; District AC</v>
      </c>
      <c r="E79" s="112" t="str">
        <f>IF(ISNA(VLOOKUP($F79,Declarations!$B$6:$D$185,3,FALSE)),"",IF(VLOOKUP($F79,Declarations!$B$6:$D$185,3,FALSE)="","NOT DECLARED",VLOOKUP($F79,Declarations!$B$6:$D$185,3,FALSE)&amp;LEFT(VLOOKUP($F79,Declarations!$B$6:$E$185,4,FALSE))))</f>
        <v>U12B</v>
      </c>
      <c r="F79" s="58">
        <v>18</v>
      </c>
      <c r="G79" s="115">
        <v>1.8692129629629629E-3</v>
      </c>
      <c r="H79" s="281"/>
      <c r="I79" s="114" t="str">
        <f>IF(ISNA(VLOOKUP(F79,Declarations!B$6:C$185,2,FALSE)),"",IF(VLOOKUP(F79,Declarations!B$6:C$185,2,FALSE)="","NOT DECLARED",VLOOKUP(F79,Declarations!B$6:C$185,2,FALSE)))</f>
        <v>CADEN LUCAS</v>
      </c>
      <c r="J79" s="116">
        <f>IF(LOWER(G79)="dnf",1,IF(U79&lt;ScoringTable!C$3,ScoringTable!I$2,VLOOKUP((1000-U79),ScoringTable!H$2:I$95,2)))</f>
        <v>28</v>
      </c>
      <c r="K79" s="112" t="str">
        <f>IF(OR(E79="",G79=""),"",IF(RIGHT(E79,1)="G",_xlfn.XLOOKUP(G79,Data!$D$11:$L$11,Data!$D$9:$L$9,"",1,1),_xlfn.XLOOKUP(G79,Data!$D$4:$L$4,Data!$D$2:$L$2,"",1,1)))</f>
        <v/>
      </c>
      <c r="L79" s="160" t="str" cm="1">
        <f t="array" ref="L79">IFERROR(_xlfn.IFNA(
                      _xlfn.IFS(
                      G79="", "",
                      G79=0, "",
                      AND(E79="U12B",G79&lt;=Data!$M$4), "U12 Boys record",
                      AND(E79="U12G",G79&lt;=Data!$M$11), "U12 Girls record"
                       ),""), "")</f>
        <v/>
      </c>
      <c r="M79" s="18" cm="1">
        <f t="array" ref="M79">_xlfn.IFS(OR($G79="",$G79=0),0, AND(NOT(ISNUMBER($G79)),LOWER($G79)&lt;&gt;"dnf"),"Not a valid time",OR(LOWER($G79)="dnf",$G79&gt;ScoringTable!$N$161),1,RIGHT($E79,1)="B",_xlfn.XLOOKUP($G79,ScoringTable!$N$2:$N$161,ScoringTable!$L$2:$L$161,,1),TRUE,_xlfn.XLOOKUP($G79,ScoringTable!$T$2:$T$161,ScoringTable!$R$2:$R$161,,1))</f>
        <v>16</v>
      </c>
      <c r="Q79" s="117">
        <f t="shared" si="5"/>
        <v>161.5</v>
      </c>
      <c r="R79" s="118">
        <f t="shared" si="6"/>
        <v>2.6916666666666669</v>
      </c>
      <c r="S79" s="119">
        <f t="shared" si="7"/>
        <v>2</v>
      </c>
      <c r="T79" s="118">
        <f t="shared" si="8"/>
        <v>41.5</v>
      </c>
      <c r="U79" s="120">
        <f t="shared" si="9"/>
        <v>2.415</v>
      </c>
    </row>
    <row r="80" spans="1:21" s="7" customFormat="1" ht="16.05" customHeight="1">
      <c r="A80" s="113" t="s">
        <v>95</v>
      </c>
      <c r="B80" s="114" t="str">
        <f>IF(ISNA(VLOOKUP($F80,Declarations!B$6:C$185,2,FALSE)),"",IF(VLOOKUP($F80,Declarations!B$6:C$185,2,FALSE)="","NOT DECLARED",IF(ISNA(_xlfn.TEXTBEFORE(VLOOKUP($F80,Declarations!B$6:C$185,2,FALSE)," ")),VLOOKUP($F80,Declarations!B$6:C$185,2,FALSE),_xlfn.TEXTBEFORE(VLOOKUP($F80,Declarations!B$6:C$185,2,FALSE)," "))))</f>
        <v>MARLOWE</v>
      </c>
      <c r="C80" s="114" t="str">
        <f>IF(ISNA(VLOOKUP($F80,Declarations!B$6:C$185,2,FALSE)),"",IF(VLOOKUP($F80,Declarations!B$6:C$185,2,FALSE)="","NOT DECLARED",IF(ISNA(_xlfn.TEXTAFTER(VLOOKUP($F80,Declarations!B$6:C$185,2,FALSE)," ")),VLOOKUP($F80,Declarations!B$6:C$185,2,FALSE),_xlfn.TEXTAFTER(VLOOKUP($F80,Declarations!B$6:C$185,2,FALSE)," "))))</f>
        <v>PEACH</v>
      </c>
      <c r="D80" s="114" t="str">
        <f>IF(ISNA(VLOOKUP($F80,Declarations!$B$6:$F$185,5,FALSE)),"",IF(VLOOKUP($F80,Declarations!$B$6:$F$185,5,FALSE)="","NOT DECLARED",VLOOKUP($F80,Declarations!$B$6:$F$185,5,FALSE)))</f>
        <v>Poole Runners</v>
      </c>
      <c r="E80" s="112" t="str">
        <f>IF(ISNA(VLOOKUP($F80,Declarations!$B$6:$D$185,3,FALSE)),"",IF(VLOOKUP($F80,Declarations!$B$6:$D$185,3,FALSE)="","NOT DECLARED",VLOOKUP($F80,Declarations!$B$6:$D$185,3,FALSE)&amp;LEFT(VLOOKUP($F80,Declarations!$B$6:$E$185,4,FALSE))))</f>
        <v>U12B</v>
      </c>
      <c r="F80" s="58">
        <v>52</v>
      </c>
      <c r="G80" s="115">
        <v>1.965277777777778E-3</v>
      </c>
      <c r="H80" s="281"/>
      <c r="I80" s="114" t="str">
        <f>IF(ISNA(VLOOKUP(F80,Declarations!B$6:C$185,2,FALSE)),"",IF(VLOOKUP(F80,Declarations!B$6:C$185,2,FALSE)="","NOT DECLARED",VLOOKUP(F80,Declarations!B$6:C$185,2,FALSE)))</f>
        <v>MARLOWE PEACH</v>
      </c>
      <c r="J80" s="116">
        <f>IF(LOWER(G80)="dnf",1,IF(U80&lt;ScoringTable!C$3,ScoringTable!I$2,VLOOKUP((1000-U80),ScoringTable!H$2:I$95,2)))</f>
        <v>20</v>
      </c>
      <c r="K80" s="112" t="str">
        <f>IF(OR(E80="",G80=""),"",IF(RIGHT(E80,1)="G",_xlfn.XLOOKUP(G80,Data!$D$11:$L$11,Data!$D$9:$L$9,"",1,1),_xlfn.XLOOKUP(G80,Data!$D$4:$L$4,Data!$D$2:$L$2,"",1,1)))</f>
        <v/>
      </c>
      <c r="L80" s="160" t="str" cm="1">
        <f t="array" ref="L80">IFERROR(_xlfn.IFNA(
                      _xlfn.IFS(
                      G80="", "",
                      G80=0, "",
                      AND(E80="U12B",G80&lt;=Data!$M$4), "U12 Boys record",
                      AND(E80="U12G",G80&lt;=Data!$M$11), "U12 Girls record"
                       ),""), "")</f>
        <v/>
      </c>
      <c r="M80" s="18" cm="1">
        <f t="array" ref="M80">_xlfn.IFS(OR($G80="",$G80=0),0, AND(NOT(ISNUMBER($G80)),LOWER($G80)&lt;&gt;"dnf"),"Not a valid time",OR(LOWER($G80)="dnf",$G80&gt;ScoringTable!$N$161),1,RIGHT($E80,1)="B",_xlfn.XLOOKUP($G80,ScoringTable!$N$2:$N$161,ScoringTable!$L$2:$L$161,,1),TRUE,_xlfn.XLOOKUP($G80,ScoringTable!$T$2:$T$161,ScoringTable!$R$2:$R$161,,1))</f>
        <v>13</v>
      </c>
      <c r="Q80" s="117">
        <f t="shared" si="5"/>
        <v>169.8</v>
      </c>
      <c r="R80" s="118">
        <f t="shared" si="6"/>
        <v>2.83</v>
      </c>
      <c r="S80" s="119">
        <f t="shared" si="7"/>
        <v>2</v>
      </c>
      <c r="T80" s="118">
        <f t="shared" si="8"/>
        <v>49.800000000000011</v>
      </c>
      <c r="U80" s="120">
        <f t="shared" si="9"/>
        <v>2.4980000000000002</v>
      </c>
    </row>
    <row r="81" spans="1:21" s="7" customFormat="1" ht="16.05" customHeight="1">
      <c r="A81" s="113" t="s">
        <v>95</v>
      </c>
      <c r="B81" s="114" t="str">
        <f>IF(ISNA(VLOOKUP($F81,Declarations!B$6:C$185,2,FALSE)),"",IF(VLOOKUP($F81,Declarations!B$6:C$185,2,FALSE)="","NOT DECLARED",IF(ISNA(_xlfn.TEXTBEFORE(VLOOKUP($F81,Declarations!B$6:C$185,2,FALSE)," ")),VLOOKUP($F81,Declarations!B$6:C$185,2,FALSE),_xlfn.TEXTBEFORE(VLOOKUP($F81,Declarations!B$6:C$185,2,FALSE)," "))))</f>
        <v>OLI</v>
      </c>
      <c r="C81" s="114" t="str">
        <f>IF(ISNA(VLOOKUP($F81,Declarations!B$6:C$185,2,FALSE)),"",IF(VLOOKUP($F81,Declarations!B$6:C$185,2,FALSE)="","NOT DECLARED",IF(ISNA(_xlfn.TEXTAFTER(VLOOKUP($F81,Declarations!B$6:C$185,2,FALSE)," ")),VLOOKUP($F81,Declarations!B$6:C$185,2,FALSE),_xlfn.TEXTAFTER(VLOOKUP($F81,Declarations!B$6:C$185,2,FALSE)," "))))</f>
        <v>THOMPSON</v>
      </c>
      <c r="D81" s="114" t="str">
        <f>IF(ISNA(VLOOKUP($F81,Declarations!$B$6:$F$185,5,FALSE)),"",IF(VLOOKUP($F81,Declarations!$B$6:$F$185,5,FALSE)="","NOT DECLARED",VLOOKUP($F81,Declarations!$B$6:$F$185,5,FALSE)))</f>
        <v>Woking AC</v>
      </c>
      <c r="E81" s="112" t="str">
        <f>IF(ISNA(VLOOKUP($F81,Declarations!$B$6:$D$185,3,FALSE)),"",IF(VLOOKUP($F81,Declarations!$B$6:$D$185,3,FALSE)="","NOT DECLARED",VLOOKUP($F81,Declarations!$B$6:$D$185,3,FALSE)&amp;LEFT(VLOOKUP($F81,Declarations!$B$6:$E$185,4,FALSE))))</f>
        <v>U12B</v>
      </c>
      <c r="F81" s="58">
        <v>31</v>
      </c>
      <c r="G81" s="115">
        <v>1.4074074074074073E-3</v>
      </c>
      <c r="H81" s="281"/>
      <c r="I81" s="114" t="str">
        <f>IF(ISNA(VLOOKUP(F81,Declarations!B$6:C$185,2,FALSE)),"",IF(VLOOKUP(F81,Declarations!B$6:C$185,2,FALSE)="","NOT DECLARED",VLOOKUP(F81,Declarations!B$6:C$185,2,FALSE)))</f>
        <v>OLI THOMPSON</v>
      </c>
      <c r="J81" s="116">
        <f>IF(LOWER(G81)="dnf",1,IF(U81&lt;ScoringTable!C$3,ScoringTable!I$2,VLOOKUP((1000-U81),ScoringTable!H$2:I$95,2)))</f>
        <v>68</v>
      </c>
      <c r="K81" s="112" t="str">
        <f>IF(OR(E81="",G81=""),"",IF(RIGHT(E81,1)="G",_xlfn.XLOOKUP(G81,Data!$D$11:$L$11,Data!$D$9:$L$9,"",1,1),_xlfn.XLOOKUP(G81,Data!$D$4:$L$4,Data!$D$2:$L$2,"",1,1)))</f>
        <v>PB4</v>
      </c>
      <c r="L81" s="160" t="str" cm="1">
        <f t="array" ref="L81">IFERROR(_xlfn.IFNA(
                      _xlfn.IFS(
                      G81="", "",
                      G81=0, "",
                      AND(E81="U12B",G81&lt;=Data!$M$4), "U12 Boys record",
                      AND(E81="U12G",G81&lt;=Data!$M$11), "U12 Girls record"
                       ),""), "")</f>
        <v/>
      </c>
      <c r="M81" s="18" cm="1">
        <f t="array" ref="M81">_xlfn.IFS(OR($G81="",$G81=0),0, AND(NOT(ISNUMBER($G81)),LOWER($G81)&lt;&gt;"dnf"),"Not a valid time",OR(LOWER($G81)="dnf",$G81&gt;ScoringTable!$N$161),1,RIGHT($E81,1)="B",_xlfn.XLOOKUP($G81,ScoringTable!$N$2:$N$161,ScoringTable!$L$2:$L$161,,1),TRUE,_xlfn.XLOOKUP($G81,ScoringTable!$T$2:$T$161,ScoringTable!$R$2:$R$161,,1))</f>
        <v>56</v>
      </c>
      <c r="Q81" s="117">
        <f t="shared" si="5"/>
        <v>121.6</v>
      </c>
      <c r="R81" s="118">
        <f t="shared" si="6"/>
        <v>2.0266666666666664</v>
      </c>
      <c r="S81" s="119">
        <f t="shared" si="7"/>
        <v>2</v>
      </c>
      <c r="T81" s="118">
        <f t="shared" si="8"/>
        <v>1.5999999999999943</v>
      </c>
      <c r="U81" s="120">
        <f t="shared" si="9"/>
        <v>2.016</v>
      </c>
    </row>
    <row r="82" spans="1:21" s="7" customFormat="1" ht="16.05" customHeight="1">
      <c r="A82" s="113" t="s">
        <v>95</v>
      </c>
      <c r="B82" s="114" t="str">
        <f>IF(ISNA(VLOOKUP($F82,Declarations!B$6:C$185,2,FALSE)),"",IF(VLOOKUP($F82,Declarations!B$6:C$185,2,FALSE)="","NOT DECLARED",IF(ISNA(_xlfn.TEXTBEFORE(VLOOKUP($F82,Declarations!B$6:C$185,2,FALSE)," ")),VLOOKUP($F82,Declarations!B$6:C$185,2,FALSE),_xlfn.TEXTBEFORE(VLOOKUP($F82,Declarations!B$6:C$185,2,FALSE)," "))))</f>
        <v>HARRY</v>
      </c>
      <c r="C82" s="114" t="str">
        <f>IF(ISNA(VLOOKUP($F82,Declarations!B$6:C$185,2,FALSE)),"",IF(VLOOKUP($F82,Declarations!B$6:C$185,2,FALSE)="","NOT DECLARED",IF(ISNA(_xlfn.TEXTAFTER(VLOOKUP($F82,Declarations!B$6:C$185,2,FALSE)," ")),VLOOKUP($F82,Declarations!B$6:C$185,2,FALSE),_xlfn.TEXTAFTER(VLOOKUP($F82,Declarations!B$6:C$185,2,FALSE)," "))))</f>
        <v>COLLINS</v>
      </c>
      <c r="D82" s="114" t="str">
        <f>IF(ISNA(VLOOKUP($F82,Declarations!$B$6:$F$185,5,FALSE)),"",IF(VLOOKUP($F82,Declarations!$B$6:$F$185,5,FALSE)="","NOT DECLARED",VLOOKUP($F82,Declarations!$B$6:$F$185,5,FALSE)))</f>
        <v>Camberley &amp; District AC</v>
      </c>
      <c r="E82" s="112" t="str">
        <f>IF(ISNA(VLOOKUP($F82,Declarations!$B$6:$D$185,3,FALSE)),"",IF(VLOOKUP($F82,Declarations!$B$6:$D$185,3,FALSE)="","NOT DECLARED",VLOOKUP($F82,Declarations!$B$6:$D$185,3,FALSE)&amp;LEFT(VLOOKUP($F82,Declarations!$B$6:$E$185,4,FALSE))))</f>
        <v>U12B</v>
      </c>
      <c r="F82" s="58">
        <v>13</v>
      </c>
      <c r="G82" s="115">
        <v>1.4212962962962964E-3</v>
      </c>
      <c r="H82" s="281"/>
      <c r="I82" s="114" t="str">
        <f>IF(ISNA(VLOOKUP(F82,Declarations!B$6:C$185,2,FALSE)),"",IF(VLOOKUP(F82,Declarations!B$6:C$185,2,FALSE)="","NOT DECLARED",VLOOKUP(F82,Declarations!B$6:C$185,2,FALSE)))</f>
        <v>HARRY COLLINS</v>
      </c>
      <c r="J82" s="116">
        <f>IF(LOWER(G82)="dnf",1,IF(U82&lt;ScoringTable!C$3,ScoringTable!I$2,VLOOKUP((1000-U82),ScoringTable!H$2:I$95,2)))</f>
        <v>67</v>
      </c>
      <c r="K82" s="112" t="str">
        <f>IF(OR(E82="",G82=""),"",IF(RIGHT(E82,1)="G",_xlfn.XLOOKUP(G82,Data!$D$11:$L$11,Data!$D$9:$L$9,"",1,1),_xlfn.XLOOKUP(G82,Data!$D$4:$L$4,Data!$D$2:$L$2,"",1,1)))</f>
        <v>PB4</v>
      </c>
      <c r="L82" s="160" t="str" cm="1">
        <f t="array" ref="L82">IFERROR(_xlfn.IFNA(
                      _xlfn.IFS(
                      G82="", "",
                      G82=0, "",
                      AND(E82="U12B",G82&lt;=Data!$M$4), "U12 Boys record",
                      AND(E82="U12G",G82&lt;=Data!$M$11), "U12 Girls record"
                       ),""), "")</f>
        <v/>
      </c>
      <c r="M82" s="18" cm="1">
        <f t="array" ref="M82">_xlfn.IFS(OR($G82="",$G82=0),0, AND(NOT(ISNUMBER($G82)),LOWER($G82)&lt;&gt;"dnf"),"Not a valid time",OR(LOWER($G82)="dnf",$G82&gt;ScoringTable!$N$161),1,RIGHT($E82,1)="B",_xlfn.XLOOKUP($G82,ScoringTable!$N$2:$N$161,ScoringTable!$L$2:$L$161,,1),TRUE,_xlfn.XLOOKUP($G82,ScoringTable!$T$2:$T$161,ScoringTable!$R$2:$R$161,,1))</f>
        <v>54</v>
      </c>
      <c r="Q82" s="117">
        <f t="shared" si="5"/>
        <v>122.80000000000001</v>
      </c>
      <c r="R82" s="118">
        <f t="shared" si="6"/>
        <v>2.0466666666666669</v>
      </c>
      <c r="S82" s="119">
        <f t="shared" si="7"/>
        <v>2</v>
      </c>
      <c r="T82" s="118">
        <f t="shared" si="8"/>
        <v>2.8000000000000114</v>
      </c>
      <c r="U82" s="120">
        <f t="shared" si="9"/>
        <v>2.028</v>
      </c>
    </row>
    <row r="83" spans="1:21" s="7" customFormat="1" ht="16.05" customHeight="1">
      <c r="A83" s="113" t="s">
        <v>95</v>
      </c>
      <c r="B83" s="114" t="str">
        <f>IF(ISNA(VLOOKUP($F83,Declarations!B$6:C$185,2,FALSE)),"",IF(VLOOKUP($F83,Declarations!B$6:C$185,2,FALSE)="","NOT DECLARED",IF(ISNA(_xlfn.TEXTBEFORE(VLOOKUP($F83,Declarations!B$6:C$185,2,FALSE)," ")),VLOOKUP($F83,Declarations!B$6:C$185,2,FALSE),_xlfn.TEXTBEFORE(VLOOKUP($F83,Declarations!B$6:C$185,2,FALSE)," "))))</f>
        <v>OSCAR</v>
      </c>
      <c r="C83" s="114" t="str">
        <f>IF(ISNA(VLOOKUP($F83,Declarations!B$6:C$185,2,FALSE)),"",IF(VLOOKUP($F83,Declarations!B$6:C$185,2,FALSE)="","NOT DECLARED",IF(ISNA(_xlfn.TEXTAFTER(VLOOKUP($F83,Declarations!B$6:C$185,2,FALSE)," ")),VLOOKUP($F83,Declarations!B$6:C$185,2,FALSE),_xlfn.TEXTAFTER(VLOOKUP($F83,Declarations!B$6:C$185,2,FALSE)," "))))</f>
        <v>CARTWRIGHT</v>
      </c>
      <c r="D83" s="114" t="str">
        <f>IF(ISNA(VLOOKUP($F83,Declarations!$B$6:$F$185,5,FALSE)),"",IF(VLOOKUP($F83,Declarations!$B$6:$F$185,5,FALSE)="","NOT DECLARED",VLOOKUP($F83,Declarations!$B$6:$F$185,5,FALSE)))</f>
        <v>Poole Runners</v>
      </c>
      <c r="E83" s="112" t="str">
        <f>IF(ISNA(VLOOKUP($F83,Declarations!$B$6:$D$185,3,FALSE)),"",IF(VLOOKUP($F83,Declarations!$B$6:$D$185,3,FALSE)="","NOT DECLARED",VLOOKUP($F83,Declarations!$B$6:$D$185,3,FALSE)&amp;LEFT(VLOOKUP($F83,Declarations!$B$6:$E$185,4,FALSE))))</f>
        <v>U12B</v>
      </c>
      <c r="F83" s="58">
        <v>51</v>
      </c>
      <c r="G83" s="115">
        <v>1.4386574074074074E-3</v>
      </c>
      <c r="H83" s="281"/>
      <c r="I83" s="114" t="str">
        <f>IF(ISNA(VLOOKUP(F83,Declarations!B$6:C$185,2,FALSE)),"",IF(VLOOKUP(F83,Declarations!B$6:C$185,2,FALSE)="","NOT DECLARED",VLOOKUP(F83,Declarations!B$6:C$185,2,FALSE)))</f>
        <v>OSCAR CARTWRIGHT</v>
      </c>
      <c r="J83" s="116">
        <f>IF(LOWER(G83)="dnf",1,IF(U83&lt;ScoringTable!C$3,ScoringTable!I$2,VLOOKUP((1000-U83),ScoringTable!H$2:I$95,2)))</f>
        <v>65</v>
      </c>
      <c r="K83" s="112" t="str">
        <f>IF(OR(E83="",G83=""),"",IF(RIGHT(E83,1)="G",_xlfn.XLOOKUP(G83,Data!$D$11:$L$11,Data!$D$9:$L$9,"",1,1),_xlfn.XLOOKUP(G83,Data!$D$4:$L$4,Data!$D$2:$L$2,"",1,1)))</f>
        <v>PB4</v>
      </c>
      <c r="L83" s="160" t="str" cm="1">
        <f t="array" ref="L83">IFERROR(_xlfn.IFNA(
                      _xlfn.IFS(
                      G83="", "",
                      G83=0, "",
                      AND(E83="U12B",G83&lt;=Data!$M$4), "U12 Boys record",
                      AND(E83="U12G",G83&lt;=Data!$M$11), "U12 Girls record"
                       ),""), "")</f>
        <v/>
      </c>
      <c r="M83" s="18" cm="1">
        <f t="array" ref="M83">_xlfn.IFS(OR($G83="",$G83=0),0, AND(NOT(ISNUMBER($G83)),LOWER($G83)&lt;&gt;"dnf"),"Not a valid time",OR(LOWER($G83)="dnf",$G83&gt;ScoringTable!$N$161),1,RIGHT($E83,1)="B",_xlfn.XLOOKUP($G83,ScoringTable!$N$2:$N$161,ScoringTable!$L$2:$L$161,,1),TRUE,_xlfn.XLOOKUP($G83,ScoringTable!$T$2:$T$161,ScoringTable!$R$2:$R$161,,1))</f>
        <v>51</v>
      </c>
      <c r="Q83" s="117">
        <f t="shared" si="5"/>
        <v>124.3</v>
      </c>
      <c r="R83" s="118">
        <f t="shared" si="6"/>
        <v>2.0716666666666668</v>
      </c>
      <c r="S83" s="119">
        <f t="shared" si="7"/>
        <v>2</v>
      </c>
      <c r="T83" s="118">
        <f t="shared" si="8"/>
        <v>4.2999999999999972</v>
      </c>
      <c r="U83" s="120">
        <f t="shared" si="9"/>
        <v>2.0430000000000001</v>
      </c>
    </row>
    <row r="84" spans="1:21" s="7" customFormat="1" ht="16.05" customHeight="1">
      <c r="A84" s="113" t="s">
        <v>95</v>
      </c>
      <c r="B84" s="114" t="str">
        <f>IF(ISNA(VLOOKUP($F84,Declarations!B$6:C$185,2,FALSE)),"",IF(VLOOKUP($F84,Declarations!B$6:C$185,2,FALSE)="","NOT DECLARED",IF(ISNA(_xlfn.TEXTBEFORE(VLOOKUP($F84,Declarations!B$6:C$185,2,FALSE)," ")),VLOOKUP($F84,Declarations!B$6:C$185,2,FALSE),_xlfn.TEXTBEFORE(VLOOKUP($F84,Declarations!B$6:C$185,2,FALSE)," "))))</f>
        <v>LEVI</v>
      </c>
      <c r="C84" s="114" t="str">
        <f>IF(ISNA(VLOOKUP($F84,Declarations!B$6:C$185,2,FALSE)),"",IF(VLOOKUP($F84,Declarations!B$6:C$185,2,FALSE)="","NOT DECLARED",IF(ISNA(_xlfn.TEXTAFTER(VLOOKUP($F84,Declarations!B$6:C$185,2,FALSE)," ")),VLOOKUP($F84,Declarations!B$6:C$185,2,FALSE),_xlfn.TEXTAFTER(VLOOKUP($F84,Declarations!B$6:C$185,2,FALSE)," "))))</f>
        <v>KIRWAN</v>
      </c>
      <c r="D84" s="114" t="str">
        <f>IF(ISNA(VLOOKUP($F84,Declarations!$B$6:$F$185,5,FALSE)),"",IF(VLOOKUP($F84,Declarations!$B$6:$F$185,5,FALSE)="","NOT DECLARED",VLOOKUP($F84,Declarations!$B$6:$F$185,5,FALSE)))</f>
        <v>Fleet &amp; Crookham AC</v>
      </c>
      <c r="E84" s="112" t="str">
        <f>IF(ISNA(VLOOKUP($F84,Declarations!$B$6:$D$185,3,FALSE)),"",IF(VLOOKUP($F84,Declarations!$B$6:$D$185,3,FALSE)="","NOT DECLARED",VLOOKUP($F84,Declarations!$B$6:$D$185,3,FALSE)&amp;LEFT(VLOOKUP($F84,Declarations!$B$6:$E$185,4,FALSE))))</f>
        <v>U12B</v>
      </c>
      <c r="F84" s="58">
        <v>72</v>
      </c>
      <c r="G84" s="115">
        <v>1.4525462962962964E-3</v>
      </c>
      <c r="H84" s="281"/>
      <c r="I84" s="114" t="str">
        <f>IF(ISNA(VLOOKUP(F84,Declarations!B$6:C$185,2,FALSE)),"",IF(VLOOKUP(F84,Declarations!B$6:C$185,2,FALSE)="","NOT DECLARED",VLOOKUP(F84,Declarations!B$6:C$185,2,FALSE)))</f>
        <v>LEVI KIRWAN</v>
      </c>
      <c r="J84" s="116">
        <f>IF(LOWER(G84)="dnf",1,IF(U84&lt;ScoringTable!C$3,ScoringTable!I$2,VLOOKUP((1000-U84),ScoringTable!H$2:I$95,2)))</f>
        <v>64</v>
      </c>
      <c r="K84" s="112" t="str">
        <f>IF(OR(E84="",G84=""),"",IF(RIGHT(E84,1)="G",_xlfn.XLOOKUP(G84,Data!$D$11:$L$11,Data!$D$9:$L$9,"",1,1),_xlfn.XLOOKUP(G84,Data!$D$4:$L$4,Data!$D$2:$L$2,"",1,1)))</f>
        <v>PB3</v>
      </c>
      <c r="L84" s="160" t="str" cm="1">
        <f t="array" ref="L84">IFERROR(_xlfn.IFNA(
                      _xlfn.IFS(
                      G84="", "",
                      G84=0, "",
                      AND(E84="U12B",G84&lt;=Data!$M$4), "U12 Boys record",
                      AND(E84="U12G",G84&lt;=Data!$M$11), "U12 Girls record"
                       ),""), "")</f>
        <v/>
      </c>
      <c r="M84" s="18" cm="1">
        <f t="array" ref="M84">_xlfn.IFS(OR($G84="",$G84=0),0, AND(NOT(ISNUMBER($G84)),LOWER($G84)&lt;&gt;"dnf"),"Not a valid time",OR(LOWER($G84)="dnf",$G84&gt;ScoringTable!$N$161),1,RIGHT($E84,1)="B",_xlfn.XLOOKUP($G84,ScoringTable!$N$2:$N$161,ScoringTable!$L$2:$L$161,,1),TRUE,_xlfn.XLOOKUP($G84,ScoringTable!$T$2:$T$161,ScoringTable!$R$2:$R$161,,1))</f>
        <v>49</v>
      </c>
      <c r="Q84" s="117">
        <f t="shared" si="5"/>
        <v>125.50000000000001</v>
      </c>
      <c r="R84" s="118">
        <f t="shared" si="6"/>
        <v>2.0916666666666668</v>
      </c>
      <c r="S84" s="119">
        <f t="shared" si="7"/>
        <v>2</v>
      </c>
      <c r="T84" s="118">
        <f t="shared" si="8"/>
        <v>5.5000000000000142</v>
      </c>
      <c r="U84" s="120">
        <f t="shared" si="9"/>
        <v>2.0550000000000002</v>
      </c>
    </row>
    <row r="85" spans="1:21" s="7" customFormat="1" ht="16.05" customHeight="1">
      <c r="A85" s="113" t="s">
        <v>95</v>
      </c>
      <c r="B85" s="114" t="str">
        <f>IF(ISNA(VLOOKUP($F85,Declarations!B$6:C$185,2,FALSE)),"",IF(VLOOKUP($F85,Declarations!B$6:C$185,2,FALSE)="","NOT DECLARED",IF(ISNA(_xlfn.TEXTBEFORE(VLOOKUP($F85,Declarations!B$6:C$185,2,FALSE)," ")),VLOOKUP($F85,Declarations!B$6:C$185,2,FALSE),_xlfn.TEXTBEFORE(VLOOKUP($F85,Declarations!B$6:C$185,2,FALSE)," "))))</f>
        <v>RAFI</v>
      </c>
      <c r="C85" s="114" t="str">
        <f>IF(ISNA(VLOOKUP($F85,Declarations!B$6:C$185,2,FALSE)),"",IF(VLOOKUP($F85,Declarations!B$6:C$185,2,FALSE)="","NOT DECLARED",IF(ISNA(_xlfn.TEXTAFTER(VLOOKUP($F85,Declarations!B$6:C$185,2,FALSE)," ")),VLOOKUP($F85,Declarations!B$6:C$185,2,FALSE),_xlfn.TEXTAFTER(VLOOKUP($F85,Declarations!B$6:C$185,2,FALSE)," "))))</f>
        <v>PAYNE</v>
      </c>
      <c r="D85" s="114" t="str">
        <f>IF(ISNA(VLOOKUP($F85,Declarations!$B$6:$F$185,5,FALSE)),"",IF(VLOOKUP($F85,Declarations!$B$6:$F$185,5,FALSE)="","NOT DECLARED",VLOOKUP($F85,Declarations!$B$6:$F$185,5,FALSE)))</f>
        <v>Camberley &amp; District AC</v>
      </c>
      <c r="E85" s="112" t="str">
        <f>IF(ISNA(VLOOKUP($F85,Declarations!$B$6:$D$185,3,FALSE)),"",IF(VLOOKUP($F85,Declarations!$B$6:$D$185,3,FALSE)="","NOT DECLARED",VLOOKUP($F85,Declarations!$B$6:$D$185,3,FALSE)&amp;LEFT(VLOOKUP($F85,Declarations!$B$6:$E$185,4,FALSE))))</f>
        <v>U12B</v>
      </c>
      <c r="F85" s="58">
        <v>16</v>
      </c>
      <c r="G85" s="115">
        <v>1.4583333333333334E-3</v>
      </c>
      <c r="H85" s="281"/>
      <c r="I85" s="114" t="str">
        <f>IF(ISNA(VLOOKUP(F85,Declarations!B$6:C$185,2,FALSE)),"",IF(VLOOKUP(F85,Declarations!B$6:C$185,2,FALSE)="","NOT DECLARED",VLOOKUP(F85,Declarations!B$6:C$185,2,FALSE)))</f>
        <v>RAFI PAYNE</v>
      </c>
      <c r="J85" s="116">
        <f>IF(LOWER(G85)="dnf",1,IF(U85&lt;ScoringTable!C$3,ScoringTable!I$2,VLOOKUP((1000-U85),ScoringTable!H$2:I$95,2)))</f>
        <v>64</v>
      </c>
      <c r="K85" s="112" t="str">
        <f>IF(OR(E85="",G85=""),"",IF(RIGHT(E85,1)="G",_xlfn.XLOOKUP(G85,Data!$D$11:$L$11,Data!$D$9:$L$9,"",1,1),_xlfn.XLOOKUP(G85,Data!$D$4:$L$4,Data!$D$2:$L$2,"",1,1)))</f>
        <v>PB3</v>
      </c>
      <c r="L85" s="160" t="str" cm="1">
        <f t="array" ref="L85">IFERROR(_xlfn.IFNA(
                      _xlfn.IFS(
                      G85="", "",
                      G85=0, "",
                      AND(E85="U12B",G85&lt;=Data!$M$4), "U12 Boys record",
                      AND(E85="U12G",G85&lt;=Data!$M$11), "U12 Girls record"
                       ),""), "")</f>
        <v/>
      </c>
      <c r="M85" s="18" cm="1">
        <f t="array" ref="M85">_xlfn.IFS(OR($G85="",$G85=0),0, AND(NOT(ISNUMBER($G85)),LOWER($G85)&lt;&gt;"dnf"),"Not a valid time",OR(LOWER($G85)="dnf",$G85&gt;ScoringTable!$N$161),1,RIGHT($E85,1)="B",_xlfn.XLOOKUP($G85,ScoringTable!$N$2:$N$161,ScoringTable!$L$2:$L$161,,1),TRUE,_xlfn.XLOOKUP($G85,ScoringTable!$T$2:$T$161,ScoringTable!$R$2:$R$161,,1))</f>
        <v>48</v>
      </c>
      <c r="Q85" s="117">
        <f t="shared" si="5"/>
        <v>126</v>
      </c>
      <c r="R85" s="118">
        <f t="shared" si="6"/>
        <v>2.1</v>
      </c>
      <c r="S85" s="119">
        <f t="shared" si="7"/>
        <v>2</v>
      </c>
      <c r="T85" s="118">
        <f t="shared" si="8"/>
        <v>6</v>
      </c>
      <c r="U85" s="120">
        <f t="shared" si="9"/>
        <v>2.06</v>
      </c>
    </row>
    <row r="86" spans="1:21" s="7" customFormat="1" ht="16.05" customHeight="1">
      <c r="A86" s="113" t="s">
        <v>95</v>
      </c>
      <c r="B86" s="114" t="str">
        <f>IF(ISNA(VLOOKUP($F86,Declarations!B$6:C$185,2,FALSE)),"",IF(VLOOKUP($F86,Declarations!B$6:C$185,2,FALSE)="","NOT DECLARED",IF(ISNA(_xlfn.TEXTBEFORE(VLOOKUP($F86,Declarations!B$6:C$185,2,FALSE)," ")),VLOOKUP($F86,Declarations!B$6:C$185,2,FALSE),_xlfn.TEXTBEFORE(VLOOKUP($F86,Declarations!B$6:C$185,2,FALSE)," "))))</f>
        <v>ISAAC</v>
      </c>
      <c r="C86" s="114" t="str">
        <f>IF(ISNA(VLOOKUP($F86,Declarations!B$6:C$185,2,FALSE)),"",IF(VLOOKUP($F86,Declarations!B$6:C$185,2,FALSE)="","NOT DECLARED",IF(ISNA(_xlfn.TEXTAFTER(VLOOKUP($F86,Declarations!B$6:C$185,2,FALSE)," ")),VLOOKUP($F86,Declarations!B$6:C$185,2,FALSE),_xlfn.TEXTAFTER(VLOOKUP($F86,Declarations!B$6:C$185,2,FALSE)," "))))</f>
        <v>STEWART</v>
      </c>
      <c r="D86" s="114" t="str">
        <f>IF(ISNA(VLOOKUP($F86,Declarations!$B$6:$F$185,5,FALSE)),"",IF(VLOOKUP($F86,Declarations!$B$6:$F$185,5,FALSE)="","NOT DECLARED",VLOOKUP($F86,Declarations!$B$6:$F$185,5,FALSE)))</f>
        <v>Basingstoke &amp; Mid Hants AC</v>
      </c>
      <c r="E86" s="112" t="str">
        <f>IF(ISNA(VLOOKUP($F86,Declarations!$B$6:$D$185,3,FALSE)),"",IF(VLOOKUP($F86,Declarations!$B$6:$D$185,3,FALSE)="","NOT DECLARED",VLOOKUP($F86,Declarations!$B$6:$D$185,3,FALSE)&amp;LEFT(VLOOKUP($F86,Declarations!$B$6:$E$185,4,FALSE))))</f>
        <v>U12B</v>
      </c>
      <c r="F86" s="58">
        <v>114</v>
      </c>
      <c r="G86" s="115">
        <v>1.4675925925925926E-3</v>
      </c>
      <c r="H86" s="281"/>
      <c r="I86" s="114" t="str">
        <f>IF(ISNA(VLOOKUP(F86,Declarations!B$6:C$185,2,FALSE)),"",IF(VLOOKUP(F86,Declarations!B$6:C$185,2,FALSE)="","NOT DECLARED",VLOOKUP(F86,Declarations!B$6:C$185,2,FALSE)))</f>
        <v>ISAAC STEWART</v>
      </c>
      <c r="J86" s="116">
        <f>IF(LOWER(G86)="dnf",1,IF(U86&lt;ScoringTable!C$3,ScoringTable!I$2,VLOOKUP((1000-U86),ScoringTable!H$2:I$95,2)))</f>
        <v>63</v>
      </c>
      <c r="K86" s="112" t="str">
        <f>IF(OR(E86="",G86=""),"",IF(RIGHT(E86,1)="G",_xlfn.XLOOKUP(G86,Data!$D$11:$L$11,Data!$D$9:$L$9,"",1,1),_xlfn.XLOOKUP(G86,Data!$D$4:$L$4,Data!$D$2:$L$2,"",1,1)))</f>
        <v>PB3</v>
      </c>
      <c r="L86" s="160" t="str" cm="1">
        <f t="array" ref="L86">IFERROR(_xlfn.IFNA(
                      _xlfn.IFS(
                      G86="", "",
                      G86=0, "",
                      AND(E86="U12B",G86&lt;=Data!$M$4), "U12 Boys record",
                      AND(E86="U12G",G86&lt;=Data!$M$11), "U12 Girls record"
                       ),""), "")</f>
        <v/>
      </c>
      <c r="M86" s="18" cm="1">
        <f t="array" ref="M86">_xlfn.IFS(OR($G86="",$G86=0),0, AND(NOT(ISNUMBER($G86)),LOWER($G86)&lt;&gt;"dnf"),"Not a valid time",OR(LOWER($G86)="dnf",$G86&gt;ScoringTable!$N$161),1,RIGHT($E86,1)="B",_xlfn.XLOOKUP($G86,ScoringTable!$N$2:$N$161,ScoringTable!$L$2:$L$161,,1),TRUE,_xlfn.XLOOKUP($G86,ScoringTable!$T$2:$T$161,ScoringTable!$R$2:$R$161,,1))</f>
        <v>46</v>
      </c>
      <c r="Q86" s="117">
        <f t="shared" si="5"/>
        <v>126.8</v>
      </c>
      <c r="R86" s="118">
        <f t="shared" si="6"/>
        <v>2.1133333333333333</v>
      </c>
      <c r="S86" s="119">
        <f t="shared" si="7"/>
        <v>2</v>
      </c>
      <c r="T86" s="118">
        <f t="shared" si="8"/>
        <v>6.7999999999999972</v>
      </c>
      <c r="U86" s="120">
        <f t="shared" si="9"/>
        <v>2.0680000000000001</v>
      </c>
    </row>
    <row r="87" spans="1:21" s="7" customFormat="1" ht="16.05" customHeight="1">
      <c r="A87" s="113" t="s">
        <v>95</v>
      </c>
      <c r="B87" s="114" t="str">
        <f>IF(ISNA(VLOOKUP($F87,Declarations!B$6:C$185,2,FALSE)),"",IF(VLOOKUP($F87,Declarations!B$6:C$185,2,FALSE)="","NOT DECLARED",IF(ISNA(_xlfn.TEXTBEFORE(VLOOKUP($F87,Declarations!B$6:C$185,2,FALSE)," ")),VLOOKUP($F87,Declarations!B$6:C$185,2,FALSE),_xlfn.TEXTBEFORE(VLOOKUP($F87,Declarations!B$6:C$185,2,FALSE)," "))))</f>
        <v>BLAKE</v>
      </c>
      <c r="C87" s="114" t="str">
        <f>IF(ISNA(VLOOKUP($F87,Declarations!B$6:C$185,2,FALSE)),"",IF(VLOOKUP($F87,Declarations!B$6:C$185,2,FALSE)="","NOT DECLARED",IF(ISNA(_xlfn.TEXTAFTER(VLOOKUP($F87,Declarations!B$6:C$185,2,FALSE)," ")),VLOOKUP($F87,Declarations!B$6:C$185,2,FALSE),_xlfn.TEXTAFTER(VLOOKUP($F87,Declarations!B$6:C$185,2,FALSE)," "))))</f>
        <v>BARNES</v>
      </c>
      <c r="D87" s="114" t="str">
        <f>IF(ISNA(VLOOKUP($F87,Declarations!$B$6:$F$185,5,FALSE)),"",IF(VLOOKUP($F87,Declarations!$B$6:$F$185,5,FALSE)="","NOT DECLARED",VLOOKUP($F87,Declarations!$B$6:$F$185,5,FALSE)))</f>
        <v>Waverley Athletics Club</v>
      </c>
      <c r="E87" s="112" t="str">
        <f>IF(ISNA(VLOOKUP($F87,Declarations!$B$6:$D$185,3,FALSE)),"",IF(VLOOKUP($F87,Declarations!$B$6:$D$185,3,FALSE)="","NOT DECLARED",VLOOKUP($F87,Declarations!$B$6:$D$185,3,FALSE)&amp;LEFT(VLOOKUP($F87,Declarations!$B$6:$E$185,4,FALSE))))</f>
        <v>U12B</v>
      </c>
      <c r="F87" s="58">
        <v>92</v>
      </c>
      <c r="G87" s="115">
        <v>1.4756944444444444E-3</v>
      </c>
      <c r="H87" s="281"/>
      <c r="I87" s="114" t="str">
        <f>IF(ISNA(VLOOKUP(F87,Declarations!B$6:C$185,2,FALSE)),"",IF(VLOOKUP(F87,Declarations!B$6:C$185,2,FALSE)="","NOT DECLARED",VLOOKUP(F87,Declarations!B$6:C$185,2,FALSE)))</f>
        <v>BLAKE BARNES</v>
      </c>
      <c r="J87" s="116">
        <f>IF(LOWER(G87)="dnf",1,IF(U87&lt;ScoringTable!C$3,ScoringTable!I$2,VLOOKUP((1000-U87),ScoringTable!H$2:I$95,2)))</f>
        <v>62</v>
      </c>
      <c r="K87" s="112" t="str">
        <f>IF(OR(E87="",G87=""),"",IF(RIGHT(E87,1)="G",_xlfn.XLOOKUP(G87,Data!$D$11:$L$11,Data!$D$9:$L$9,"",1,1),_xlfn.XLOOKUP(G87,Data!$D$4:$L$4,Data!$D$2:$L$2,"",1,1)))</f>
        <v>PB3</v>
      </c>
      <c r="L87" s="160" t="str" cm="1">
        <f t="array" ref="L87">IFERROR(_xlfn.IFNA(
                      _xlfn.IFS(
                      G87="", "",
                      G87=0, "",
                      AND(E87="U12B",G87&lt;=Data!$M$4), "U12 Boys record",
                      AND(E87="U12G",G87&lt;=Data!$M$11), "U12 Girls record"
                       ),""), "")</f>
        <v/>
      </c>
      <c r="M87" s="18" cm="1">
        <f t="array" ref="M87">_xlfn.IFS(OR($G87="",$G87=0),0, AND(NOT(ISNUMBER($G87)),LOWER($G87)&lt;&gt;"dnf"),"Not a valid time",OR(LOWER($G87)="dnf",$G87&gt;ScoringTable!$N$161),1,RIGHT($E87,1)="B",_xlfn.XLOOKUP($G87,ScoringTable!$N$2:$N$161,ScoringTable!$L$2:$L$161,,1),TRUE,_xlfn.XLOOKUP($G87,ScoringTable!$T$2:$T$161,ScoringTable!$R$2:$R$161,,1))</f>
        <v>45</v>
      </c>
      <c r="Q87" s="117">
        <f t="shared" si="5"/>
        <v>127.5</v>
      </c>
      <c r="R87" s="118">
        <f t="shared" si="6"/>
        <v>2.125</v>
      </c>
      <c r="S87" s="119">
        <f t="shared" si="7"/>
        <v>2</v>
      </c>
      <c r="T87" s="118">
        <f t="shared" si="8"/>
        <v>7.5</v>
      </c>
      <c r="U87" s="120">
        <f t="shared" si="9"/>
        <v>2.0750000000000002</v>
      </c>
    </row>
    <row r="88" spans="1:21" s="7" customFormat="1" ht="16.05" customHeight="1">
      <c r="A88" s="113" t="s">
        <v>95</v>
      </c>
      <c r="B88" s="114" t="str">
        <f>IF(ISNA(VLOOKUP($F88,Declarations!B$6:C$185,2,FALSE)),"",IF(VLOOKUP($F88,Declarations!B$6:C$185,2,FALSE)="","NOT DECLARED",IF(ISNA(_xlfn.TEXTBEFORE(VLOOKUP($F88,Declarations!B$6:C$185,2,FALSE)," ")),VLOOKUP($F88,Declarations!B$6:C$185,2,FALSE),_xlfn.TEXTBEFORE(VLOOKUP($F88,Declarations!B$6:C$185,2,FALSE)," "))))</f>
        <v>MATTHEW</v>
      </c>
      <c r="C88" s="114" t="str">
        <f>IF(ISNA(VLOOKUP($F88,Declarations!B$6:C$185,2,FALSE)),"",IF(VLOOKUP($F88,Declarations!B$6:C$185,2,FALSE)="","NOT DECLARED",IF(ISNA(_xlfn.TEXTAFTER(VLOOKUP($F88,Declarations!B$6:C$185,2,FALSE)," ")),VLOOKUP($F88,Declarations!B$6:C$185,2,FALSE),_xlfn.TEXTAFTER(VLOOKUP($F88,Declarations!B$6:C$185,2,FALSE)," "))))</f>
        <v>LEWIS</v>
      </c>
      <c r="D88" s="114" t="str">
        <f>IF(ISNA(VLOOKUP($F88,Declarations!$B$6:$F$185,5,FALSE)),"",IF(VLOOKUP($F88,Declarations!$B$6:$F$185,5,FALSE)="","NOT DECLARED",VLOOKUP($F88,Declarations!$B$6:$F$185,5,FALSE)))</f>
        <v>Woking AC</v>
      </c>
      <c r="E88" s="112" t="str">
        <f>IF(ISNA(VLOOKUP($F88,Declarations!$B$6:$D$185,3,FALSE)),"",IF(VLOOKUP($F88,Declarations!$B$6:$D$185,3,FALSE)="","NOT DECLARED",VLOOKUP($F88,Declarations!$B$6:$D$185,3,FALSE)&amp;LEFT(VLOOKUP($F88,Declarations!$B$6:$E$185,4,FALSE))))</f>
        <v>U12B</v>
      </c>
      <c r="F88" s="58">
        <v>38</v>
      </c>
      <c r="G88" s="115">
        <v>1.4826388888888888E-3</v>
      </c>
      <c r="H88" s="281"/>
      <c r="I88" s="114" t="str">
        <f>IF(ISNA(VLOOKUP(F88,Declarations!B$6:C$185,2,FALSE)),"",IF(VLOOKUP(F88,Declarations!B$6:C$185,2,FALSE)="","NOT DECLARED",VLOOKUP(F88,Declarations!B$6:C$185,2,FALSE)))</f>
        <v>MATTHEW LEWIS</v>
      </c>
      <c r="J88" s="116">
        <f>IF(LOWER(G88)="dnf",1,IF(U88&lt;ScoringTable!C$3,ScoringTable!I$2,VLOOKUP((1000-U88),ScoringTable!H$2:I$95,2)))</f>
        <v>61</v>
      </c>
      <c r="K88" s="112" t="str">
        <f>IF(OR(E88="",G88=""),"",IF(RIGHT(E88,1)="G",_xlfn.XLOOKUP(G88,Data!$D$11:$L$11,Data!$D$9:$L$9,"",1,1),_xlfn.XLOOKUP(G88,Data!$D$4:$L$4,Data!$D$2:$L$2,"",1,1)))</f>
        <v>PB3</v>
      </c>
      <c r="L88" s="160" t="str" cm="1">
        <f t="array" ref="L88">IFERROR(_xlfn.IFNA(
                      _xlfn.IFS(
                      G88="", "",
                      G88=0, "",
                      AND(E88="U12B",G88&lt;=Data!$M$4), "U12 Boys record",
                      AND(E88="U12G",G88&lt;=Data!$M$11), "U12 Girls record"
                       ),""), "")</f>
        <v/>
      </c>
      <c r="M88" s="18" cm="1">
        <f t="array" ref="M88">_xlfn.IFS(OR($G88="",$G88=0),0, AND(NOT(ISNUMBER($G88)),LOWER($G88)&lt;&gt;"dnf"),"Not a valid time",OR(LOWER($G88)="dnf",$G88&gt;ScoringTable!$N$161),1,RIGHT($E88,1)="B",_xlfn.XLOOKUP($G88,ScoringTable!$N$2:$N$161,ScoringTable!$L$2:$L$161,,1),TRUE,_xlfn.XLOOKUP($G88,ScoringTable!$T$2:$T$161,ScoringTable!$R$2:$R$161,,1))</f>
        <v>43</v>
      </c>
      <c r="Q88" s="117">
        <f t="shared" si="5"/>
        <v>128.1</v>
      </c>
      <c r="R88" s="118">
        <f t="shared" si="6"/>
        <v>2.1349999999999998</v>
      </c>
      <c r="S88" s="119">
        <f t="shared" si="7"/>
        <v>2</v>
      </c>
      <c r="T88" s="118">
        <f t="shared" si="8"/>
        <v>8.0999999999999943</v>
      </c>
      <c r="U88" s="120">
        <f t="shared" si="9"/>
        <v>2.081</v>
      </c>
    </row>
    <row r="89" spans="1:21" s="7" customFormat="1" ht="16.05" customHeight="1">
      <c r="A89" s="113" t="s">
        <v>95</v>
      </c>
      <c r="B89" s="114" t="str">
        <f>IF(ISNA(VLOOKUP($F89,Declarations!B$6:C$185,2,FALSE)),"",IF(VLOOKUP($F89,Declarations!B$6:C$185,2,FALSE)="","NOT DECLARED",IF(ISNA(_xlfn.TEXTBEFORE(VLOOKUP($F89,Declarations!B$6:C$185,2,FALSE)," ")),VLOOKUP($F89,Declarations!B$6:C$185,2,FALSE),_xlfn.TEXTBEFORE(VLOOKUP($F89,Declarations!B$6:C$185,2,FALSE)," "))))</f>
        <v>JAY</v>
      </c>
      <c r="C89" s="114" t="str">
        <f>IF(ISNA(VLOOKUP($F89,Declarations!B$6:C$185,2,FALSE)),"",IF(VLOOKUP($F89,Declarations!B$6:C$185,2,FALSE)="","NOT DECLARED",IF(ISNA(_xlfn.TEXTAFTER(VLOOKUP($F89,Declarations!B$6:C$185,2,FALSE)," ")),VLOOKUP($F89,Declarations!B$6:C$185,2,FALSE),_xlfn.TEXTAFTER(VLOOKUP($F89,Declarations!B$6:C$185,2,FALSE)," "))))</f>
        <v>GOVIND</v>
      </c>
      <c r="D89" s="114" t="str">
        <f>IF(ISNA(VLOOKUP($F89,Declarations!$B$6:$F$185,5,FALSE)),"",IF(VLOOKUP($F89,Declarations!$B$6:$F$185,5,FALSE)="","NOT DECLARED",VLOOKUP($F89,Declarations!$B$6:$F$185,5,FALSE)))</f>
        <v>Basingstoke &amp; Mid Hants AC</v>
      </c>
      <c r="E89" s="112" t="str">
        <f>IF(ISNA(VLOOKUP($F89,Declarations!$B$6:$D$185,3,FALSE)),"",IF(VLOOKUP($F89,Declarations!$B$6:$D$185,3,FALSE)="","NOT DECLARED",VLOOKUP($F89,Declarations!$B$6:$D$185,3,FALSE)&amp;LEFT(VLOOKUP($F89,Declarations!$B$6:$E$185,4,FALSE))))</f>
        <v>U12B</v>
      </c>
      <c r="F89" s="58">
        <v>117</v>
      </c>
      <c r="G89" s="115">
        <v>1.517361111111111E-3</v>
      </c>
      <c r="H89" s="281"/>
      <c r="I89" s="114" t="str">
        <f>IF(ISNA(VLOOKUP(F89,Declarations!B$6:C$185,2,FALSE)),"",IF(VLOOKUP(F89,Declarations!B$6:C$185,2,FALSE)="","NOT DECLARED",VLOOKUP(F89,Declarations!B$6:C$185,2,FALSE)))</f>
        <v>JAY GOVIND</v>
      </c>
      <c r="J89" s="116">
        <f>IF(LOWER(G89)="dnf",1,IF(U89&lt;ScoringTable!C$3,ScoringTable!I$2,VLOOKUP((1000-U89),ScoringTable!H$2:I$95,2)))</f>
        <v>58</v>
      </c>
      <c r="K89" s="112" t="str">
        <f>IF(OR(E89="",G89=""),"",IF(RIGHT(E89,1)="G",_xlfn.XLOOKUP(G89,Data!$D$11:$L$11,Data!$D$9:$L$9,"",1,1),_xlfn.XLOOKUP(G89,Data!$D$4:$L$4,Data!$D$2:$L$2,"",1,1)))</f>
        <v>PB2</v>
      </c>
      <c r="L89" s="160" t="str" cm="1">
        <f t="array" ref="L89">IFERROR(_xlfn.IFNA(
                      _xlfn.IFS(
                      G89="", "",
                      G89=0, "",
                      AND(E89="U12B",G89&lt;=Data!$M$4), "U12 Boys record",
                      AND(E89="U12G",G89&lt;=Data!$M$11), "U12 Girls record"
                       ),""), "")</f>
        <v/>
      </c>
      <c r="M89" s="18" cm="1">
        <f t="array" ref="M89">_xlfn.IFS(OR($G89="",$G89=0),0, AND(NOT(ISNUMBER($G89)),LOWER($G89)&lt;&gt;"dnf"),"Not a valid time",OR(LOWER($G89)="dnf",$G89&gt;ScoringTable!$N$161),1,RIGHT($E89,1)="B",_xlfn.XLOOKUP($G89,ScoringTable!$N$2:$N$161,ScoringTable!$L$2:$L$161,,1),TRUE,_xlfn.XLOOKUP($G89,ScoringTable!$T$2:$T$161,ScoringTable!$R$2:$R$161,,1))</f>
        <v>38</v>
      </c>
      <c r="Q89" s="117">
        <f t="shared" si="5"/>
        <v>131.1</v>
      </c>
      <c r="R89" s="118">
        <f t="shared" si="6"/>
        <v>2.1850000000000001</v>
      </c>
      <c r="S89" s="119">
        <f t="shared" si="7"/>
        <v>2</v>
      </c>
      <c r="T89" s="118">
        <f t="shared" si="8"/>
        <v>11.099999999999994</v>
      </c>
      <c r="U89" s="120">
        <f t="shared" si="9"/>
        <v>2.1109999999999998</v>
      </c>
    </row>
    <row r="90" spans="1:21" s="7" customFormat="1" ht="16.05" customHeight="1">
      <c r="A90" s="113" t="s">
        <v>95</v>
      </c>
      <c r="B90" s="114" t="str">
        <f>IF(ISNA(VLOOKUP($F90,Declarations!B$6:C$185,2,FALSE)),"",IF(VLOOKUP($F90,Declarations!B$6:C$185,2,FALSE)="","NOT DECLARED",IF(ISNA(_xlfn.TEXTBEFORE(VLOOKUP($F90,Declarations!B$6:C$185,2,FALSE)," ")),VLOOKUP($F90,Declarations!B$6:C$185,2,FALSE),_xlfn.TEXTBEFORE(VLOOKUP($F90,Declarations!B$6:C$185,2,FALSE)," "))))</f>
        <v>ADAM</v>
      </c>
      <c r="C90" s="114" t="str">
        <f>IF(ISNA(VLOOKUP($F90,Declarations!B$6:C$185,2,FALSE)),"",IF(VLOOKUP($F90,Declarations!B$6:C$185,2,FALSE)="","NOT DECLARED",IF(ISNA(_xlfn.TEXTAFTER(VLOOKUP($F90,Declarations!B$6:C$185,2,FALSE)," ")),VLOOKUP($F90,Declarations!B$6:C$185,2,FALSE),_xlfn.TEXTAFTER(VLOOKUP($F90,Declarations!B$6:C$185,2,FALSE)," "))))</f>
        <v>PRICE</v>
      </c>
      <c r="D90" s="114" t="str">
        <f>IF(ISNA(VLOOKUP($F90,Declarations!$B$6:$F$185,5,FALSE)),"",IF(VLOOKUP($F90,Declarations!$B$6:$F$185,5,FALSE)="","NOT DECLARED",VLOOKUP($F90,Declarations!$B$6:$F$185,5,FALSE)))</f>
        <v>Woking AC</v>
      </c>
      <c r="E90" s="112" t="str">
        <f>IF(ISNA(VLOOKUP($F90,Declarations!$B$6:$D$185,3,FALSE)),"",IF(VLOOKUP($F90,Declarations!$B$6:$D$185,3,FALSE)="","NOT DECLARED",VLOOKUP($F90,Declarations!$B$6:$D$185,3,FALSE)&amp;LEFT(VLOOKUP($F90,Declarations!$B$6:$E$185,4,FALSE))))</f>
        <v>U12B</v>
      </c>
      <c r="F90" s="58">
        <v>37</v>
      </c>
      <c r="G90" s="115">
        <v>1.5578703703703703E-3</v>
      </c>
      <c r="H90" s="281"/>
      <c r="I90" s="114" t="str">
        <f>IF(ISNA(VLOOKUP(F90,Declarations!B$6:C$185,2,FALSE)),"",IF(VLOOKUP(F90,Declarations!B$6:C$185,2,FALSE)="","NOT DECLARED",VLOOKUP(F90,Declarations!B$6:C$185,2,FALSE)))</f>
        <v>ADAM PRICE</v>
      </c>
      <c r="J90" s="116">
        <f>IF(LOWER(G90)="dnf",1,IF(U90&lt;ScoringTable!C$3,ScoringTable!I$2,VLOOKUP((1000-U90),ScoringTable!H$2:I$95,2)))</f>
        <v>55</v>
      </c>
      <c r="K90" s="112" t="str">
        <f>IF(OR(E90="",G90=""),"",IF(RIGHT(E90,1)="G",_xlfn.XLOOKUP(G90,Data!$D$11:$L$11,Data!$D$9:$L$9,"",1,1),_xlfn.XLOOKUP(G90,Data!$D$4:$L$4,Data!$D$2:$L$2,"",1,1)))</f>
        <v>PB2</v>
      </c>
      <c r="L90" s="160" t="str" cm="1">
        <f t="array" ref="L90">IFERROR(_xlfn.IFNA(
                      _xlfn.IFS(
                      G90="", "",
                      G90=0, "",
                      AND(E90="U12B",G90&lt;=Data!$M$4), "U12 Boys record",
                      AND(E90="U12G",G90&lt;=Data!$M$11), "U12 Girls record"
                       ),""), "")</f>
        <v/>
      </c>
      <c r="M90" s="18" cm="1">
        <f t="array" ref="M90">_xlfn.IFS(OR($G90="",$G90=0),0, AND(NOT(ISNUMBER($G90)),LOWER($G90)&lt;&gt;"dnf"),"Not a valid time",OR(LOWER($G90)="dnf",$G90&gt;ScoringTable!$N$161),1,RIGHT($E90,1)="B",_xlfn.XLOOKUP($G90,ScoringTable!$N$2:$N$161,ScoringTable!$L$2:$L$161,,1),TRUE,_xlfn.XLOOKUP($G90,ScoringTable!$T$2:$T$161,ScoringTable!$R$2:$R$161,,1))</f>
        <v>35</v>
      </c>
      <c r="Q90" s="117">
        <f t="shared" si="5"/>
        <v>134.6</v>
      </c>
      <c r="R90" s="118">
        <f t="shared" si="6"/>
        <v>2.2433333333333332</v>
      </c>
      <c r="S90" s="119">
        <f t="shared" si="7"/>
        <v>2</v>
      </c>
      <c r="T90" s="118">
        <f t="shared" si="8"/>
        <v>14.599999999999994</v>
      </c>
      <c r="U90" s="120">
        <f t="shared" si="9"/>
        <v>2.1459999999999999</v>
      </c>
    </row>
    <row r="91" spans="1:21" s="7" customFormat="1" ht="16.05" customHeight="1">
      <c r="A91" s="113" t="s">
        <v>95</v>
      </c>
      <c r="B91" s="114" t="str">
        <f>IF(ISNA(VLOOKUP($F91,Declarations!B$6:C$185,2,FALSE)),"",IF(VLOOKUP($F91,Declarations!B$6:C$185,2,FALSE)="","NOT DECLARED",IF(ISNA(_xlfn.TEXTBEFORE(VLOOKUP($F91,Declarations!B$6:C$185,2,FALSE)," ")),VLOOKUP($F91,Declarations!B$6:C$185,2,FALSE),_xlfn.TEXTBEFORE(VLOOKUP($F91,Declarations!B$6:C$185,2,FALSE)," "))))</f>
        <v>SAM</v>
      </c>
      <c r="C91" s="114" t="str">
        <f>IF(ISNA(VLOOKUP($F91,Declarations!B$6:C$185,2,FALSE)),"",IF(VLOOKUP($F91,Declarations!B$6:C$185,2,FALSE)="","NOT DECLARED",IF(ISNA(_xlfn.TEXTAFTER(VLOOKUP($F91,Declarations!B$6:C$185,2,FALSE)," ")),VLOOKUP($F91,Declarations!B$6:C$185,2,FALSE),_xlfn.TEXTAFTER(VLOOKUP($F91,Declarations!B$6:C$185,2,FALSE)," "))))</f>
        <v>SUCKLING</v>
      </c>
      <c r="D91" s="114" t="str">
        <f>IF(ISNA(VLOOKUP($F91,Declarations!$B$6:$F$185,5,FALSE)),"",IF(VLOOKUP($F91,Declarations!$B$6:$F$185,5,FALSE)="","NOT DECLARED",VLOOKUP($F91,Declarations!$B$6:$F$185,5,FALSE)))</f>
        <v>Poole Runners</v>
      </c>
      <c r="E91" s="112" t="str">
        <f>IF(ISNA(VLOOKUP($F91,Declarations!$B$6:$D$185,3,FALSE)),"",IF(VLOOKUP($F91,Declarations!$B$6:$D$185,3,FALSE)="","NOT DECLARED",VLOOKUP($F91,Declarations!$B$6:$D$185,3,FALSE)&amp;LEFT(VLOOKUP($F91,Declarations!$B$6:$E$185,4,FALSE))))</f>
        <v>U12B</v>
      </c>
      <c r="F91" s="58">
        <v>57</v>
      </c>
      <c r="G91" s="115">
        <v>1.5671296296296297E-3</v>
      </c>
      <c r="H91" s="281"/>
      <c r="I91" s="114" t="str">
        <f>IF(ISNA(VLOOKUP(F91,Declarations!B$6:C$185,2,FALSE)),"",IF(VLOOKUP(F91,Declarations!B$6:C$185,2,FALSE)="","NOT DECLARED",VLOOKUP(F91,Declarations!B$6:C$185,2,FALSE)))</f>
        <v>SAM SUCKLING</v>
      </c>
      <c r="J91" s="116">
        <f>IF(LOWER(G91)="dnf",1,IF(U91&lt;ScoringTable!C$3,ScoringTable!I$2,VLOOKUP((1000-U91),ScoringTable!H$2:I$95,2)))</f>
        <v>54</v>
      </c>
      <c r="K91" s="112" t="str">
        <f>IF(OR(E91="",G91=""),"",IF(RIGHT(E91,1)="G",_xlfn.XLOOKUP(G91,Data!$D$11:$L$11,Data!$D$9:$L$9,"",1,1),_xlfn.XLOOKUP(G91,Data!$D$4:$L$4,Data!$D$2:$L$2,"",1,1)))</f>
        <v>PB2</v>
      </c>
      <c r="L91" s="160" t="str" cm="1">
        <f t="array" ref="L91">IFERROR(_xlfn.IFNA(
                      _xlfn.IFS(
                      G91="", "",
                      G91=0, "",
                      AND(E91="U12B",G91&lt;=Data!$M$4), "U12 Boys record",
                      AND(E91="U12G",G91&lt;=Data!$M$11), "U12 Girls record"
                       ),""), "")</f>
        <v/>
      </c>
      <c r="M91" s="18" cm="1">
        <f t="array" ref="M91">_xlfn.IFS(OR($G91="",$G91=0),0, AND(NOT(ISNUMBER($G91)),LOWER($G91)&lt;&gt;"dnf"),"Not a valid time",OR(LOWER($G91)="dnf",$G91&gt;ScoringTable!$N$161),1,RIGHT($E91,1)="B",_xlfn.XLOOKUP($G91,ScoringTable!$N$2:$N$161,ScoringTable!$L$2:$L$161,,1),TRUE,_xlfn.XLOOKUP($G91,ScoringTable!$T$2:$T$161,ScoringTable!$R$2:$R$161,,1))</f>
        <v>34</v>
      </c>
      <c r="Q91" s="117">
        <f t="shared" si="5"/>
        <v>135.4</v>
      </c>
      <c r="R91" s="118">
        <f t="shared" si="6"/>
        <v>2.2566666666666668</v>
      </c>
      <c r="S91" s="119">
        <f t="shared" si="7"/>
        <v>2</v>
      </c>
      <c r="T91" s="118">
        <f t="shared" si="8"/>
        <v>15.400000000000006</v>
      </c>
      <c r="U91" s="120">
        <f t="shared" si="9"/>
        <v>2.1539999999999999</v>
      </c>
    </row>
    <row r="92" spans="1:21" s="7" customFormat="1" ht="16.05" customHeight="1">
      <c r="A92" s="113" t="s">
        <v>95</v>
      </c>
      <c r="B92" s="114" t="str">
        <f>IF(ISNA(VLOOKUP($F92,Declarations!B$6:C$185,2,FALSE)),"",IF(VLOOKUP($F92,Declarations!B$6:C$185,2,FALSE)="","NOT DECLARED",IF(ISNA(_xlfn.TEXTBEFORE(VLOOKUP($F92,Declarations!B$6:C$185,2,FALSE)," ")),VLOOKUP($F92,Declarations!B$6:C$185,2,FALSE),_xlfn.TEXTBEFORE(VLOOKUP($F92,Declarations!B$6:C$185,2,FALSE)," "))))</f>
        <v>ETHAN</v>
      </c>
      <c r="C92" s="114" t="str">
        <f>IF(ISNA(VLOOKUP($F92,Declarations!B$6:C$185,2,FALSE)),"",IF(VLOOKUP($F92,Declarations!B$6:C$185,2,FALSE)="","NOT DECLARED",IF(ISNA(_xlfn.TEXTAFTER(VLOOKUP($F92,Declarations!B$6:C$185,2,FALSE)," ")),VLOOKUP($F92,Declarations!B$6:C$185,2,FALSE),_xlfn.TEXTAFTER(VLOOKUP($F92,Declarations!B$6:C$185,2,FALSE)," "))))</f>
        <v>WEIGHT</v>
      </c>
      <c r="D92" s="114" t="str">
        <f>IF(ISNA(VLOOKUP($F92,Declarations!$B$6:$F$185,5,FALSE)),"",IF(VLOOKUP($F92,Declarations!$B$6:$F$185,5,FALSE)="","NOT DECLARED",VLOOKUP($F92,Declarations!$B$6:$F$185,5,FALSE)))</f>
        <v>Basingstoke &amp; Mid Hants AC</v>
      </c>
      <c r="E92" s="112" t="str">
        <f>IF(ISNA(VLOOKUP($F92,Declarations!$B$6:$D$185,3,FALSE)),"",IF(VLOOKUP($F92,Declarations!$B$6:$D$185,3,FALSE)="","NOT DECLARED",VLOOKUP($F92,Declarations!$B$6:$D$185,3,FALSE)&amp;LEFT(VLOOKUP($F92,Declarations!$B$6:$E$185,4,FALSE))))</f>
        <v>U12B</v>
      </c>
      <c r="F92" s="58">
        <v>120</v>
      </c>
      <c r="G92" s="115">
        <v>1.5671296296296297E-3</v>
      </c>
      <c r="H92" s="281"/>
      <c r="I92" s="114" t="str">
        <f>IF(ISNA(VLOOKUP(F92,Declarations!B$6:C$185,2,FALSE)),"",IF(VLOOKUP(F92,Declarations!B$6:C$185,2,FALSE)="","NOT DECLARED",VLOOKUP(F92,Declarations!B$6:C$185,2,FALSE)))</f>
        <v>ETHAN WEIGHT</v>
      </c>
      <c r="J92" s="116">
        <f>IF(LOWER(G92)="dnf",1,IF(U92&lt;ScoringTable!C$3,ScoringTable!I$2,VLOOKUP((1000-U92),ScoringTable!H$2:I$95,2)))</f>
        <v>54</v>
      </c>
      <c r="K92" s="112" t="str">
        <f>IF(OR(E92="",G92=""),"",IF(RIGHT(E92,1)="G",_xlfn.XLOOKUP(G92,Data!$D$11:$L$11,Data!$D$9:$L$9,"",1,1),_xlfn.XLOOKUP(G92,Data!$D$4:$L$4,Data!$D$2:$L$2,"",1,1)))</f>
        <v>PB2</v>
      </c>
      <c r="L92" s="160" t="str" cm="1">
        <f t="array" ref="L92">IFERROR(_xlfn.IFNA(
                      _xlfn.IFS(
                      G92="", "",
                      G92=0, "",
                      AND(E92="U12B",G92&lt;=Data!$M$4), "U12 Boys record",
                      AND(E92="U12G",G92&lt;=Data!$M$11), "U12 Girls record"
                       ),""), "")</f>
        <v/>
      </c>
      <c r="M92" s="18" cm="1">
        <f t="array" ref="M92">_xlfn.IFS(OR($G92="",$G92=0),0, AND(NOT(ISNUMBER($G92)),LOWER($G92)&lt;&gt;"dnf"),"Not a valid time",OR(LOWER($G92)="dnf",$G92&gt;ScoringTable!$N$161),1,RIGHT($E92,1)="B",_xlfn.XLOOKUP($G92,ScoringTable!$N$2:$N$161,ScoringTable!$L$2:$L$161,,1),TRUE,_xlfn.XLOOKUP($G92,ScoringTable!$T$2:$T$161,ScoringTable!$R$2:$R$161,,1))</f>
        <v>34</v>
      </c>
      <c r="Q92" s="117">
        <f t="shared" si="5"/>
        <v>135.4</v>
      </c>
      <c r="R92" s="118">
        <f t="shared" si="6"/>
        <v>2.2566666666666668</v>
      </c>
      <c r="S92" s="119">
        <f t="shared" si="7"/>
        <v>2</v>
      </c>
      <c r="T92" s="118">
        <f t="shared" si="8"/>
        <v>15.400000000000006</v>
      </c>
      <c r="U92" s="120">
        <f t="shared" si="9"/>
        <v>2.1539999999999999</v>
      </c>
    </row>
    <row r="93" spans="1:21" s="7" customFormat="1" ht="16.05" customHeight="1">
      <c r="A93" s="113" t="s">
        <v>95</v>
      </c>
      <c r="B93" s="114" t="str">
        <f>IF(ISNA(VLOOKUP($F93,Declarations!B$6:C$185,2,FALSE)),"",IF(VLOOKUP($F93,Declarations!B$6:C$185,2,FALSE)="","NOT DECLARED",IF(ISNA(_xlfn.TEXTBEFORE(VLOOKUP($F93,Declarations!B$6:C$185,2,FALSE)," ")),VLOOKUP($F93,Declarations!B$6:C$185,2,FALSE),_xlfn.TEXTBEFORE(VLOOKUP($F93,Declarations!B$6:C$185,2,FALSE)," "))))</f>
        <v>JENSON</v>
      </c>
      <c r="C93" s="114" t="str">
        <f>IF(ISNA(VLOOKUP($F93,Declarations!B$6:C$185,2,FALSE)),"",IF(VLOOKUP($F93,Declarations!B$6:C$185,2,FALSE)="","NOT DECLARED",IF(ISNA(_xlfn.TEXTAFTER(VLOOKUP($F93,Declarations!B$6:C$185,2,FALSE)," ")),VLOOKUP($F93,Declarations!B$6:C$185,2,FALSE),_xlfn.TEXTAFTER(VLOOKUP($F93,Declarations!B$6:C$185,2,FALSE)," "))))</f>
        <v>PROUT</v>
      </c>
      <c r="D93" s="114" t="str">
        <f>IF(ISNA(VLOOKUP($F93,Declarations!$B$6:$F$185,5,FALSE)),"",IF(VLOOKUP($F93,Declarations!$B$6:$F$185,5,FALSE)="","NOT DECLARED",VLOOKUP($F93,Declarations!$B$6:$F$185,5,FALSE)))</f>
        <v>Basingstoke &amp; Mid Hants AC</v>
      </c>
      <c r="E93" s="112" t="str">
        <f>IF(ISNA(VLOOKUP($F93,Declarations!$B$6:$D$185,3,FALSE)),"",IF(VLOOKUP($F93,Declarations!$B$6:$D$185,3,FALSE)="","NOT DECLARED",VLOOKUP($F93,Declarations!$B$6:$D$185,3,FALSE)&amp;LEFT(VLOOKUP($F93,Declarations!$B$6:$E$185,4,FALSE))))</f>
        <v>U12B</v>
      </c>
      <c r="F93" s="58">
        <v>111</v>
      </c>
      <c r="G93" s="115">
        <v>1.5740740740740741E-3</v>
      </c>
      <c r="H93" s="281"/>
      <c r="I93" s="114" t="str">
        <f>IF(ISNA(VLOOKUP(F93,Declarations!B$6:C$185,2,FALSE)),"",IF(VLOOKUP(F93,Declarations!B$6:C$185,2,FALSE)="","NOT DECLARED",VLOOKUP(F93,Declarations!B$6:C$185,2,FALSE)))</f>
        <v>JENSON PROUT</v>
      </c>
      <c r="J93" s="116">
        <f>IF(LOWER(G93)="dnf",1,IF(U93&lt;ScoringTable!C$3,ScoringTable!I$2,VLOOKUP((1000-U93),ScoringTable!H$2:I$95,2)))</f>
        <v>54</v>
      </c>
      <c r="K93" s="112" t="str">
        <f>IF(OR(E93="",G93=""),"",IF(RIGHT(E93,1)="G",_xlfn.XLOOKUP(G93,Data!$D$11:$L$11,Data!$D$9:$L$9,"",1,1),_xlfn.XLOOKUP(G93,Data!$D$4:$L$4,Data!$D$2:$L$2,"",1,1)))</f>
        <v>PB2</v>
      </c>
      <c r="L93" s="160" t="str" cm="1">
        <f t="array" ref="L93">IFERROR(_xlfn.IFNA(
                      _xlfn.IFS(
                      G93="", "",
                      G93=0, "",
                      AND(E93="U12B",G93&lt;=Data!$M$4), "U12 Boys record",
                      AND(E93="U12G",G93&lt;=Data!$M$11), "U12 Girls record"
                       ),""), "")</f>
        <v/>
      </c>
      <c r="M93" s="18" cm="1">
        <f t="array" ref="M93">_xlfn.IFS(OR($G93="",$G93=0),0, AND(NOT(ISNUMBER($G93)),LOWER($G93)&lt;&gt;"dnf"),"Not a valid time",OR(LOWER($G93)="dnf",$G93&gt;ScoringTable!$N$161),1,RIGHT($E93,1)="B",_xlfn.XLOOKUP($G93,ScoringTable!$N$2:$N$161,ScoringTable!$L$2:$L$161,,1),TRUE,_xlfn.XLOOKUP($G93,ScoringTable!$T$2:$T$161,ScoringTable!$R$2:$R$161,,1))</f>
        <v>34</v>
      </c>
      <c r="Q93" s="117">
        <f t="shared" si="5"/>
        <v>136</v>
      </c>
      <c r="R93" s="118">
        <f t="shared" si="6"/>
        <v>2.2666666666666666</v>
      </c>
      <c r="S93" s="119">
        <f t="shared" si="7"/>
        <v>2</v>
      </c>
      <c r="T93" s="118">
        <f t="shared" si="8"/>
        <v>16</v>
      </c>
      <c r="U93" s="120">
        <f t="shared" si="9"/>
        <v>2.16</v>
      </c>
    </row>
    <row r="94" spans="1:21" s="7" customFormat="1" ht="16.05" customHeight="1">
      <c r="A94" s="113" t="s">
        <v>95</v>
      </c>
      <c r="B94" s="114" t="str">
        <f>IF(ISNA(VLOOKUP($F94,Declarations!B$6:C$185,2,FALSE)),"",IF(VLOOKUP($F94,Declarations!B$6:C$185,2,FALSE)="","NOT DECLARED",IF(ISNA(_xlfn.TEXTBEFORE(VLOOKUP($F94,Declarations!B$6:C$185,2,FALSE)," ")),VLOOKUP($F94,Declarations!B$6:C$185,2,FALSE),_xlfn.TEXTBEFORE(VLOOKUP($F94,Declarations!B$6:C$185,2,FALSE)," "))))</f>
        <v>MURRAY</v>
      </c>
      <c r="C94" s="114" t="str">
        <f>IF(ISNA(VLOOKUP($F94,Declarations!B$6:C$185,2,FALSE)),"",IF(VLOOKUP($F94,Declarations!B$6:C$185,2,FALSE)="","NOT DECLARED",IF(ISNA(_xlfn.TEXTAFTER(VLOOKUP($F94,Declarations!B$6:C$185,2,FALSE)," ")),VLOOKUP($F94,Declarations!B$6:C$185,2,FALSE),_xlfn.TEXTAFTER(VLOOKUP($F94,Declarations!B$6:C$185,2,FALSE)," "))))</f>
        <v>VOADEN</v>
      </c>
      <c r="D94" s="114" t="str">
        <f>IF(ISNA(VLOOKUP($F94,Declarations!$B$6:$F$185,5,FALSE)),"",IF(VLOOKUP($F94,Declarations!$B$6:$F$185,5,FALSE)="","NOT DECLARED",VLOOKUP($F94,Declarations!$B$6:$F$185,5,FALSE)))</f>
        <v>Fleet &amp; Crookham AC</v>
      </c>
      <c r="E94" s="112" t="str">
        <f>IF(ISNA(VLOOKUP($F94,Declarations!$B$6:$D$185,3,FALSE)),"",IF(VLOOKUP($F94,Declarations!$B$6:$D$185,3,FALSE)="","NOT DECLARED",VLOOKUP($F94,Declarations!$B$6:$D$185,3,FALSE)&amp;LEFT(VLOOKUP($F94,Declarations!$B$6:$E$185,4,FALSE))))</f>
        <v>U12B</v>
      </c>
      <c r="F94" s="58">
        <v>75</v>
      </c>
      <c r="G94" s="115">
        <v>1.6192129629629629E-3</v>
      </c>
      <c r="H94" s="281"/>
      <c r="I94" s="114" t="str">
        <f>IF(ISNA(VLOOKUP(F94,Declarations!B$6:C$185,2,FALSE)),"",IF(VLOOKUP(F94,Declarations!B$6:C$185,2,FALSE)="","NOT DECLARED",VLOOKUP(F94,Declarations!B$6:C$185,2,FALSE)))</f>
        <v>MURRAY VOADEN</v>
      </c>
      <c r="J94" s="116">
        <f>IF(LOWER(G94)="dnf",1,IF(U94&lt;ScoringTable!C$3,ScoringTable!I$2,VLOOKUP((1000-U94),ScoringTable!H$2:I$95,2)))</f>
        <v>50</v>
      </c>
      <c r="K94" s="112" t="str">
        <f>IF(OR(E94="",G94=""),"",IF(RIGHT(E94,1)="G",_xlfn.XLOOKUP(G94,Data!$D$11:$L$11,Data!$D$9:$L$9,"",1,1),_xlfn.XLOOKUP(G94,Data!$D$4:$L$4,Data!$D$2:$L$2,"",1,1)))</f>
        <v>PB2</v>
      </c>
      <c r="L94" s="160" t="str" cm="1">
        <f t="array" ref="L94">IFERROR(_xlfn.IFNA(
                      _xlfn.IFS(
                      G94="", "",
                      G94=0, "",
                      AND(E94="U12B",G94&lt;=Data!$M$4), "U12 Boys record",
                      AND(E94="U12G",G94&lt;=Data!$M$11), "U12 Girls record"
                       ),""), "")</f>
        <v/>
      </c>
      <c r="M94" s="18" cm="1">
        <f t="array" ref="M94">_xlfn.IFS(OR($G94="",$G94=0),0, AND(NOT(ISNUMBER($G94)),LOWER($G94)&lt;&gt;"dnf"),"Not a valid time",OR(LOWER($G94)="dnf",$G94&gt;ScoringTable!$N$161),1,RIGHT($E94,1)="B",_xlfn.XLOOKUP($G94,ScoringTable!$N$2:$N$161,ScoringTable!$L$2:$L$161,,1),TRUE,_xlfn.XLOOKUP($G94,ScoringTable!$T$2:$T$161,ScoringTable!$R$2:$R$161,,1))</f>
        <v>30</v>
      </c>
      <c r="Q94" s="117">
        <f t="shared" si="5"/>
        <v>139.9</v>
      </c>
      <c r="R94" s="118">
        <f t="shared" si="6"/>
        <v>2.3316666666666666</v>
      </c>
      <c r="S94" s="119">
        <f t="shared" si="7"/>
        <v>2</v>
      </c>
      <c r="T94" s="118">
        <f t="shared" si="8"/>
        <v>19.900000000000006</v>
      </c>
      <c r="U94" s="120">
        <f t="shared" si="9"/>
        <v>2.1989999999999998</v>
      </c>
    </row>
    <row r="95" spans="1:21" s="7" customFormat="1" ht="16.05" customHeight="1">
      <c r="A95" s="113" t="s">
        <v>95</v>
      </c>
      <c r="B95" s="114" t="str">
        <f>IF(ISNA(VLOOKUP($F95,Declarations!B$6:C$185,2,FALSE)),"",IF(VLOOKUP($F95,Declarations!B$6:C$185,2,FALSE)="","NOT DECLARED",IF(ISNA(_xlfn.TEXTBEFORE(VLOOKUP($F95,Declarations!B$6:C$185,2,FALSE)," ")),VLOOKUP($F95,Declarations!B$6:C$185,2,FALSE),_xlfn.TEXTBEFORE(VLOOKUP($F95,Declarations!B$6:C$185,2,FALSE)," "))))</f>
        <v/>
      </c>
      <c r="C95" s="114" t="str">
        <f>IF(ISNA(VLOOKUP($F95,Declarations!B$6:C$185,2,FALSE)),"",IF(VLOOKUP($F95,Declarations!B$6:C$185,2,FALSE)="","NOT DECLARED",IF(ISNA(_xlfn.TEXTAFTER(VLOOKUP($F95,Declarations!B$6:C$185,2,FALSE)," ")),VLOOKUP($F95,Declarations!B$6:C$185,2,FALSE),_xlfn.TEXTAFTER(VLOOKUP($F95,Declarations!B$6:C$185,2,FALSE)," "))))</f>
        <v/>
      </c>
      <c r="D95" s="114" t="str">
        <f>IF(ISNA(VLOOKUP($F95,Declarations!$B$6:$F$185,5,FALSE)),"",IF(VLOOKUP($F95,Declarations!$B$6:$F$185,5,FALSE)="","NOT DECLARED",VLOOKUP($F95,Declarations!$B$6:$F$185,5,FALSE)))</f>
        <v/>
      </c>
      <c r="E95" s="112" t="str">
        <f>IF(ISNA(VLOOKUP($F95,Declarations!$B$6:$D$185,3,FALSE)),"",IF(VLOOKUP($F95,Declarations!$B$6:$D$185,3,FALSE)="","NOT DECLARED",VLOOKUP($F95,Declarations!$B$6:$D$185,3,FALSE)&amp;LEFT(VLOOKUP($F95,Declarations!$B$6:$E$185,4,FALSE))))</f>
        <v/>
      </c>
      <c r="F95" s="58"/>
      <c r="G95" s="115">
        <v>0</v>
      </c>
      <c r="H95" s="281"/>
      <c r="I95" s="114" t="str">
        <f>IF(ISNA(VLOOKUP(F95,Declarations!B$6:C$185,2,FALSE)),"",IF(VLOOKUP(F95,Declarations!B$6:C$185,2,FALSE)="","NOT DECLARED",VLOOKUP(F95,Declarations!B$6:C$185,2,FALSE)))</f>
        <v/>
      </c>
      <c r="J95" s="116">
        <f>IF(LOWER(G95)="dnf",1,IF(U95&lt;ScoringTable!C$3,ScoringTable!I$2,VLOOKUP((1000-U95),ScoringTable!H$2:I$95,2)))</f>
        <v>0</v>
      </c>
      <c r="K95" s="112" t="str">
        <f>IF(OR(E95="",G95=""),"",IF(RIGHT(E95,1)="G",_xlfn.XLOOKUP(G95,Data!$D$11:$L$11,Data!$D$9:$L$9,"",1,1),_xlfn.XLOOKUP(G95,Data!$D$4:$L$4,Data!$D$2:$L$2,"",1,1)))</f>
        <v/>
      </c>
      <c r="L95" s="160" t="str" cm="1">
        <f t="array" ref="L95">IFERROR(_xlfn.IFNA(
                      _xlfn.IFS(
                      G95="", "",
                      G95=0, "",
                      AND(E95="U12B",G95&lt;=Data!$M$4), "U12 Boys record",
                      AND(E95="U12G",G95&lt;=Data!$M$11), "U12 Girls record"
                       ),""), "")</f>
        <v/>
      </c>
      <c r="M95" s="18" cm="1">
        <f t="array" ref="M95">_xlfn.IFS(OR($G95="",$G95=0),0, AND(NOT(ISNUMBER($G95)),LOWER($G95)&lt;&gt;"dnf"),"Not a valid time",OR(LOWER($G95)="dnf",$G95&gt;ScoringTable!$N$161),1,RIGHT($E95,1)="B",_xlfn.XLOOKUP($G95,ScoringTable!$N$2:$N$161,ScoringTable!$L$2:$L$161,,1),TRUE,_xlfn.XLOOKUP($G95,ScoringTable!$T$2:$T$161,ScoringTable!$R$2:$R$161,,1))</f>
        <v>0</v>
      </c>
      <c r="Q95" s="117">
        <f t="shared" si="5"/>
        <v>0</v>
      </c>
      <c r="R95" s="118">
        <f t="shared" si="6"/>
        <v>0</v>
      </c>
      <c r="S95" s="119">
        <f t="shared" si="7"/>
        <v>0</v>
      </c>
      <c r="T95" s="118">
        <f t="shared" si="8"/>
        <v>0</v>
      </c>
      <c r="U95" s="120">
        <f t="shared" si="9"/>
        <v>0</v>
      </c>
    </row>
    <row r="96" spans="1:21" s="7" customFormat="1" ht="16.05" customHeight="1">
      <c r="A96" s="113" t="s">
        <v>95</v>
      </c>
      <c r="B96" s="114" t="str">
        <f>IF(ISNA(VLOOKUP($F96,Declarations!B$6:C$185,2,FALSE)),"",IF(VLOOKUP($F96,Declarations!B$6:C$185,2,FALSE)="","NOT DECLARED",IF(ISNA(_xlfn.TEXTBEFORE(VLOOKUP($F96,Declarations!B$6:C$185,2,FALSE)," ")),VLOOKUP($F96,Declarations!B$6:C$185,2,FALSE),_xlfn.TEXTBEFORE(VLOOKUP($F96,Declarations!B$6:C$185,2,FALSE)," "))))</f>
        <v/>
      </c>
      <c r="C96" s="114" t="str">
        <f>IF(ISNA(VLOOKUP($F96,Declarations!B$6:C$185,2,FALSE)),"",IF(VLOOKUP($F96,Declarations!B$6:C$185,2,FALSE)="","NOT DECLARED",IF(ISNA(_xlfn.TEXTAFTER(VLOOKUP($F96,Declarations!B$6:C$185,2,FALSE)," ")),VLOOKUP($F96,Declarations!B$6:C$185,2,FALSE),_xlfn.TEXTAFTER(VLOOKUP($F96,Declarations!B$6:C$185,2,FALSE)," "))))</f>
        <v/>
      </c>
      <c r="D96" s="114" t="str">
        <f>IF(ISNA(VLOOKUP($F96,Declarations!$B$6:$F$185,5,FALSE)),"",IF(VLOOKUP($F96,Declarations!$B$6:$F$185,5,FALSE)="","NOT DECLARED",VLOOKUP($F96,Declarations!$B$6:$F$185,5,FALSE)))</f>
        <v/>
      </c>
      <c r="E96" s="112" t="str">
        <f>IF(ISNA(VLOOKUP($F96,Declarations!$B$6:$D$185,3,FALSE)),"",IF(VLOOKUP($F96,Declarations!$B$6:$D$185,3,FALSE)="","NOT DECLARED",VLOOKUP($F96,Declarations!$B$6:$D$185,3,FALSE)&amp;LEFT(VLOOKUP($F96,Declarations!$B$6:$E$185,4,FALSE))))</f>
        <v/>
      </c>
      <c r="F96" s="58"/>
      <c r="G96" s="115">
        <v>0</v>
      </c>
      <c r="H96" s="281"/>
      <c r="I96" s="114" t="str">
        <f>IF(ISNA(VLOOKUP(F96,Declarations!B$6:C$185,2,FALSE)),"",IF(VLOOKUP(F96,Declarations!B$6:C$185,2,FALSE)="","NOT DECLARED",VLOOKUP(F96,Declarations!B$6:C$185,2,FALSE)))</f>
        <v/>
      </c>
      <c r="J96" s="116">
        <f>IF(LOWER(G96)="dnf",1,IF(U96&lt;ScoringTable!C$3,ScoringTable!I$2,VLOOKUP((1000-U96),ScoringTable!H$2:I$95,2)))</f>
        <v>0</v>
      </c>
      <c r="K96" s="112" t="str">
        <f>IF(OR(E96="",G96=""),"",IF(RIGHT(E96,1)="G",_xlfn.XLOOKUP(G96,Data!$D$11:$L$11,Data!$D$9:$L$9,"",1,1),_xlfn.XLOOKUP(G96,Data!$D$4:$L$4,Data!$D$2:$L$2,"",1,1)))</f>
        <v/>
      </c>
      <c r="L96" s="160" t="str" cm="1">
        <f t="array" ref="L96">IFERROR(_xlfn.IFNA(
                      _xlfn.IFS(
                      G96="", "",
                      G96=0, "",
                      AND(E96="U12B",G96&lt;=Data!$M$4), "U12 Boys record",
                      AND(E96="U12G",G96&lt;=Data!$M$11), "U12 Girls record"
                       ),""), "")</f>
        <v/>
      </c>
      <c r="M96" s="18" cm="1">
        <f t="array" ref="M96">_xlfn.IFS(OR($G96="",$G96=0),0, AND(NOT(ISNUMBER($G96)),LOWER($G96)&lt;&gt;"dnf"),"Not a valid time",OR(LOWER($G96)="dnf",$G96&gt;ScoringTable!$N$161),1,RIGHT($E96,1)="B",_xlfn.XLOOKUP($G96,ScoringTable!$N$2:$N$161,ScoringTable!$L$2:$L$161,,1),TRUE,_xlfn.XLOOKUP($G96,ScoringTable!$T$2:$T$161,ScoringTable!$R$2:$R$161,,1))</f>
        <v>0</v>
      </c>
      <c r="Q96" s="117">
        <f t="shared" si="5"/>
        <v>0</v>
      </c>
      <c r="R96" s="118">
        <f t="shared" si="6"/>
        <v>0</v>
      </c>
      <c r="S96" s="119">
        <f t="shared" si="7"/>
        <v>0</v>
      </c>
      <c r="T96" s="118">
        <f t="shared" si="8"/>
        <v>0</v>
      </c>
      <c r="U96" s="120">
        <f t="shared" si="9"/>
        <v>0</v>
      </c>
    </row>
    <row r="97" spans="1:21" s="7" customFormat="1" ht="16.05" customHeight="1">
      <c r="A97" s="113" t="s">
        <v>95</v>
      </c>
      <c r="B97" s="114" t="str">
        <f>IF(ISNA(VLOOKUP($F97,Declarations!B$6:C$185,2,FALSE)),"",IF(VLOOKUP($F97,Declarations!B$6:C$185,2,FALSE)="","NOT DECLARED",IF(ISNA(_xlfn.TEXTBEFORE(VLOOKUP($F97,Declarations!B$6:C$185,2,FALSE)," ")),VLOOKUP($F97,Declarations!B$6:C$185,2,FALSE),_xlfn.TEXTBEFORE(VLOOKUP($F97,Declarations!B$6:C$185,2,FALSE)," "))))</f>
        <v/>
      </c>
      <c r="C97" s="114" t="str">
        <f>IF(ISNA(VLOOKUP($F97,Declarations!B$6:C$185,2,FALSE)),"",IF(VLOOKUP($F97,Declarations!B$6:C$185,2,FALSE)="","NOT DECLARED",IF(ISNA(_xlfn.TEXTAFTER(VLOOKUP($F97,Declarations!B$6:C$185,2,FALSE)," ")),VLOOKUP($F97,Declarations!B$6:C$185,2,FALSE),_xlfn.TEXTAFTER(VLOOKUP($F97,Declarations!B$6:C$185,2,FALSE)," "))))</f>
        <v/>
      </c>
      <c r="D97" s="114" t="str">
        <f>IF(ISNA(VLOOKUP($F97,Declarations!$B$6:$F$185,5,FALSE)),"",IF(VLOOKUP($F97,Declarations!$B$6:$F$185,5,FALSE)="","NOT DECLARED",VLOOKUP($F97,Declarations!$B$6:$F$185,5,FALSE)))</f>
        <v/>
      </c>
      <c r="E97" s="112" t="str">
        <f>IF(ISNA(VLOOKUP($F97,Declarations!$B$6:$D$185,3,FALSE)),"",IF(VLOOKUP($F97,Declarations!$B$6:$D$185,3,FALSE)="","NOT DECLARED",VLOOKUP($F97,Declarations!$B$6:$D$185,3,FALSE)&amp;LEFT(VLOOKUP($F97,Declarations!$B$6:$E$185,4,FALSE))))</f>
        <v/>
      </c>
      <c r="F97" s="58"/>
      <c r="G97" s="115">
        <v>0</v>
      </c>
      <c r="H97" s="281"/>
      <c r="I97" s="114" t="str">
        <f>IF(ISNA(VLOOKUP(F97,Declarations!B$6:C$185,2,FALSE)),"",IF(VLOOKUP(F97,Declarations!B$6:C$185,2,FALSE)="","NOT DECLARED",VLOOKUP(F97,Declarations!B$6:C$185,2,FALSE)))</f>
        <v/>
      </c>
      <c r="J97" s="116">
        <f>IF(LOWER(G97)="dnf",1,IF(U97&lt;ScoringTable!C$3,ScoringTable!I$2,VLOOKUP((1000-U97),ScoringTable!H$2:I$95,2)))</f>
        <v>0</v>
      </c>
      <c r="K97" s="112" t="str">
        <f>IF(OR(E97="",G97=""),"",IF(RIGHT(E97,1)="G",_xlfn.XLOOKUP(G97,Data!$D$11:$L$11,Data!$D$9:$L$9,"",1,1),_xlfn.XLOOKUP(G97,Data!$D$4:$L$4,Data!$D$2:$L$2,"",1,1)))</f>
        <v/>
      </c>
      <c r="L97" s="160" t="str" cm="1">
        <f t="array" ref="L97">IFERROR(_xlfn.IFNA(
                      _xlfn.IFS(
                      G97="", "",
                      G97=0, "",
                      AND(E97="U12B",G97&lt;=Data!$M$4), "U12 Boys record",
                      AND(E97="U12G",G97&lt;=Data!$M$11), "U12 Girls record"
                       ),""), "")</f>
        <v/>
      </c>
      <c r="M97" s="18" cm="1">
        <f t="array" ref="M97">_xlfn.IFS(OR($G97="",$G97=0),0, AND(NOT(ISNUMBER($G97)),LOWER($G97)&lt;&gt;"dnf"),"Not a valid time",OR(LOWER($G97)="dnf",$G97&gt;ScoringTable!$N$161),1,RIGHT($E97,1)="B",_xlfn.XLOOKUP($G97,ScoringTable!$N$2:$N$161,ScoringTable!$L$2:$L$161,,1),TRUE,_xlfn.XLOOKUP($G97,ScoringTable!$T$2:$T$161,ScoringTable!$R$2:$R$161,,1))</f>
        <v>0</v>
      </c>
      <c r="Q97" s="117">
        <f t="shared" si="5"/>
        <v>0</v>
      </c>
      <c r="R97" s="118">
        <f t="shared" si="6"/>
        <v>0</v>
      </c>
      <c r="S97" s="119">
        <f t="shared" si="7"/>
        <v>0</v>
      </c>
      <c r="T97" s="118">
        <f t="shared" si="8"/>
        <v>0</v>
      </c>
      <c r="U97" s="120">
        <f t="shared" si="9"/>
        <v>0</v>
      </c>
    </row>
    <row r="98" spans="1:21" s="7" customFormat="1" ht="16.05" customHeight="1">
      <c r="A98" s="113" t="s">
        <v>95</v>
      </c>
      <c r="B98" s="114" t="str">
        <f>IF(ISNA(VLOOKUP($F98,Declarations!B$6:C$185,2,FALSE)),"",IF(VLOOKUP($F98,Declarations!B$6:C$185,2,FALSE)="","NOT DECLARED",IF(ISNA(_xlfn.TEXTBEFORE(VLOOKUP($F98,Declarations!B$6:C$185,2,FALSE)," ")),VLOOKUP($F98,Declarations!B$6:C$185,2,FALSE),_xlfn.TEXTBEFORE(VLOOKUP($F98,Declarations!B$6:C$185,2,FALSE)," "))))</f>
        <v/>
      </c>
      <c r="C98" s="114" t="str">
        <f>IF(ISNA(VLOOKUP($F98,Declarations!B$6:C$185,2,FALSE)),"",IF(VLOOKUP($F98,Declarations!B$6:C$185,2,FALSE)="","NOT DECLARED",IF(ISNA(_xlfn.TEXTAFTER(VLOOKUP($F98,Declarations!B$6:C$185,2,FALSE)," ")),VLOOKUP($F98,Declarations!B$6:C$185,2,FALSE),_xlfn.TEXTAFTER(VLOOKUP($F98,Declarations!B$6:C$185,2,FALSE)," "))))</f>
        <v/>
      </c>
      <c r="D98" s="114" t="str">
        <f>IF(ISNA(VLOOKUP($F98,Declarations!$B$6:$F$185,5,FALSE)),"",IF(VLOOKUP($F98,Declarations!$B$6:$F$185,5,FALSE)="","NOT DECLARED",VLOOKUP($F98,Declarations!$B$6:$F$185,5,FALSE)))</f>
        <v/>
      </c>
      <c r="E98" s="112" t="str">
        <f>IF(ISNA(VLOOKUP($F98,Declarations!$B$6:$D$185,3,FALSE)),"",IF(VLOOKUP($F98,Declarations!$B$6:$D$185,3,FALSE)="","NOT DECLARED",VLOOKUP($F98,Declarations!$B$6:$D$185,3,FALSE)&amp;LEFT(VLOOKUP($F98,Declarations!$B$6:$E$185,4,FALSE))))</f>
        <v/>
      </c>
      <c r="F98" s="58"/>
      <c r="G98" s="115">
        <v>0</v>
      </c>
      <c r="H98" s="281"/>
      <c r="I98" s="114" t="str">
        <f>IF(ISNA(VLOOKUP(F98,Declarations!B$6:C$185,2,FALSE)),"",IF(VLOOKUP(F98,Declarations!B$6:C$185,2,FALSE)="","NOT DECLARED",VLOOKUP(F98,Declarations!B$6:C$185,2,FALSE)))</f>
        <v/>
      </c>
      <c r="J98" s="116">
        <f>IF(LOWER(G98)="dnf",1,IF(U98&lt;ScoringTable!C$3,ScoringTable!I$2,VLOOKUP((1000-U98),ScoringTable!H$2:I$95,2)))</f>
        <v>0</v>
      </c>
      <c r="K98" s="112" t="str">
        <f>IF(OR(E98="",G98=""),"",IF(RIGHT(E98,1)="G",_xlfn.XLOOKUP(G98,Data!$D$11:$L$11,Data!$D$9:$L$9,"",1,1),_xlfn.XLOOKUP(G98,Data!$D$4:$L$4,Data!$D$2:$L$2,"",1,1)))</f>
        <v/>
      </c>
      <c r="L98" s="160" t="str" cm="1">
        <f t="array" ref="L98">IFERROR(_xlfn.IFNA(
                      _xlfn.IFS(
                      G98="", "",
                      G98=0, "",
                      AND(E98="U12B",G98&lt;=Data!$M$4), "U12 Boys record",
                      AND(E98="U12G",G98&lt;=Data!$M$11), "U12 Girls record"
                       ),""), "")</f>
        <v/>
      </c>
      <c r="M98" s="18" cm="1">
        <f t="array" ref="M98">_xlfn.IFS(OR($G98="",$G98=0),0, AND(NOT(ISNUMBER($G98)),LOWER($G98)&lt;&gt;"dnf"),"Not a valid time",OR(LOWER($G98)="dnf",$G98&gt;ScoringTable!$N$161),1,RIGHT($E98,1)="B",_xlfn.XLOOKUP($G98,ScoringTable!$N$2:$N$161,ScoringTable!$L$2:$L$161,,1),TRUE,_xlfn.XLOOKUP($G98,ScoringTable!$T$2:$T$161,ScoringTable!$R$2:$R$161,,1))</f>
        <v>0</v>
      </c>
      <c r="Q98" s="117">
        <f t="shared" si="5"/>
        <v>0</v>
      </c>
      <c r="R98" s="118">
        <f t="shared" si="6"/>
        <v>0</v>
      </c>
      <c r="S98" s="119">
        <f t="shared" si="7"/>
        <v>0</v>
      </c>
      <c r="T98" s="118">
        <f t="shared" si="8"/>
        <v>0</v>
      </c>
      <c r="U98" s="120">
        <f t="shared" si="9"/>
        <v>0</v>
      </c>
    </row>
    <row r="99" spans="1:21" s="7" customFormat="1" ht="16.05" customHeight="1">
      <c r="A99" s="113" t="s">
        <v>95</v>
      </c>
      <c r="B99" s="114" t="str">
        <f>IF(ISNA(VLOOKUP($F99,Declarations!B$6:C$185,2,FALSE)),"",IF(VLOOKUP($F99,Declarations!B$6:C$185,2,FALSE)="","NOT DECLARED",IF(ISNA(_xlfn.TEXTBEFORE(VLOOKUP($F99,Declarations!B$6:C$185,2,FALSE)," ")),VLOOKUP($F99,Declarations!B$6:C$185,2,FALSE),_xlfn.TEXTBEFORE(VLOOKUP($F99,Declarations!B$6:C$185,2,FALSE)," "))))</f>
        <v/>
      </c>
      <c r="C99" s="114" t="str">
        <f>IF(ISNA(VLOOKUP($F99,Declarations!B$6:C$185,2,FALSE)),"",IF(VLOOKUP($F99,Declarations!B$6:C$185,2,FALSE)="","NOT DECLARED",IF(ISNA(_xlfn.TEXTAFTER(VLOOKUP($F99,Declarations!B$6:C$185,2,FALSE)," ")),VLOOKUP($F99,Declarations!B$6:C$185,2,FALSE),_xlfn.TEXTAFTER(VLOOKUP($F99,Declarations!B$6:C$185,2,FALSE)," "))))</f>
        <v/>
      </c>
      <c r="D99" s="114" t="str">
        <f>IF(ISNA(VLOOKUP($F99,Declarations!$B$6:$F$185,5,FALSE)),"",IF(VLOOKUP($F99,Declarations!$B$6:$F$185,5,FALSE)="","NOT DECLARED",VLOOKUP($F99,Declarations!$B$6:$F$185,5,FALSE)))</f>
        <v/>
      </c>
      <c r="E99" s="112" t="str">
        <f>IF(ISNA(VLOOKUP($F99,Declarations!$B$6:$D$185,3,FALSE)),"",IF(VLOOKUP($F99,Declarations!$B$6:$D$185,3,FALSE)="","NOT DECLARED",VLOOKUP($F99,Declarations!$B$6:$D$185,3,FALSE)&amp;LEFT(VLOOKUP($F99,Declarations!$B$6:$E$185,4,FALSE))))</f>
        <v/>
      </c>
      <c r="F99" s="58"/>
      <c r="G99" s="115">
        <v>0</v>
      </c>
      <c r="H99" s="281"/>
      <c r="I99" s="114" t="str">
        <f>IF(ISNA(VLOOKUP(F99,Declarations!B$6:C$185,2,FALSE)),"",IF(VLOOKUP(F99,Declarations!B$6:C$185,2,FALSE)="","NOT DECLARED",VLOOKUP(F99,Declarations!B$6:C$185,2,FALSE)))</f>
        <v/>
      </c>
      <c r="J99" s="116">
        <f>IF(LOWER(G99)="dnf",1,IF(U99&lt;ScoringTable!C$3,ScoringTable!I$2,VLOOKUP((1000-U99),ScoringTable!H$2:I$95,2)))</f>
        <v>0</v>
      </c>
      <c r="K99" s="112" t="str">
        <f>IF(OR(E99="",G99=""),"",IF(RIGHT(E99,1)="G",_xlfn.XLOOKUP(G99,Data!$D$11:$L$11,Data!$D$9:$L$9,"",1,1),_xlfn.XLOOKUP(G99,Data!$D$4:$L$4,Data!$D$2:$L$2,"",1,1)))</f>
        <v/>
      </c>
      <c r="L99" s="160" t="str" cm="1">
        <f t="array" ref="L99">IFERROR(_xlfn.IFNA(
                      _xlfn.IFS(
                      G99="", "",
                      G99=0, "",
                      AND(E99="U12B",G99&lt;=Data!$M$4), "U12 Boys record",
                      AND(E99="U12G",G99&lt;=Data!$M$11), "U12 Girls record"
                       ),""), "")</f>
        <v/>
      </c>
      <c r="M99" s="18" cm="1">
        <f t="array" ref="M99">_xlfn.IFS(OR($G99="",$G99=0),0, AND(NOT(ISNUMBER($G99)),LOWER($G99)&lt;&gt;"dnf"),"Not a valid time",OR(LOWER($G99)="dnf",$G99&gt;ScoringTable!$N$161),1,RIGHT($E99,1)="B",_xlfn.XLOOKUP($G99,ScoringTable!$N$2:$N$161,ScoringTable!$L$2:$L$161,,1),TRUE,_xlfn.XLOOKUP($G99,ScoringTable!$T$2:$T$161,ScoringTable!$R$2:$R$161,,1))</f>
        <v>0</v>
      </c>
      <c r="Q99" s="117">
        <f t="shared" si="5"/>
        <v>0</v>
      </c>
      <c r="R99" s="118">
        <f t="shared" si="6"/>
        <v>0</v>
      </c>
      <c r="S99" s="119">
        <f t="shared" si="7"/>
        <v>0</v>
      </c>
      <c r="T99" s="118">
        <f t="shared" si="8"/>
        <v>0</v>
      </c>
      <c r="U99" s="120">
        <f t="shared" si="9"/>
        <v>0</v>
      </c>
    </row>
    <row r="100" spans="1:21" s="7" customFormat="1" ht="16.05" customHeight="1">
      <c r="A100" s="113" t="s">
        <v>95</v>
      </c>
      <c r="B100" s="114" t="str">
        <f>IF(ISNA(VLOOKUP($F100,Declarations!B$6:C$185,2,FALSE)),"",IF(VLOOKUP($F100,Declarations!B$6:C$185,2,FALSE)="","NOT DECLARED",IF(ISNA(_xlfn.TEXTBEFORE(VLOOKUP($F100,Declarations!B$6:C$185,2,FALSE)," ")),VLOOKUP($F100,Declarations!B$6:C$185,2,FALSE),_xlfn.TEXTBEFORE(VLOOKUP($F100,Declarations!B$6:C$185,2,FALSE)," "))))</f>
        <v/>
      </c>
      <c r="C100" s="114" t="str">
        <f>IF(ISNA(VLOOKUP($F100,Declarations!B$6:C$185,2,FALSE)),"",IF(VLOOKUP($F100,Declarations!B$6:C$185,2,FALSE)="","NOT DECLARED",IF(ISNA(_xlfn.TEXTAFTER(VLOOKUP($F100,Declarations!B$6:C$185,2,FALSE)," ")),VLOOKUP($F100,Declarations!B$6:C$185,2,FALSE),_xlfn.TEXTAFTER(VLOOKUP($F100,Declarations!B$6:C$185,2,FALSE)," "))))</f>
        <v/>
      </c>
      <c r="D100" s="114" t="str">
        <f>IF(ISNA(VLOOKUP($F100,Declarations!$B$6:$F$185,5,FALSE)),"",IF(VLOOKUP($F100,Declarations!$B$6:$F$185,5,FALSE)="","NOT DECLARED",VLOOKUP($F100,Declarations!$B$6:$F$185,5,FALSE)))</f>
        <v/>
      </c>
      <c r="E100" s="112" t="str">
        <f>IF(ISNA(VLOOKUP($F100,Declarations!$B$6:$D$185,3,FALSE)),"",IF(VLOOKUP($F100,Declarations!$B$6:$D$185,3,FALSE)="","NOT DECLARED",VLOOKUP($F100,Declarations!$B$6:$D$185,3,FALSE)&amp;LEFT(VLOOKUP($F100,Declarations!$B$6:$E$185,4,FALSE))))</f>
        <v/>
      </c>
      <c r="F100" s="58"/>
      <c r="G100" s="115">
        <v>0</v>
      </c>
      <c r="H100" s="281"/>
      <c r="I100" s="114" t="str">
        <f>IF(ISNA(VLOOKUP(F100,Declarations!B$6:C$185,2,FALSE)),"",IF(VLOOKUP(F100,Declarations!B$6:C$185,2,FALSE)="","NOT DECLARED",VLOOKUP(F100,Declarations!B$6:C$185,2,FALSE)))</f>
        <v/>
      </c>
      <c r="J100" s="116">
        <f>IF(LOWER(G100)="dnf",1,IF(U100&lt;ScoringTable!C$3,ScoringTable!I$2,VLOOKUP((1000-U100),ScoringTable!H$2:I$95,2)))</f>
        <v>0</v>
      </c>
      <c r="K100" s="112" t="str">
        <f>IF(OR(E100="",G100=""),"",IF(RIGHT(E100,1)="G",_xlfn.XLOOKUP(G100,Data!$D$11:$L$11,Data!$D$9:$L$9,"",1,1),_xlfn.XLOOKUP(G100,Data!$D$4:$L$4,Data!$D$2:$L$2,"",1,1)))</f>
        <v/>
      </c>
      <c r="L100" s="160" t="str" cm="1">
        <f t="array" ref="L100">IFERROR(_xlfn.IFNA(
                      _xlfn.IFS(
                      G100="", "",
                      G100=0, "",
                      AND(E100="U12B",G100&lt;=Data!$M$4), "U12 Boys record",
                      AND(E100="U12G",G100&lt;=Data!$M$11), "U12 Girls record"
                       ),""), "")</f>
        <v/>
      </c>
      <c r="M100" s="18" cm="1">
        <f t="array" ref="M100">_xlfn.IFS(OR($G100="",$G100=0),0, AND(NOT(ISNUMBER($G100)),LOWER($G100)&lt;&gt;"dnf"),"Not a valid time",OR(LOWER($G100)="dnf",$G100&gt;ScoringTable!$N$161),1,RIGHT($E100,1)="B",_xlfn.XLOOKUP($G100,ScoringTable!$N$2:$N$161,ScoringTable!$L$2:$L$161,,1),TRUE,_xlfn.XLOOKUP($G100,ScoringTable!$T$2:$T$161,ScoringTable!$R$2:$R$161,,1))</f>
        <v>0</v>
      </c>
      <c r="Q100" s="117">
        <f t="shared" si="5"/>
        <v>0</v>
      </c>
      <c r="R100" s="118">
        <f t="shared" si="6"/>
        <v>0</v>
      </c>
      <c r="S100" s="119">
        <f t="shared" si="7"/>
        <v>0</v>
      </c>
      <c r="T100" s="118">
        <f t="shared" si="8"/>
        <v>0</v>
      </c>
      <c r="U100" s="120">
        <f t="shared" si="9"/>
        <v>0</v>
      </c>
    </row>
    <row r="101" spans="1:21" s="7" customFormat="1" ht="16.05" customHeight="1">
      <c r="A101" s="113" t="s">
        <v>95</v>
      </c>
      <c r="B101" s="114" t="str">
        <f>IF(ISNA(VLOOKUP($F101,Declarations!B$6:C$185,2,FALSE)),"",IF(VLOOKUP($F101,Declarations!B$6:C$185,2,FALSE)="","NOT DECLARED",IF(ISNA(_xlfn.TEXTBEFORE(VLOOKUP($F101,Declarations!B$6:C$185,2,FALSE)," ")),VLOOKUP($F101,Declarations!B$6:C$185,2,FALSE),_xlfn.TEXTBEFORE(VLOOKUP($F101,Declarations!B$6:C$185,2,FALSE)," "))))</f>
        <v/>
      </c>
      <c r="C101" s="114" t="str">
        <f>IF(ISNA(VLOOKUP($F101,Declarations!B$6:C$185,2,FALSE)),"",IF(VLOOKUP($F101,Declarations!B$6:C$185,2,FALSE)="","NOT DECLARED",IF(ISNA(_xlfn.TEXTAFTER(VLOOKUP($F101,Declarations!B$6:C$185,2,FALSE)," ")),VLOOKUP($F101,Declarations!B$6:C$185,2,FALSE),_xlfn.TEXTAFTER(VLOOKUP($F101,Declarations!B$6:C$185,2,FALSE)," "))))</f>
        <v/>
      </c>
      <c r="D101" s="114" t="str">
        <f>IF(ISNA(VLOOKUP($F101,Declarations!$B$6:$F$185,5,FALSE)),"",IF(VLOOKUP($F101,Declarations!$B$6:$F$185,5,FALSE)="","NOT DECLARED",VLOOKUP($F101,Declarations!$B$6:$F$185,5,FALSE)))</f>
        <v/>
      </c>
      <c r="E101" s="112" t="str">
        <f>IF(ISNA(VLOOKUP($F101,Declarations!$B$6:$D$185,3,FALSE)),"",IF(VLOOKUP($F101,Declarations!$B$6:$D$185,3,FALSE)="","NOT DECLARED",VLOOKUP($F101,Declarations!$B$6:$D$185,3,FALSE)&amp;LEFT(VLOOKUP($F101,Declarations!$B$6:$E$185,4,FALSE))))</f>
        <v/>
      </c>
      <c r="F101" s="58"/>
      <c r="G101" s="115">
        <v>0</v>
      </c>
      <c r="H101" s="281"/>
      <c r="I101" s="114" t="str">
        <f>IF(ISNA(VLOOKUP(F101,Declarations!B$6:C$185,2,FALSE)),"",IF(VLOOKUP(F101,Declarations!B$6:C$185,2,FALSE)="","NOT DECLARED",VLOOKUP(F101,Declarations!B$6:C$185,2,FALSE)))</f>
        <v/>
      </c>
      <c r="J101" s="116">
        <f>IF(LOWER(G101)="dnf",1,IF(U101&lt;ScoringTable!C$3,ScoringTable!I$2,VLOOKUP((1000-U101),ScoringTable!H$2:I$95,2)))</f>
        <v>0</v>
      </c>
      <c r="K101" s="112" t="str">
        <f>IF(OR(E101="",G101=""),"",IF(RIGHT(E101,1)="G",_xlfn.XLOOKUP(G101,Data!$D$11:$L$11,Data!$D$9:$L$9,"",1,1),_xlfn.XLOOKUP(G101,Data!$D$4:$L$4,Data!$D$2:$L$2,"",1,1)))</f>
        <v/>
      </c>
      <c r="L101" s="160" t="str" cm="1">
        <f t="array" ref="L101">IFERROR(_xlfn.IFNA(
                      _xlfn.IFS(
                      G101="", "",
                      G101=0, "",
                      AND(E101="U12B",G101&lt;=Data!$M$4), "U12 Boys record",
                      AND(E101="U12G",G101&lt;=Data!$M$11), "U12 Girls record"
                       ),""), "")</f>
        <v/>
      </c>
      <c r="M101" s="18" cm="1">
        <f t="array" ref="M101">_xlfn.IFS(OR($G101="",$G101=0),0, AND(NOT(ISNUMBER($G101)),LOWER($G101)&lt;&gt;"dnf"),"Not a valid time",OR(LOWER($G101)="dnf",$G101&gt;ScoringTable!$N$161),1,RIGHT($E101,1)="B",_xlfn.XLOOKUP($G101,ScoringTable!$N$2:$N$161,ScoringTable!$L$2:$L$161,,1),TRUE,_xlfn.XLOOKUP($G101,ScoringTable!$T$2:$T$161,ScoringTable!$R$2:$R$161,,1))</f>
        <v>0</v>
      </c>
      <c r="Q101" s="117">
        <f t="shared" si="5"/>
        <v>0</v>
      </c>
      <c r="R101" s="118">
        <f t="shared" si="6"/>
        <v>0</v>
      </c>
      <c r="S101" s="119">
        <f t="shared" si="7"/>
        <v>0</v>
      </c>
      <c r="T101" s="118">
        <f t="shared" si="8"/>
        <v>0</v>
      </c>
      <c r="U101" s="120">
        <f t="shared" si="9"/>
        <v>0</v>
      </c>
    </row>
    <row r="102" spans="1:21" s="7" customFormat="1" ht="16.05" customHeight="1">
      <c r="A102" s="113" t="s">
        <v>95</v>
      </c>
      <c r="B102" s="114" t="str">
        <f>IF(ISNA(VLOOKUP($F102,Declarations!B$6:C$185,2,FALSE)),"",IF(VLOOKUP($F102,Declarations!B$6:C$185,2,FALSE)="","NOT DECLARED",IF(ISNA(_xlfn.TEXTBEFORE(VLOOKUP($F102,Declarations!B$6:C$185,2,FALSE)," ")),VLOOKUP($F102,Declarations!B$6:C$185,2,FALSE),_xlfn.TEXTBEFORE(VLOOKUP($F102,Declarations!B$6:C$185,2,FALSE)," "))))</f>
        <v/>
      </c>
      <c r="C102" s="114" t="str">
        <f>IF(ISNA(VLOOKUP($F102,Declarations!B$6:C$185,2,FALSE)),"",IF(VLOOKUP($F102,Declarations!B$6:C$185,2,FALSE)="","NOT DECLARED",IF(ISNA(_xlfn.TEXTAFTER(VLOOKUP($F102,Declarations!B$6:C$185,2,FALSE)," ")),VLOOKUP($F102,Declarations!B$6:C$185,2,FALSE),_xlfn.TEXTAFTER(VLOOKUP($F102,Declarations!B$6:C$185,2,FALSE)," "))))</f>
        <v/>
      </c>
      <c r="D102" s="114" t="str">
        <f>IF(ISNA(VLOOKUP($F102,Declarations!$B$6:$F$185,5,FALSE)),"",IF(VLOOKUP($F102,Declarations!$B$6:$F$185,5,FALSE)="","NOT DECLARED",VLOOKUP($F102,Declarations!$B$6:$F$185,5,FALSE)))</f>
        <v/>
      </c>
      <c r="E102" s="112" t="str">
        <f>IF(ISNA(VLOOKUP($F102,Declarations!$B$6:$D$185,3,FALSE)),"",IF(VLOOKUP($F102,Declarations!$B$6:$D$185,3,FALSE)="","NOT DECLARED",VLOOKUP($F102,Declarations!$B$6:$D$185,3,FALSE)&amp;LEFT(VLOOKUP($F102,Declarations!$B$6:$E$185,4,FALSE))))</f>
        <v/>
      </c>
      <c r="F102" s="58"/>
      <c r="G102" s="115">
        <v>0</v>
      </c>
      <c r="H102" s="281"/>
      <c r="I102" s="114" t="str">
        <f>IF(ISNA(VLOOKUP(F102,Declarations!B$6:C$185,2,FALSE)),"",IF(VLOOKUP(F102,Declarations!B$6:C$185,2,FALSE)="","NOT DECLARED",VLOOKUP(F102,Declarations!B$6:C$185,2,FALSE)))</f>
        <v/>
      </c>
      <c r="J102" s="116">
        <f>IF(LOWER(G102)="dnf",1,IF(U102&lt;ScoringTable!C$3,ScoringTable!I$2,VLOOKUP((1000-U102),ScoringTable!H$2:I$95,2)))</f>
        <v>0</v>
      </c>
      <c r="K102" s="112" t="str">
        <f>IF(OR(E102="",G102=""),"",IF(RIGHT(E102,1)="G",_xlfn.XLOOKUP(G102,Data!$D$11:$L$11,Data!$D$9:$L$9,"",1,1),_xlfn.XLOOKUP(G102,Data!$D$4:$L$4,Data!$D$2:$L$2,"",1,1)))</f>
        <v/>
      </c>
      <c r="L102" s="160" t="str" cm="1">
        <f t="array" ref="L102">IFERROR(_xlfn.IFNA(
                      _xlfn.IFS(
                      G102="", "",
                      G102=0, "",
                      AND(E102="U12B",G102&lt;=Data!$M$4), "U12 Boys record",
                      AND(E102="U12G",G102&lt;=Data!$M$11), "U12 Girls record"
                       ),""), "")</f>
        <v/>
      </c>
      <c r="M102" s="18" cm="1">
        <f t="array" ref="M102">_xlfn.IFS(OR($G102="",$G102=0),0, AND(NOT(ISNUMBER($G102)),LOWER($G102)&lt;&gt;"dnf"),"Not a valid time",OR(LOWER($G102)="dnf",$G102&gt;ScoringTable!$N$161),1,RIGHT($E102,1)="B",_xlfn.XLOOKUP($G102,ScoringTable!$N$2:$N$161,ScoringTable!$L$2:$L$161,,1),TRUE,_xlfn.XLOOKUP($G102,ScoringTable!$T$2:$T$161,ScoringTable!$R$2:$R$161,,1))</f>
        <v>0</v>
      </c>
      <c r="Q102" s="117">
        <f t="shared" si="5"/>
        <v>0</v>
      </c>
      <c r="R102" s="118">
        <f t="shared" si="6"/>
        <v>0</v>
      </c>
      <c r="S102" s="119">
        <f t="shared" si="7"/>
        <v>0</v>
      </c>
      <c r="T102" s="118">
        <f t="shared" si="8"/>
        <v>0</v>
      </c>
      <c r="U102" s="120">
        <f t="shared" si="9"/>
        <v>0</v>
      </c>
    </row>
    <row r="103" spans="1:21" s="7" customFormat="1" ht="16.05" customHeight="1">
      <c r="A103" s="113" t="s">
        <v>95</v>
      </c>
      <c r="B103" s="114" t="str">
        <f>IF(ISNA(VLOOKUP($F103,Declarations!B$6:C$185,2,FALSE)),"",IF(VLOOKUP($F103,Declarations!B$6:C$185,2,FALSE)="","NOT DECLARED",IF(ISNA(_xlfn.TEXTBEFORE(VLOOKUP($F103,Declarations!B$6:C$185,2,FALSE)," ")),VLOOKUP($F103,Declarations!B$6:C$185,2,FALSE),_xlfn.TEXTBEFORE(VLOOKUP($F103,Declarations!B$6:C$185,2,FALSE)," "))))</f>
        <v/>
      </c>
      <c r="C103" s="114" t="str">
        <f>IF(ISNA(VLOOKUP($F103,Declarations!B$6:C$185,2,FALSE)),"",IF(VLOOKUP($F103,Declarations!B$6:C$185,2,FALSE)="","NOT DECLARED",IF(ISNA(_xlfn.TEXTAFTER(VLOOKUP($F103,Declarations!B$6:C$185,2,FALSE)," ")),VLOOKUP($F103,Declarations!B$6:C$185,2,FALSE),_xlfn.TEXTAFTER(VLOOKUP($F103,Declarations!B$6:C$185,2,FALSE)," "))))</f>
        <v/>
      </c>
      <c r="D103" s="114" t="str">
        <f>IF(ISNA(VLOOKUP($F103,Declarations!$B$6:$F$185,5,FALSE)),"",IF(VLOOKUP($F103,Declarations!$B$6:$F$185,5,FALSE)="","NOT DECLARED",VLOOKUP($F103,Declarations!$B$6:$F$185,5,FALSE)))</f>
        <v/>
      </c>
      <c r="E103" s="112" t="str">
        <f>IF(ISNA(VLOOKUP($F103,Declarations!$B$6:$D$185,3,FALSE)),"",IF(VLOOKUP($F103,Declarations!$B$6:$D$185,3,FALSE)="","NOT DECLARED",VLOOKUP($F103,Declarations!$B$6:$D$185,3,FALSE)&amp;LEFT(VLOOKUP($F103,Declarations!$B$6:$E$185,4,FALSE))))</f>
        <v/>
      </c>
      <c r="F103" s="58"/>
      <c r="G103" s="115">
        <v>0</v>
      </c>
      <c r="H103" s="281"/>
      <c r="I103" s="114" t="str">
        <f>IF(ISNA(VLOOKUP(F103,Declarations!B$6:C$185,2,FALSE)),"",IF(VLOOKUP(F103,Declarations!B$6:C$185,2,FALSE)="","NOT DECLARED",VLOOKUP(F103,Declarations!B$6:C$185,2,FALSE)))</f>
        <v/>
      </c>
      <c r="J103" s="116">
        <f>IF(LOWER(G103)="dnf",1,IF(U103&lt;ScoringTable!C$3,ScoringTable!I$2,VLOOKUP((1000-U103),ScoringTable!H$2:I$95,2)))</f>
        <v>0</v>
      </c>
      <c r="K103" s="112" t="str">
        <f>IF(OR(E103="",G103=""),"",IF(RIGHT(E103,1)="G",_xlfn.XLOOKUP(G103,Data!$D$11:$L$11,Data!$D$9:$L$9,"",1,1),_xlfn.XLOOKUP(G103,Data!$D$4:$L$4,Data!$D$2:$L$2,"",1,1)))</f>
        <v/>
      </c>
      <c r="L103" s="160" t="str" cm="1">
        <f t="array" ref="L103">IFERROR(_xlfn.IFNA(
                      _xlfn.IFS(
                      G103="", "",
                      G103=0, "",
                      AND(E103="U12B",G103&lt;=Data!$M$4), "U12 Boys record",
                      AND(E103="U12G",G103&lt;=Data!$M$11), "U12 Girls record"
                       ),""), "")</f>
        <v/>
      </c>
      <c r="M103" s="18" cm="1">
        <f t="array" ref="M103">_xlfn.IFS(OR($G103="",$G103=0),0, AND(NOT(ISNUMBER($G103)),LOWER($G103)&lt;&gt;"dnf"),"Not a valid time",OR(LOWER($G103)="dnf",$G103&gt;ScoringTable!$N$161),1,RIGHT($E103,1)="B",_xlfn.XLOOKUP($G103,ScoringTable!$N$2:$N$161,ScoringTable!$L$2:$L$161,,1),TRUE,_xlfn.XLOOKUP($G103,ScoringTable!$T$2:$T$161,ScoringTable!$R$2:$R$161,,1))</f>
        <v>0</v>
      </c>
      <c r="Q103" s="117">
        <f t="shared" si="5"/>
        <v>0</v>
      </c>
      <c r="R103" s="118">
        <f t="shared" si="6"/>
        <v>0</v>
      </c>
      <c r="S103" s="119">
        <f t="shared" si="7"/>
        <v>0</v>
      </c>
      <c r="T103" s="118">
        <f t="shared" si="8"/>
        <v>0</v>
      </c>
      <c r="U103" s="120">
        <f t="shared" si="9"/>
        <v>0</v>
      </c>
    </row>
    <row r="104" spans="1:21" s="7" customFormat="1" ht="16.05" customHeight="1">
      <c r="A104" s="113" t="s">
        <v>95</v>
      </c>
      <c r="B104" s="114" t="str">
        <f>IF(ISNA(VLOOKUP($F104,Declarations!B$6:C$185,2,FALSE)),"",IF(VLOOKUP($F104,Declarations!B$6:C$185,2,FALSE)="","NOT DECLARED",IF(ISNA(_xlfn.TEXTBEFORE(VLOOKUP($F104,Declarations!B$6:C$185,2,FALSE)," ")),VLOOKUP($F104,Declarations!B$6:C$185,2,FALSE),_xlfn.TEXTBEFORE(VLOOKUP($F104,Declarations!B$6:C$185,2,FALSE)," "))))</f>
        <v/>
      </c>
      <c r="C104" s="114" t="str">
        <f>IF(ISNA(VLOOKUP($F104,Declarations!B$6:C$185,2,FALSE)),"",IF(VLOOKUP($F104,Declarations!B$6:C$185,2,FALSE)="","NOT DECLARED",IF(ISNA(_xlfn.TEXTAFTER(VLOOKUP($F104,Declarations!B$6:C$185,2,FALSE)," ")),VLOOKUP($F104,Declarations!B$6:C$185,2,FALSE),_xlfn.TEXTAFTER(VLOOKUP($F104,Declarations!B$6:C$185,2,FALSE)," "))))</f>
        <v/>
      </c>
      <c r="D104" s="114" t="str">
        <f>IF(ISNA(VLOOKUP($F104,Declarations!$B$6:$F$185,5,FALSE)),"",IF(VLOOKUP($F104,Declarations!$B$6:$F$185,5,FALSE)="","NOT DECLARED",VLOOKUP($F104,Declarations!$B$6:$F$185,5,FALSE)))</f>
        <v/>
      </c>
      <c r="E104" s="112" t="str">
        <f>IF(ISNA(VLOOKUP($F104,Declarations!$B$6:$D$185,3,FALSE)),"",IF(VLOOKUP($F104,Declarations!$B$6:$D$185,3,FALSE)="","NOT DECLARED",VLOOKUP($F104,Declarations!$B$6:$D$185,3,FALSE)&amp;LEFT(VLOOKUP($F104,Declarations!$B$6:$E$185,4,FALSE))))</f>
        <v/>
      </c>
      <c r="F104" s="58"/>
      <c r="G104" s="115">
        <v>0</v>
      </c>
      <c r="H104" s="281"/>
      <c r="I104" s="114" t="str">
        <f>IF(ISNA(VLOOKUP(F104,Declarations!B$6:C$185,2,FALSE)),"",IF(VLOOKUP(F104,Declarations!B$6:C$185,2,FALSE)="","NOT DECLARED",VLOOKUP(F104,Declarations!B$6:C$185,2,FALSE)))</f>
        <v/>
      </c>
      <c r="J104" s="116">
        <f>IF(LOWER(G104)="dnf",1,IF(U104&lt;ScoringTable!C$3,ScoringTable!I$2,VLOOKUP((1000-U104),ScoringTable!H$2:I$95,2)))</f>
        <v>0</v>
      </c>
      <c r="K104" s="112" t="str">
        <f>IF(OR(E104="",G104=""),"",IF(RIGHT(E104,1)="G",_xlfn.XLOOKUP(G104,Data!$D$11:$L$11,Data!$D$9:$L$9,"",1,1),_xlfn.XLOOKUP(G104,Data!$D$4:$L$4,Data!$D$2:$L$2,"",1,1)))</f>
        <v/>
      </c>
      <c r="L104" s="160" t="str" cm="1">
        <f t="array" ref="L104">IFERROR(_xlfn.IFNA(
                      _xlfn.IFS(
                      G104="", "",
                      G104=0, "",
                      AND(E104="U12B",G104&lt;=Data!$M$4), "U12 Boys record",
                      AND(E104="U12G",G104&lt;=Data!$M$11), "U12 Girls record"
                       ),""), "")</f>
        <v/>
      </c>
      <c r="M104" s="18" cm="1">
        <f t="array" ref="M104">_xlfn.IFS(OR($G104="",$G104=0),0, AND(NOT(ISNUMBER($G104)),LOWER($G104)&lt;&gt;"dnf"),"Not a valid time",OR(LOWER($G104)="dnf",$G104&gt;ScoringTable!$N$161),1,RIGHT($E104,1)="B",_xlfn.XLOOKUP($G104,ScoringTable!$N$2:$N$161,ScoringTable!$L$2:$L$161,,1),TRUE,_xlfn.XLOOKUP($G104,ScoringTable!$T$2:$T$161,ScoringTable!$R$2:$R$161,,1))</f>
        <v>0</v>
      </c>
      <c r="Q104" s="117">
        <f t="shared" si="5"/>
        <v>0</v>
      </c>
      <c r="R104" s="118">
        <f t="shared" si="6"/>
        <v>0</v>
      </c>
      <c r="S104" s="119">
        <f t="shared" si="7"/>
        <v>0</v>
      </c>
      <c r="T104" s="118">
        <f t="shared" si="8"/>
        <v>0</v>
      </c>
      <c r="U104" s="120">
        <f t="shared" si="9"/>
        <v>0</v>
      </c>
    </row>
    <row r="105" spans="1:21" s="7" customFormat="1" ht="16.05" customHeight="1">
      <c r="A105" s="113" t="s">
        <v>95</v>
      </c>
      <c r="B105" s="114" t="str">
        <f>IF(ISNA(VLOOKUP($F105,Declarations!B$6:C$185,2,FALSE)),"",IF(VLOOKUP($F105,Declarations!B$6:C$185,2,FALSE)="","NOT DECLARED",IF(ISNA(_xlfn.TEXTBEFORE(VLOOKUP($F105,Declarations!B$6:C$185,2,FALSE)," ")),VLOOKUP($F105,Declarations!B$6:C$185,2,FALSE),_xlfn.TEXTBEFORE(VLOOKUP($F105,Declarations!B$6:C$185,2,FALSE)," "))))</f>
        <v/>
      </c>
      <c r="C105" s="114" t="str">
        <f>IF(ISNA(VLOOKUP($F105,Declarations!B$6:C$185,2,FALSE)),"",IF(VLOOKUP($F105,Declarations!B$6:C$185,2,FALSE)="","NOT DECLARED",IF(ISNA(_xlfn.TEXTAFTER(VLOOKUP($F105,Declarations!B$6:C$185,2,FALSE)," ")),VLOOKUP($F105,Declarations!B$6:C$185,2,FALSE),_xlfn.TEXTAFTER(VLOOKUP($F105,Declarations!B$6:C$185,2,FALSE)," "))))</f>
        <v/>
      </c>
      <c r="D105" s="114" t="str">
        <f>IF(ISNA(VLOOKUP($F105,Declarations!$B$6:$F$185,5,FALSE)),"",IF(VLOOKUP($F105,Declarations!$B$6:$F$185,5,FALSE)="","NOT DECLARED",VLOOKUP($F105,Declarations!$B$6:$F$185,5,FALSE)))</f>
        <v/>
      </c>
      <c r="E105" s="112" t="str">
        <f>IF(ISNA(VLOOKUP($F105,Declarations!$B$6:$D$185,3,FALSE)),"",IF(VLOOKUP($F105,Declarations!$B$6:$D$185,3,FALSE)="","NOT DECLARED",VLOOKUP($F105,Declarations!$B$6:$D$185,3,FALSE)&amp;LEFT(VLOOKUP($F105,Declarations!$B$6:$E$185,4,FALSE))))</f>
        <v/>
      </c>
      <c r="F105" s="58"/>
      <c r="G105" s="115">
        <v>0</v>
      </c>
      <c r="H105" s="281"/>
      <c r="I105" s="114" t="str">
        <f>IF(ISNA(VLOOKUP(F105,Declarations!B$6:C$185,2,FALSE)),"",IF(VLOOKUP(F105,Declarations!B$6:C$185,2,FALSE)="","NOT DECLARED",VLOOKUP(F105,Declarations!B$6:C$185,2,FALSE)))</f>
        <v/>
      </c>
      <c r="J105" s="116">
        <f>IF(LOWER(G105)="dnf",1,IF(U105&lt;ScoringTable!C$3,ScoringTable!I$2,VLOOKUP((1000-U105),ScoringTable!H$2:I$95,2)))</f>
        <v>0</v>
      </c>
      <c r="K105" s="112" t="str">
        <f>IF(OR(E105="",G105=""),"",IF(RIGHT(E105,1)="G",_xlfn.XLOOKUP(G105,Data!$D$11:$L$11,Data!$D$9:$L$9,"",1,1),_xlfn.XLOOKUP(G105,Data!$D$4:$L$4,Data!$D$2:$L$2,"",1,1)))</f>
        <v/>
      </c>
      <c r="L105" s="160" t="str" cm="1">
        <f t="array" ref="L105">IFERROR(_xlfn.IFNA(
                      _xlfn.IFS(
                      G105="", "",
                      G105=0, "",
                      AND(E105="U12B",G105&lt;=Data!$M$4), "U12 Boys record",
                      AND(E105="U12G",G105&lt;=Data!$M$11), "U12 Girls record"
                       ),""), "")</f>
        <v/>
      </c>
      <c r="M105" s="18" cm="1">
        <f t="array" ref="M105">_xlfn.IFS(OR($G105="",$G105=0),0, AND(NOT(ISNUMBER($G105)),LOWER($G105)&lt;&gt;"dnf"),"Not a valid time",OR(LOWER($G105)="dnf",$G105&gt;ScoringTable!$N$161),1,RIGHT($E105,1)="B",_xlfn.XLOOKUP($G105,ScoringTable!$N$2:$N$161,ScoringTable!$L$2:$L$161,,1),TRUE,_xlfn.XLOOKUP($G105,ScoringTable!$T$2:$T$161,ScoringTable!$R$2:$R$161,,1))</f>
        <v>0</v>
      </c>
      <c r="Q105" s="117">
        <f t="shared" si="5"/>
        <v>0</v>
      </c>
      <c r="R105" s="118">
        <f t="shared" si="6"/>
        <v>0</v>
      </c>
      <c r="S105" s="119">
        <f t="shared" si="7"/>
        <v>0</v>
      </c>
      <c r="T105" s="118">
        <f t="shared" si="8"/>
        <v>0</v>
      </c>
      <c r="U105" s="120">
        <f t="shared" si="9"/>
        <v>0</v>
      </c>
    </row>
    <row r="106" spans="1:21" s="7" customFormat="1" ht="16.05" customHeight="1">
      <c r="A106" s="113" t="s">
        <v>95</v>
      </c>
      <c r="B106" s="114" t="str">
        <f>IF(ISNA(VLOOKUP($F106,Declarations!B$6:C$185,2,FALSE)),"",IF(VLOOKUP($F106,Declarations!B$6:C$185,2,FALSE)="","NOT DECLARED",IF(ISNA(_xlfn.TEXTBEFORE(VLOOKUP($F106,Declarations!B$6:C$185,2,FALSE)," ")),VLOOKUP($F106,Declarations!B$6:C$185,2,FALSE),_xlfn.TEXTBEFORE(VLOOKUP($F106,Declarations!B$6:C$185,2,FALSE)," "))))</f>
        <v/>
      </c>
      <c r="C106" s="114" t="str">
        <f>IF(ISNA(VLOOKUP($F106,Declarations!B$6:C$185,2,FALSE)),"",IF(VLOOKUP($F106,Declarations!B$6:C$185,2,FALSE)="","NOT DECLARED",IF(ISNA(_xlfn.TEXTAFTER(VLOOKUP($F106,Declarations!B$6:C$185,2,FALSE)," ")),VLOOKUP($F106,Declarations!B$6:C$185,2,FALSE),_xlfn.TEXTAFTER(VLOOKUP($F106,Declarations!B$6:C$185,2,FALSE)," "))))</f>
        <v/>
      </c>
      <c r="D106" s="114" t="str">
        <f>IF(ISNA(VLOOKUP($F106,Declarations!$B$6:$F$185,5,FALSE)),"",IF(VLOOKUP($F106,Declarations!$B$6:$F$185,5,FALSE)="","NOT DECLARED",VLOOKUP($F106,Declarations!$B$6:$F$185,5,FALSE)))</f>
        <v/>
      </c>
      <c r="E106" s="112" t="str">
        <f>IF(ISNA(VLOOKUP($F106,Declarations!$B$6:$D$185,3,FALSE)),"",IF(VLOOKUP($F106,Declarations!$B$6:$D$185,3,FALSE)="","NOT DECLARED",VLOOKUP($F106,Declarations!$B$6:$D$185,3,FALSE)&amp;LEFT(VLOOKUP($F106,Declarations!$B$6:$E$185,4,FALSE))))</f>
        <v/>
      </c>
      <c r="F106" s="58"/>
      <c r="G106" s="115">
        <v>0</v>
      </c>
      <c r="H106" s="281"/>
      <c r="I106" s="114" t="str">
        <f>IF(ISNA(VLOOKUP(F106,Declarations!B$6:C$185,2,FALSE)),"",IF(VLOOKUP(F106,Declarations!B$6:C$185,2,FALSE)="","NOT DECLARED",VLOOKUP(F106,Declarations!B$6:C$185,2,FALSE)))</f>
        <v/>
      </c>
      <c r="J106" s="116">
        <f>IF(LOWER(G106)="dnf",1,IF(U106&lt;ScoringTable!C$3,ScoringTable!I$2,VLOOKUP((1000-U106),ScoringTable!H$2:I$95,2)))</f>
        <v>0</v>
      </c>
      <c r="K106" s="112" t="str">
        <f>IF(OR(E106="",G106=""),"",IF(RIGHT(E106,1)="G",_xlfn.XLOOKUP(G106,Data!$D$11:$L$11,Data!$D$9:$L$9,"",1,1),_xlfn.XLOOKUP(G106,Data!$D$4:$L$4,Data!$D$2:$L$2,"",1,1)))</f>
        <v/>
      </c>
      <c r="L106" s="160" t="str" cm="1">
        <f t="array" ref="L106">IFERROR(_xlfn.IFNA(
                      _xlfn.IFS(
                      G106="", "",
                      G106=0, "",
                      AND(E106="U12B",G106&lt;=Data!$M$4), "U12 Boys record",
                      AND(E106="U12G",G106&lt;=Data!$M$11), "U12 Girls record"
                       ),""), "")</f>
        <v/>
      </c>
      <c r="M106" s="18" cm="1">
        <f t="array" ref="M106">_xlfn.IFS(OR($G106="",$G106=0),0, AND(NOT(ISNUMBER($G106)),LOWER($G106)&lt;&gt;"dnf"),"Not a valid time",OR(LOWER($G106)="dnf",$G106&gt;ScoringTable!$N$161),1,RIGHT($E106,1)="B",_xlfn.XLOOKUP($G106,ScoringTable!$N$2:$N$161,ScoringTable!$L$2:$L$161,,1),TRUE,_xlfn.XLOOKUP($G106,ScoringTable!$T$2:$T$161,ScoringTable!$R$2:$R$161,,1))</f>
        <v>0</v>
      </c>
      <c r="Q106" s="117">
        <f t="shared" si="5"/>
        <v>0</v>
      </c>
      <c r="R106" s="118">
        <f t="shared" si="6"/>
        <v>0</v>
      </c>
      <c r="S106" s="119">
        <f t="shared" si="7"/>
        <v>0</v>
      </c>
      <c r="T106" s="118">
        <f t="shared" si="8"/>
        <v>0</v>
      </c>
      <c r="U106" s="120">
        <f t="shared" si="9"/>
        <v>0</v>
      </c>
    </row>
    <row r="107" spans="1:21" s="7" customFormat="1" ht="16.05" customHeight="1">
      <c r="A107" s="113" t="s">
        <v>95</v>
      </c>
      <c r="B107" s="114" t="str">
        <f>IF(ISNA(VLOOKUP($F107,Declarations!B$6:C$185,2,FALSE)),"",IF(VLOOKUP($F107,Declarations!B$6:C$185,2,FALSE)="","NOT DECLARED",IF(ISNA(_xlfn.TEXTBEFORE(VLOOKUP($F107,Declarations!B$6:C$185,2,FALSE)," ")),VLOOKUP($F107,Declarations!B$6:C$185,2,FALSE),_xlfn.TEXTBEFORE(VLOOKUP($F107,Declarations!B$6:C$185,2,FALSE)," "))))</f>
        <v/>
      </c>
      <c r="C107" s="114" t="str">
        <f>IF(ISNA(VLOOKUP($F107,Declarations!B$6:C$185,2,FALSE)),"",IF(VLOOKUP($F107,Declarations!B$6:C$185,2,FALSE)="","NOT DECLARED",IF(ISNA(_xlfn.TEXTAFTER(VLOOKUP($F107,Declarations!B$6:C$185,2,FALSE)," ")),VLOOKUP($F107,Declarations!B$6:C$185,2,FALSE),_xlfn.TEXTAFTER(VLOOKUP($F107,Declarations!B$6:C$185,2,FALSE)," "))))</f>
        <v/>
      </c>
      <c r="D107" s="114" t="str">
        <f>IF(ISNA(VLOOKUP($F107,Declarations!$B$6:$F$185,5,FALSE)),"",IF(VLOOKUP($F107,Declarations!$B$6:$F$185,5,FALSE)="","NOT DECLARED",VLOOKUP($F107,Declarations!$B$6:$F$185,5,FALSE)))</f>
        <v/>
      </c>
      <c r="E107" s="112" t="str">
        <f>IF(ISNA(VLOOKUP($F107,Declarations!$B$6:$D$185,3,FALSE)),"",IF(VLOOKUP($F107,Declarations!$B$6:$D$185,3,FALSE)="","NOT DECLARED",VLOOKUP($F107,Declarations!$B$6:$D$185,3,FALSE)&amp;LEFT(VLOOKUP($F107,Declarations!$B$6:$E$185,4,FALSE))))</f>
        <v/>
      </c>
      <c r="F107" s="58"/>
      <c r="G107" s="115">
        <v>0</v>
      </c>
      <c r="H107" s="281"/>
      <c r="I107" s="114" t="str">
        <f>IF(ISNA(VLOOKUP(F107,Declarations!B$6:C$185,2,FALSE)),"",IF(VLOOKUP(F107,Declarations!B$6:C$185,2,FALSE)="","NOT DECLARED",VLOOKUP(F107,Declarations!B$6:C$185,2,FALSE)))</f>
        <v/>
      </c>
      <c r="J107" s="116">
        <f>IF(LOWER(G107)="dnf",1,IF(U107&lt;ScoringTable!C$3,ScoringTable!I$2,VLOOKUP((1000-U107),ScoringTable!H$2:I$95,2)))</f>
        <v>0</v>
      </c>
      <c r="K107" s="112" t="str">
        <f>IF(OR(E107="",G107=""),"",IF(RIGHT(E107,1)="G",_xlfn.XLOOKUP(G107,Data!$D$11:$L$11,Data!$D$9:$L$9,"",1,1),_xlfn.XLOOKUP(G107,Data!$D$4:$L$4,Data!$D$2:$L$2,"",1,1)))</f>
        <v/>
      </c>
      <c r="L107" s="160" t="str" cm="1">
        <f t="array" ref="L107">IFERROR(_xlfn.IFNA(
                      _xlfn.IFS(
                      G107="", "",
                      G107=0, "",
                      AND(E107="U12B",G107&lt;=Data!$M$4), "U12 Boys record",
                      AND(E107="U12G",G107&lt;=Data!$M$11), "U12 Girls record"
                       ),""), "")</f>
        <v/>
      </c>
      <c r="M107" s="18" cm="1">
        <f t="array" ref="M107">_xlfn.IFS(OR($G107="",$G107=0),0, AND(NOT(ISNUMBER($G107)),LOWER($G107)&lt;&gt;"dnf"),"Not a valid time",OR(LOWER($G107)="dnf",$G107&gt;ScoringTable!$N$161),1,RIGHT($E107,1)="B",_xlfn.XLOOKUP($G107,ScoringTable!$N$2:$N$161,ScoringTable!$L$2:$L$161,,1),TRUE,_xlfn.XLOOKUP($G107,ScoringTable!$T$2:$T$161,ScoringTable!$R$2:$R$161,,1))</f>
        <v>0</v>
      </c>
      <c r="Q107" s="117">
        <f t="shared" si="5"/>
        <v>0</v>
      </c>
      <c r="R107" s="118">
        <f t="shared" si="6"/>
        <v>0</v>
      </c>
      <c r="S107" s="119">
        <f t="shared" si="7"/>
        <v>0</v>
      </c>
      <c r="T107" s="118">
        <f t="shared" si="8"/>
        <v>0</v>
      </c>
      <c r="U107" s="120">
        <f t="shared" si="9"/>
        <v>0</v>
      </c>
    </row>
    <row r="108" spans="1:21" s="7" customFormat="1" ht="16.05" customHeight="1">
      <c r="A108" s="113" t="s">
        <v>95</v>
      </c>
      <c r="B108" s="114" t="str">
        <f>IF(ISNA(VLOOKUP($F108,Declarations!B$6:C$185,2,FALSE)),"",IF(VLOOKUP($F108,Declarations!B$6:C$185,2,FALSE)="","NOT DECLARED",IF(ISNA(_xlfn.TEXTBEFORE(VLOOKUP($F108,Declarations!B$6:C$185,2,FALSE)," ")),VLOOKUP($F108,Declarations!B$6:C$185,2,FALSE),_xlfn.TEXTBEFORE(VLOOKUP($F108,Declarations!B$6:C$185,2,FALSE)," "))))</f>
        <v/>
      </c>
      <c r="C108" s="114" t="str">
        <f>IF(ISNA(VLOOKUP($F108,Declarations!B$6:C$185,2,FALSE)),"",IF(VLOOKUP($F108,Declarations!B$6:C$185,2,FALSE)="","NOT DECLARED",IF(ISNA(_xlfn.TEXTAFTER(VLOOKUP($F108,Declarations!B$6:C$185,2,FALSE)," ")),VLOOKUP($F108,Declarations!B$6:C$185,2,FALSE),_xlfn.TEXTAFTER(VLOOKUP($F108,Declarations!B$6:C$185,2,FALSE)," "))))</f>
        <v/>
      </c>
      <c r="D108" s="114" t="str">
        <f>IF(ISNA(VLOOKUP($F108,Declarations!$B$6:$F$185,5,FALSE)),"",IF(VLOOKUP($F108,Declarations!$B$6:$F$185,5,FALSE)="","NOT DECLARED",VLOOKUP($F108,Declarations!$B$6:$F$185,5,FALSE)))</f>
        <v/>
      </c>
      <c r="E108" s="112" t="str">
        <f>IF(ISNA(VLOOKUP($F108,Declarations!$B$6:$D$185,3,FALSE)),"",IF(VLOOKUP($F108,Declarations!$B$6:$D$185,3,FALSE)="","NOT DECLARED",VLOOKUP($F108,Declarations!$B$6:$D$185,3,FALSE)&amp;LEFT(VLOOKUP($F108,Declarations!$B$6:$E$185,4,FALSE))))</f>
        <v/>
      </c>
      <c r="F108" s="58"/>
      <c r="G108" s="115">
        <v>0</v>
      </c>
      <c r="H108" s="281"/>
      <c r="I108" s="114" t="str">
        <f>IF(ISNA(VLOOKUP(F108,Declarations!B$6:C$185,2,FALSE)),"",IF(VLOOKUP(F108,Declarations!B$6:C$185,2,FALSE)="","NOT DECLARED",VLOOKUP(F108,Declarations!B$6:C$185,2,FALSE)))</f>
        <v/>
      </c>
      <c r="J108" s="116">
        <f>IF(LOWER(G108)="dnf",1,IF(U108&lt;ScoringTable!C$3,ScoringTable!I$2,VLOOKUP((1000-U108),ScoringTable!H$2:I$95,2)))</f>
        <v>0</v>
      </c>
      <c r="K108" s="112" t="str">
        <f>IF(OR(E108="",G108=""),"",IF(RIGHT(E108,1)="G",_xlfn.XLOOKUP(G108,Data!$D$11:$L$11,Data!$D$9:$L$9,"",1,1),_xlfn.XLOOKUP(G108,Data!$D$4:$L$4,Data!$D$2:$L$2,"",1,1)))</f>
        <v/>
      </c>
      <c r="L108" s="160" t="str" cm="1">
        <f t="array" ref="L108">IFERROR(_xlfn.IFNA(
                      _xlfn.IFS(
                      G108="", "",
                      G108=0, "",
                      AND(E108="U12B",G108&lt;=Data!$M$4), "U12 Boys record",
                      AND(E108="U12G",G108&lt;=Data!$M$11), "U12 Girls record"
                       ),""), "")</f>
        <v/>
      </c>
      <c r="M108" s="18" cm="1">
        <f t="array" ref="M108">_xlfn.IFS(OR($G108="",$G108=0),0, AND(NOT(ISNUMBER($G108)),LOWER($G108)&lt;&gt;"dnf"),"Not a valid time",OR(LOWER($G108)="dnf",$G108&gt;ScoringTable!$N$161),1,RIGHT($E108,1)="B",_xlfn.XLOOKUP($G108,ScoringTable!$N$2:$N$161,ScoringTable!$L$2:$L$161,,1),TRUE,_xlfn.XLOOKUP($G108,ScoringTable!$T$2:$T$161,ScoringTable!$R$2:$R$161,,1))</f>
        <v>0</v>
      </c>
      <c r="Q108" s="117">
        <f t="shared" si="5"/>
        <v>0</v>
      </c>
      <c r="R108" s="118">
        <f t="shared" si="6"/>
        <v>0</v>
      </c>
      <c r="S108" s="119">
        <f t="shared" si="7"/>
        <v>0</v>
      </c>
      <c r="T108" s="118">
        <f t="shared" si="8"/>
        <v>0</v>
      </c>
      <c r="U108" s="120">
        <f t="shared" si="9"/>
        <v>0</v>
      </c>
    </row>
    <row r="109" spans="1:21" s="7" customFormat="1" ht="16.05" customHeight="1">
      <c r="A109" s="113" t="s">
        <v>95</v>
      </c>
      <c r="B109" s="114" t="str">
        <f>IF(ISNA(VLOOKUP($F109,Declarations!B$6:C$185,2,FALSE)),"",IF(VLOOKUP($F109,Declarations!B$6:C$185,2,FALSE)="","NOT DECLARED",IF(ISNA(_xlfn.TEXTBEFORE(VLOOKUP($F109,Declarations!B$6:C$185,2,FALSE)," ")),VLOOKUP($F109,Declarations!B$6:C$185,2,FALSE),_xlfn.TEXTBEFORE(VLOOKUP($F109,Declarations!B$6:C$185,2,FALSE)," "))))</f>
        <v/>
      </c>
      <c r="C109" s="114" t="str">
        <f>IF(ISNA(VLOOKUP($F109,Declarations!B$6:C$185,2,FALSE)),"",IF(VLOOKUP($F109,Declarations!B$6:C$185,2,FALSE)="","NOT DECLARED",IF(ISNA(_xlfn.TEXTAFTER(VLOOKUP($F109,Declarations!B$6:C$185,2,FALSE)," ")),VLOOKUP($F109,Declarations!B$6:C$185,2,FALSE),_xlfn.TEXTAFTER(VLOOKUP($F109,Declarations!B$6:C$185,2,FALSE)," "))))</f>
        <v/>
      </c>
      <c r="D109" s="114" t="str">
        <f>IF(ISNA(VLOOKUP($F109,Declarations!$B$6:$F$185,5,FALSE)),"",IF(VLOOKUP($F109,Declarations!$B$6:$F$185,5,FALSE)="","NOT DECLARED",VLOOKUP($F109,Declarations!$B$6:$F$185,5,FALSE)))</f>
        <v/>
      </c>
      <c r="E109" s="112" t="str">
        <f>IF(ISNA(VLOOKUP($F109,Declarations!$B$6:$D$185,3,FALSE)),"",IF(VLOOKUP($F109,Declarations!$B$6:$D$185,3,FALSE)="","NOT DECLARED",VLOOKUP($F109,Declarations!$B$6:$D$185,3,FALSE)&amp;LEFT(VLOOKUP($F109,Declarations!$B$6:$E$185,4,FALSE))))</f>
        <v/>
      </c>
      <c r="F109" s="58"/>
      <c r="G109" s="115">
        <v>0</v>
      </c>
      <c r="H109" s="281"/>
      <c r="I109" s="114" t="str">
        <f>IF(ISNA(VLOOKUP(F109,Declarations!B$6:C$185,2,FALSE)),"",IF(VLOOKUP(F109,Declarations!B$6:C$185,2,FALSE)="","NOT DECLARED",VLOOKUP(F109,Declarations!B$6:C$185,2,FALSE)))</f>
        <v/>
      </c>
      <c r="J109" s="116">
        <f>IF(LOWER(G109)="dnf",1,IF(U109&lt;ScoringTable!C$3,ScoringTable!I$2,VLOOKUP((1000-U109),ScoringTable!H$2:I$95,2)))</f>
        <v>0</v>
      </c>
      <c r="K109" s="112" t="str">
        <f>IF(OR(E109="",G109=""),"",IF(RIGHT(E109,1)="G",_xlfn.XLOOKUP(G109,Data!$D$11:$L$11,Data!$D$9:$L$9,"",1,1),_xlfn.XLOOKUP(G109,Data!$D$4:$L$4,Data!$D$2:$L$2,"",1,1)))</f>
        <v/>
      </c>
      <c r="L109" s="160" t="str" cm="1">
        <f t="array" ref="L109">IFERROR(_xlfn.IFNA(
                      _xlfn.IFS(
                      G109="", "",
                      G109=0, "",
                      AND(E109="U12B",G109&lt;=Data!$M$4), "U12 Boys record",
                      AND(E109="U12G",G109&lt;=Data!$M$11), "U12 Girls record"
                       ),""), "")</f>
        <v/>
      </c>
      <c r="M109" s="18" cm="1">
        <f t="array" ref="M109">_xlfn.IFS(OR($G109="",$G109=0),0, AND(NOT(ISNUMBER($G109)),LOWER($G109)&lt;&gt;"dnf"),"Not a valid time",OR(LOWER($G109)="dnf",$G109&gt;ScoringTable!$N$161),1,RIGHT($E109,1)="B",_xlfn.XLOOKUP($G109,ScoringTable!$N$2:$N$161,ScoringTable!$L$2:$L$161,,1),TRUE,_xlfn.XLOOKUP($G109,ScoringTable!$T$2:$T$161,ScoringTable!$R$2:$R$161,,1))</f>
        <v>0</v>
      </c>
      <c r="Q109" s="117">
        <f t="shared" si="5"/>
        <v>0</v>
      </c>
      <c r="R109" s="118">
        <f t="shared" si="6"/>
        <v>0</v>
      </c>
      <c r="S109" s="119">
        <f t="shared" si="7"/>
        <v>0</v>
      </c>
      <c r="T109" s="118">
        <f t="shared" si="8"/>
        <v>0</v>
      </c>
      <c r="U109" s="120">
        <f t="shared" si="9"/>
        <v>0</v>
      </c>
    </row>
    <row r="110" spans="1:21" s="7" customFormat="1" ht="16.05" customHeight="1">
      <c r="A110" s="113" t="s">
        <v>95</v>
      </c>
      <c r="B110" s="114" t="str">
        <f>IF(ISNA(VLOOKUP($F110,Declarations!B$6:C$185,2,FALSE)),"",IF(VLOOKUP($F110,Declarations!B$6:C$185,2,FALSE)="","NOT DECLARED",IF(ISNA(_xlfn.TEXTBEFORE(VLOOKUP($F110,Declarations!B$6:C$185,2,FALSE)," ")),VLOOKUP($F110,Declarations!B$6:C$185,2,FALSE),_xlfn.TEXTBEFORE(VLOOKUP($F110,Declarations!B$6:C$185,2,FALSE)," "))))</f>
        <v/>
      </c>
      <c r="C110" s="114" t="str">
        <f>IF(ISNA(VLOOKUP($F110,Declarations!B$6:C$185,2,FALSE)),"",IF(VLOOKUP($F110,Declarations!B$6:C$185,2,FALSE)="","NOT DECLARED",IF(ISNA(_xlfn.TEXTAFTER(VLOOKUP($F110,Declarations!B$6:C$185,2,FALSE)," ")),VLOOKUP($F110,Declarations!B$6:C$185,2,FALSE),_xlfn.TEXTAFTER(VLOOKUP($F110,Declarations!B$6:C$185,2,FALSE)," "))))</f>
        <v/>
      </c>
      <c r="D110" s="114" t="str">
        <f>IF(ISNA(VLOOKUP($F110,Declarations!$B$6:$F$185,5,FALSE)),"",IF(VLOOKUP($F110,Declarations!$B$6:$F$185,5,FALSE)="","NOT DECLARED",VLOOKUP($F110,Declarations!$B$6:$F$185,5,FALSE)))</f>
        <v/>
      </c>
      <c r="E110" s="112" t="str">
        <f>IF(ISNA(VLOOKUP($F110,Declarations!$B$6:$D$185,3,FALSE)),"",IF(VLOOKUP($F110,Declarations!$B$6:$D$185,3,FALSE)="","NOT DECLARED",VLOOKUP($F110,Declarations!$B$6:$D$185,3,FALSE)&amp;LEFT(VLOOKUP($F110,Declarations!$B$6:$E$185,4,FALSE))))</f>
        <v/>
      </c>
      <c r="F110" s="58"/>
      <c r="G110" s="115">
        <v>0</v>
      </c>
      <c r="H110" s="281"/>
      <c r="I110" s="114" t="str">
        <f>IF(ISNA(VLOOKUP(F110,Declarations!B$6:C$185,2,FALSE)),"",IF(VLOOKUP(F110,Declarations!B$6:C$185,2,FALSE)="","NOT DECLARED",VLOOKUP(F110,Declarations!B$6:C$185,2,FALSE)))</f>
        <v/>
      </c>
      <c r="J110" s="116">
        <f>IF(LOWER(G110)="dnf",1,IF(U110&lt;ScoringTable!C$3,ScoringTable!I$2,VLOOKUP((1000-U110),ScoringTable!H$2:I$95,2)))</f>
        <v>0</v>
      </c>
      <c r="K110" s="112" t="str">
        <f>IF(OR(E110="",G110=""),"",IF(RIGHT(E110,1)="G",_xlfn.XLOOKUP(G110,Data!$D$11:$L$11,Data!$D$9:$L$9,"",1,1),_xlfn.XLOOKUP(G110,Data!$D$4:$L$4,Data!$D$2:$L$2,"",1,1)))</f>
        <v/>
      </c>
      <c r="L110" s="160" t="str" cm="1">
        <f t="array" ref="L110">IFERROR(_xlfn.IFNA(
                      _xlfn.IFS(
                      G110="", "",
                      G110=0, "",
                      AND(E110="U12B",G110&lt;=Data!$M$4), "U12 Boys record",
                      AND(E110="U12G",G110&lt;=Data!$M$11), "U12 Girls record"
                       ),""), "")</f>
        <v/>
      </c>
      <c r="M110" s="18" cm="1">
        <f t="array" ref="M110">_xlfn.IFS(OR($G110="",$G110=0),0, AND(NOT(ISNUMBER($G110)),LOWER($G110)&lt;&gt;"dnf"),"Not a valid time",OR(LOWER($G110)="dnf",$G110&gt;ScoringTable!$N$161),1,RIGHT($E110,1)="B",_xlfn.XLOOKUP($G110,ScoringTable!$N$2:$N$161,ScoringTable!$L$2:$L$161,,1),TRUE,_xlfn.XLOOKUP($G110,ScoringTable!$T$2:$T$161,ScoringTable!$R$2:$R$161,,1))</f>
        <v>0</v>
      </c>
      <c r="Q110" s="117">
        <f t="shared" si="5"/>
        <v>0</v>
      </c>
      <c r="R110" s="118">
        <f t="shared" si="6"/>
        <v>0</v>
      </c>
      <c r="S110" s="119">
        <f t="shared" si="7"/>
        <v>0</v>
      </c>
      <c r="T110" s="118">
        <f t="shared" si="8"/>
        <v>0</v>
      </c>
      <c r="U110" s="120">
        <f t="shared" si="9"/>
        <v>0</v>
      </c>
    </row>
    <row r="111" spans="1:21" s="7" customFormat="1" ht="16.05" customHeight="1">
      <c r="A111" s="113" t="s">
        <v>95</v>
      </c>
      <c r="B111" s="114" t="str">
        <f>IF(ISNA(VLOOKUP($F111,Declarations!B$6:C$185,2,FALSE)),"",IF(VLOOKUP($F111,Declarations!B$6:C$185,2,FALSE)="","NOT DECLARED",IF(ISNA(_xlfn.TEXTBEFORE(VLOOKUP($F111,Declarations!B$6:C$185,2,FALSE)," ")),VLOOKUP($F111,Declarations!B$6:C$185,2,FALSE),_xlfn.TEXTBEFORE(VLOOKUP($F111,Declarations!B$6:C$185,2,FALSE)," "))))</f>
        <v/>
      </c>
      <c r="C111" s="114" t="str">
        <f>IF(ISNA(VLOOKUP($F111,Declarations!B$6:C$185,2,FALSE)),"",IF(VLOOKUP($F111,Declarations!B$6:C$185,2,FALSE)="","NOT DECLARED",IF(ISNA(_xlfn.TEXTAFTER(VLOOKUP($F111,Declarations!B$6:C$185,2,FALSE)," ")),VLOOKUP($F111,Declarations!B$6:C$185,2,FALSE),_xlfn.TEXTAFTER(VLOOKUP($F111,Declarations!B$6:C$185,2,FALSE)," "))))</f>
        <v/>
      </c>
      <c r="D111" s="114" t="str">
        <f>IF(ISNA(VLOOKUP($F111,Declarations!$B$6:$F$185,5,FALSE)),"",IF(VLOOKUP($F111,Declarations!$B$6:$F$185,5,FALSE)="","NOT DECLARED",VLOOKUP($F111,Declarations!$B$6:$F$185,5,FALSE)))</f>
        <v/>
      </c>
      <c r="E111" s="112" t="str">
        <f>IF(ISNA(VLOOKUP($F111,Declarations!$B$6:$D$185,3,FALSE)),"",IF(VLOOKUP($F111,Declarations!$B$6:$D$185,3,FALSE)="","NOT DECLARED",VLOOKUP($F111,Declarations!$B$6:$D$185,3,FALSE)&amp;LEFT(VLOOKUP($F111,Declarations!$B$6:$E$185,4,FALSE))))</f>
        <v/>
      </c>
      <c r="F111" s="58"/>
      <c r="G111" s="115">
        <v>0</v>
      </c>
      <c r="H111" s="281"/>
      <c r="I111" s="114" t="str">
        <f>IF(ISNA(VLOOKUP(F111,Declarations!B$6:C$185,2,FALSE)),"",IF(VLOOKUP(F111,Declarations!B$6:C$185,2,FALSE)="","NOT DECLARED",VLOOKUP(F111,Declarations!B$6:C$185,2,FALSE)))</f>
        <v/>
      </c>
      <c r="J111" s="116">
        <f>IF(LOWER(G111)="dnf",1,IF(U111&lt;ScoringTable!C$3,ScoringTable!I$2,VLOOKUP((1000-U111),ScoringTable!H$2:I$95,2)))</f>
        <v>0</v>
      </c>
      <c r="K111" s="112" t="str">
        <f>IF(OR(E111="",G111=""),"",IF(RIGHT(E111,1)="G",_xlfn.XLOOKUP(G111,Data!$D$11:$L$11,Data!$D$9:$L$9,"",1,1),_xlfn.XLOOKUP(G111,Data!$D$4:$L$4,Data!$D$2:$L$2,"",1,1)))</f>
        <v/>
      </c>
      <c r="L111" s="160" t="str" cm="1">
        <f t="array" ref="L111">IFERROR(_xlfn.IFNA(
                      _xlfn.IFS(
                      G111="", "",
                      G111=0, "",
                      AND(E111="U12B",G111&lt;=Data!$M$4), "U12 Boys record",
                      AND(E111="U12G",G111&lt;=Data!$M$11), "U12 Girls record"
                       ),""), "")</f>
        <v/>
      </c>
      <c r="M111" s="18" cm="1">
        <f t="array" ref="M111">_xlfn.IFS(OR($G111="",$G111=0),0, AND(NOT(ISNUMBER($G111)),LOWER($G111)&lt;&gt;"dnf"),"Not a valid time",OR(LOWER($G111)="dnf",$G111&gt;ScoringTable!$N$161),1,RIGHT($E111,1)="B",_xlfn.XLOOKUP($G111,ScoringTable!$N$2:$N$161,ScoringTable!$L$2:$L$161,,1),TRUE,_xlfn.XLOOKUP($G111,ScoringTable!$T$2:$T$161,ScoringTable!$R$2:$R$161,,1))</f>
        <v>0</v>
      </c>
      <c r="Q111" s="117">
        <f t="shared" si="5"/>
        <v>0</v>
      </c>
      <c r="R111" s="118">
        <f t="shared" si="6"/>
        <v>0</v>
      </c>
      <c r="S111" s="119">
        <f t="shared" si="7"/>
        <v>0</v>
      </c>
      <c r="T111" s="118">
        <f t="shared" si="8"/>
        <v>0</v>
      </c>
      <c r="U111" s="120">
        <f t="shared" si="9"/>
        <v>0</v>
      </c>
    </row>
    <row r="112" spans="1:21" s="7" customFormat="1" ht="16.05" customHeight="1">
      <c r="A112" s="113" t="s">
        <v>95</v>
      </c>
      <c r="B112" s="114" t="str">
        <f>IF(ISNA(VLOOKUP($F112,Declarations!B$6:C$185,2,FALSE)),"",IF(VLOOKUP($F112,Declarations!B$6:C$185,2,FALSE)="","NOT DECLARED",IF(ISNA(_xlfn.TEXTBEFORE(VLOOKUP($F112,Declarations!B$6:C$185,2,FALSE)," ")),VLOOKUP($F112,Declarations!B$6:C$185,2,FALSE),_xlfn.TEXTBEFORE(VLOOKUP($F112,Declarations!B$6:C$185,2,FALSE)," "))))</f>
        <v/>
      </c>
      <c r="C112" s="114" t="str">
        <f>IF(ISNA(VLOOKUP($F112,Declarations!B$6:C$185,2,FALSE)),"",IF(VLOOKUP($F112,Declarations!B$6:C$185,2,FALSE)="","NOT DECLARED",IF(ISNA(_xlfn.TEXTAFTER(VLOOKUP($F112,Declarations!B$6:C$185,2,FALSE)," ")),VLOOKUP($F112,Declarations!B$6:C$185,2,FALSE),_xlfn.TEXTAFTER(VLOOKUP($F112,Declarations!B$6:C$185,2,FALSE)," "))))</f>
        <v/>
      </c>
      <c r="D112" s="114" t="str">
        <f>IF(ISNA(VLOOKUP($F112,Declarations!$B$6:$F$185,5,FALSE)),"",IF(VLOOKUP($F112,Declarations!$B$6:$F$185,5,FALSE)="","NOT DECLARED",VLOOKUP($F112,Declarations!$B$6:$F$185,5,FALSE)))</f>
        <v/>
      </c>
      <c r="E112" s="112" t="str">
        <f>IF(ISNA(VLOOKUP($F112,Declarations!$B$6:$D$185,3,FALSE)),"",IF(VLOOKUP($F112,Declarations!$B$6:$D$185,3,FALSE)="","NOT DECLARED",VLOOKUP($F112,Declarations!$B$6:$D$185,3,FALSE)&amp;LEFT(VLOOKUP($F112,Declarations!$B$6:$E$185,4,FALSE))))</f>
        <v/>
      </c>
      <c r="F112" s="58"/>
      <c r="G112" s="115">
        <v>0</v>
      </c>
      <c r="H112" s="281"/>
      <c r="I112" s="114" t="str">
        <f>IF(ISNA(VLOOKUP(F112,Declarations!B$6:C$185,2,FALSE)),"",IF(VLOOKUP(F112,Declarations!B$6:C$185,2,FALSE)="","NOT DECLARED",VLOOKUP(F112,Declarations!B$6:C$185,2,FALSE)))</f>
        <v/>
      </c>
      <c r="J112" s="116">
        <f>IF(LOWER(G112)="dnf",1,IF(U112&lt;ScoringTable!C$3,ScoringTable!I$2,VLOOKUP((1000-U112),ScoringTable!H$2:I$95,2)))</f>
        <v>0</v>
      </c>
      <c r="K112" s="112" t="str">
        <f>IF(OR(E112="",G112=""),"",IF(RIGHT(E112,1)="G",_xlfn.XLOOKUP(G112,Data!$D$11:$L$11,Data!$D$9:$L$9,"",1,1),_xlfn.XLOOKUP(G112,Data!$D$4:$L$4,Data!$D$2:$L$2,"",1,1)))</f>
        <v/>
      </c>
      <c r="L112" s="160" t="str" cm="1">
        <f t="array" ref="L112">IFERROR(_xlfn.IFNA(
                      _xlfn.IFS(
                      G112="", "",
                      G112=0, "",
                      AND(E112="U12B",G112&lt;=Data!$M$4), "U12 Boys record",
                      AND(E112="U12G",G112&lt;=Data!$M$11), "U12 Girls record"
                       ),""), "")</f>
        <v/>
      </c>
      <c r="M112" s="18" cm="1">
        <f t="array" ref="M112">_xlfn.IFS(OR($G112="",$G112=0),0, AND(NOT(ISNUMBER($G112)),LOWER($G112)&lt;&gt;"dnf"),"Not a valid time",OR(LOWER($G112)="dnf",$G112&gt;ScoringTable!$N$161),1,RIGHT($E112,1)="B",_xlfn.XLOOKUP($G112,ScoringTable!$N$2:$N$161,ScoringTable!$L$2:$L$161,,1),TRUE,_xlfn.XLOOKUP($G112,ScoringTable!$T$2:$T$161,ScoringTable!$R$2:$R$161,,1))</f>
        <v>0</v>
      </c>
      <c r="Q112" s="117">
        <f t="shared" si="5"/>
        <v>0</v>
      </c>
      <c r="R112" s="118">
        <f t="shared" si="6"/>
        <v>0</v>
      </c>
      <c r="S112" s="119">
        <f t="shared" si="7"/>
        <v>0</v>
      </c>
      <c r="T112" s="118">
        <f t="shared" si="8"/>
        <v>0</v>
      </c>
      <c r="U112" s="120">
        <f t="shared" si="9"/>
        <v>0</v>
      </c>
    </row>
    <row r="113" spans="1:21" s="7" customFormat="1" ht="16.05" customHeight="1">
      <c r="A113" s="113" t="s">
        <v>95</v>
      </c>
      <c r="B113" s="114" t="str">
        <f>IF(ISNA(VLOOKUP($F113,Declarations!B$6:C$185,2,FALSE)),"",IF(VLOOKUP($F113,Declarations!B$6:C$185,2,FALSE)="","NOT DECLARED",IF(ISNA(_xlfn.TEXTBEFORE(VLOOKUP($F113,Declarations!B$6:C$185,2,FALSE)," ")),VLOOKUP($F113,Declarations!B$6:C$185,2,FALSE),_xlfn.TEXTBEFORE(VLOOKUP($F113,Declarations!B$6:C$185,2,FALSE)," "))))</f>
        <v/>
      </c>
      <c r="C113" s="114" t="str">
        <f>IF(ISNA(VLOOKUP($F113,Declarations!B$6:C$185,2,FALSE)),"",IF(VLOOKUP($F113,Declarations!B$6:C$185,2,FALSE)="","NOT DECLARED",IF(ISNA(_xlfn.TEXTAFTER(VLOOKUP($F113,Declarations!B$6:C$185,2,FALSE)," ")),VLOOKUP($F113,Declarations!B$6:C$185,2,FALSE),_xlfn.TEXTAFTER(VLOOKUP($F113,Declarations!B$6:C$185,2,FALSE)," "))))</f>
        <v/>
      </c>
      <c r="D113" s="114" t="str">
        <f>IF(ISNA(VLOOKUP($F113,Declarations!$B$6:$F$185,5,FALSE)),"",IF(VLOOKUP($F113,Declarations!$B$6:$F$185,5,FALSE)="","NOT DECLARED",VLOOKUP($F113,Declarations!$B$6:$F$185,5,FALSE)))</f>
        <v/>
      </c>
      <c r="E113" s="112" t="str">
        <f>IF(ISNA(VLOOKUP($F113,Declarations!$B$6:$D$185,3,FALSE)),"",IF(VLOOKUP($F113,Declarations!$B$6:$D$185,3,FALSE)="","NOT DECLARED",VLOOKUP($F113,Declarations!$B$6:$D$185,3,FALSE)&amp;LEFT(VLOOKUP($F113,Declarations!$B$6:$E$185,4,FALSE))))</f>
        <v/>
      </c>
      <c r="F113" s="58"/>
      <c r="G113" s="115">
        <v>0</v>
      </c>
      <c r="H113" s="281"/>
      <c r="I113" s="114" t="str">
        <f>IF(ISNA(VLOOKUP(F113,Declarations!B$6:C$185,2,FALSE)),"",IF(VLOOKUP(F113,Declarations!B$6:C$185,2,FALSE)="","NOT DECLARED",VLOOKUP(F113,Declarations!B$6:C$185,2,FALSE)))</f>
        <v/>
      </c>
      <c r="J113" s="116">
        <f>IF(LOWER(G113)="dnf",1,IF(U113&lt;ScoringTable!C$3,ScoringTable!I$2,VLOOKUP((1000-U113),ScoringTable!H$2:I$95,2)))</f>
        <v>0</v>
      </c>
      <c r="K113" s="112" t="str">
        <f>IF(OR(E113="",G113=""),"",IF(RIGHT(E113,1)="G",_xlfn.XLOOKUP(G113,Data!$D$11:$L$11,Data!$D$9:$L$9,"",1,1),_xlfn.XLOOKUP(G113,Data!$D$4:$L$4,Data!$D$2:$L$2,"",1,1)))</f>
        <v/>
      </c>
      <c r="L113" s="160" t="str" cm="1">
        <f t="array" ref="L113">IFERROR(_xlfn.IFNA(
                      _xlfn.IFS(
                      G113="", "",
                      G113=0, "",
                      AND(E113="U12B",G113&lt;=Data!$M$4), "U12 Boys record",
                      AND(E113="U12G",G113&lt;=Data!$M$11), "U12 Girls record"
                       ),""), "")</f>
        <v/>
      </c>
      <c r="M113" s="18" cm="1">
        <f t="array" ref="M113">_xlfn.IFS(OR($G113="",$G113=0),0, AND(NOT(ISNUMBER($G113)),LOWER($G113)&lt;&gt;"dnf"),"Not a valid time",OR(LOWER($G113)="dnf",$G113&gt;ScoringTable!$N$161),1,RIGHT($E113,1)="B",_xlfn.XLOOKUP($G113,ScoringTable!$N$2:$N$161,ScoringTable!$L$2:$L$161,,1),TRUE,_xlfn.XLOOKUP($G113,ScoringTable!$T$2:$T$161,ScoringTable!$R$2:$R$161,,1))</f>
        <v>0</v>
      </c>
      <c r="Q113" s="117">
        <f t="shared" si="5"/>
        <v>0</v>
      </c>
      <c r="R113" s="118">
        <f t="shared" si="6"/>
        <v>0</v>
      </c>
      <c r="S113" s="119">
        <f t="shared" si="7"/>
        <v>0</v>
      </c>
      <c r="T113" s="118">
        <f t="shared" si="8"/>
        <v>0</v>
      </c>
      <c r="U113" s="120">
        <f t="shared" si="9"/>
        <v>0</v>
      </c>
    </row>
    <row r="114" spans="1:21" s="7" customFormat="1" ht="16.05" customHeight="1">
      <c r="A114" s="113" t="s">
        <v>95</v>
      </c>
      <c r="B114" s="114" t="str">
        <f>IF(ISNA(VLOOKUP($F114,Declarations!B$6:C$185,2,FALSE)),"",IF(VLOOKUP($F114,Declarations!B$6:C$185,2,FALSE)="","NOT DECLARED",IF(ISNA(_xlfn.TEXTBEFORE(VLOOKUP($F114,Declarations!B$6:C$185,2,FALSE)," ")),VLOOKUP($F114,Declarations!B$6:C$185,2,FALSE),_xlfn.TEXTBEFORE(VLOOKUP($F114,Declarations!B$6:C$185,2,FALSE)," "))))</f>
        <v/>
      </c>
      <c r="C114" s="114" t="str">
        <f>IF(ISNA(VLOOKUP($F114,Declarations!B$6:C$185,2,FALSE)),"",IF(VLOOKUP($F114,Declarations!B$6:C$185,2,FALSE)="","NOT DECLARED",IF(ISNA(_xlfn.TEXTAFTER(VLOOKUP($F114,Declarations!B$6:C$185,2,FALSE)," ")),VLOOKUP($F114,Declarations!B$6:C$185,2,FALSE),_xlfn.TEXTAFTER(VLOOKUP($F114,Declarations!B$6:C$185,2,FALSE)," "))))</f>
        <v/>
      </c>
      <c r="D114" s="114" t="str">
        <f>IF(ISNA(VLOOKUP($F114,Declarations!$B$6:$F$185,5,FALSE)),"",IF(VLOOKUP($F114,Declarations!$B$6:$F$185,5,FALSE)="","NOT DECLARED",VLOOKUP($F114,Declarations!$B$6:$F$185,5,FALSE)))</f>
        <v/>
      </c>
      <c r="E114" s="112" t="str">
        <f>IF(ISNA(VLOOKUP($F114,Declarations!$B$6:$D$185,3,FALSE)),"",IF(VLOOKUP($F114,Declarations!$B$6:$D$185,3,FALSE)="","NOT DECLARED",VLOOKUP($F114,Declarations!$B$6:$D$185,3,FALSE)&amp;LEFT(VLOOKUP($F114,Declarations!$B$6:$E$185,4,FALSE))))</f>
        <v/>
      </c>
      <c r="F114" s="58"/>
      <c r="G114" s="115">
        <v>0</v>
      </c>
      <c r="H114" s="281"/>
      <c r="I114" s="114" t="str">
        <f>IF(ISNA(VLOOKUP(F114,Declarations!B$6:C$185,2,FALSE)),"",IF(VLOOKUP(F114,Declarations!B$6:C$185,2,FALSE)="","NOT DECLARED",VLOOKUP(F114,Declarations!B$6:C$185,2,FALSE)))</f>
        <v/>
      </c>
      <c r="J114" s="116">
        <f>IF(LOWER(G114)="dnf",1,IF(U114&lt;ScoringTable!C$3,ScoringTable!I$2,VLOOKUP((1000-U114),ScoringTable!H$2:I$95,2)))</f>
        <v>0</v>
      </c>
      <c r="K114" s="112" t="str">
        <f>IF(OR(E114="",G114=""),"",IF(RIGHT(E114,1)="G",_xlfn.XLOOKUP(G114,Data!$D$11:$L$11,Data!$D$9:$L$9,"",1,1),_xlfn.XLOOKUP(G114,Data!$D$4:$L$4,Data!$D$2:$L$2,"",1,1)))</f>
        <v/>
      </c>
      <c r="L114" s="160" t="str" cm="1">
        <f t="array" ref="L114">IFERROR(_xlfn.IFNA(
                      _xlfn.IFS(
                      G114="", "",
                      G114=0, "",
                      AND(E114="U12B",G114&lt;=Data!$M$4), "U12 Boys record",
                      AND(E114="U12G",G114&lt;=Data!$M$11), "U12 Girls record"
                       ),""), "")</f>
        <v/>
      </c>
      <c r="M114" s="18" cm="1">
        <f t="array" ref="M114">_xlfn.IFS(OR($G114="",$G114=0),0, AND(NOT(ISNUMBER($G114)),LOWER($G114)&lt;&gt;"dnf"),"Not a valid time",OR(LOWER($G114)="dnf",$G114&gt;ScoringTable!$N$161),1,RIGHT($E114,1)="B",_xlfn.XLOOKUP($G114,ScoringTable!$N$2:$N$161,ScoringTable!$L$2:$L$161,,1),TRUE,_xlfn.XLOOKUP($G114,ScoringTable!$T$2:$T$161,ScoringTable!$R$2:$R$161,,1))</f>
        <v>0</v>
      </c>
      <c r="Q114" s="117">
        <f t="shared" si="5"/>
        <v>0</v>
      </c>
      <c r="R114" s="118">
        <f t="shared" si="6"/>
        <v>0</v>
      </c>
      <c r="S114" s="119">
        <f t="shared" si="7"/>
        <v>0</v>
      </c>
      <c r="T114" s="118">
        <f t="shared" si="8"/>
        <v>0</v>
      </c>
      <c r="U114" s="120">
        <f t="shared" si="9"/>
        <v>0</v>
      </c>
    </row>
    <row r="115" spans="1:21" s="7" customFormat="1" ht="16.05" customHeight="1">
      <c r="A115" s="113" t="s">
        <v>95</v>
      </c>
      <c r="B115" s="114" t="str">
        <f>IF(ISNA(VLOOKUP($F115,Declarations!B$6:C$185,2,FALSE)),"",IF(VLOOKUP($F115,Declarations!B$6:C$185,2,FALSE)="","NOT DECLARED",IF(ISNA(_xlfn.TEXTBEFORE(VLOOKUP($F115,Declarations!B$6:C$185,2,FALSE)," ")),VLOOKUP($F115,Declarations!B$6:C$185,2,FALSE),_xlfn.TEXTBEFORE(VLOOKUP($F115,Declarations!B$6:C$185,2,FALSE)," "))))</f>
        <v/>
      </c>
      <c r="C115" s="114" t="str">
        <f>IF(ISNA(VLOOKUP($F115,Declarations!B$6:C$185,2,FALSE)),"",IF(VLOOKUP($F115,Declarations!B$6:C$185,2,FALSE)="","NOT DECLARED",IF(ISNA(_xlfn.TEXTAFTER(VLOOKUP($F115,Declarations!B$6:C$185,2,FALSE)," ")),VLOOKUP($F115,Declarations!B$6:C$185,2,FALSE),_xlfn.TEXTAFTER(VLOOKUP($F115,Declarations!B$6:C$185,2,FALSE)," "))))</f>
        <v/>
      </c>
      <c r="D115" s="114" t="str">
        <f>IF(ISNA(VLOOKUP($F115,Declarations!$B$6:$F$185,5,FALSE)),"",IF(VLOOKUP($F115,Declarations!$B$6:$F$185,5,FALSE)="","NOT DECLARED",VLOOKUP($F115,Declarations!$B$6:$F$185,5,FALSE)))</f>
        <v/>
      </c>
      <c r="E115" s="112" t="str">
        <f>IF(ISNA(VLOOKUP($F115,Declarations!$B$6:$D$185,3,FALSE)),"",IF(VLOOKUP($F115,Declarations!$B$6:$D$185,3,FALSE)="","NOT DECLARED",VLOOKUP($F115,Declarations!$B$6:$D$185,3,FALSE)&amp;LEFT(VLOOKUP($F115,Declarations!$B$6:$E$185,4,FALSE))))</f>
        <v/>
      </c>
      <c r="F115" s="58"/>
      <c r="G115" s="115">
        <v>0</v>
      </c>
      <c r="H115" s="281"/>
      <c r="I115" s="114" t="str">
        <f>IF(ISNA(VLOOKUP(F115,Declarations!B$6:C$185,2,FALSE)),"",IF(VLOOKUP(F115,Declarations!B$6:C$185,2,FALSE)="","NOT DECLARED",VLOOKUP(F115,Declarations!B$6:C$185,2,FALSE)))</f>
        <v/>
      </c>
      <c r="J115" s="116">
        <f>IF(LOWER(G115)="dnf",1,IF(U115&lt;ScoringTable!C$3,ScoringTable!I$2,VLOOKUP((1000-U115),ScoringTable!H$2:I$95,2)))</f>
        <v>0</v>
      </c>
      <c r="K115" s="112" t="str">
        <f>IF(OR(E115="",G115=""),"",IF(RIGHT(E115,1)="G",_xlfn.XLOOKUP(G115,Data!$D$11:$L$11,Data!$D$9:$L$9,"",1,1),_xlfn.XLOOKUP(G115,Data!$D$4:$L$4,Data!$D$2:$L$2,"",1,1)))</f>
        <v/>
      </c>
      <c r="L115" s="160" t="str" cm="1">
        <f t="array" ref="L115">IFERROR(_xlfn.IFNA(
                      _xlfn.IFS(
                      G115="", "",
                      G115=0, "",
                      AND(E115="U12B",G115&lt;=Data!$M$4), "U12 Boys record",
                      AND(E115="U12G",G115&lt;=Data!$M$11), "U12 Girls record"
                       ),""), "")</f>
        <v/>
      </c>
      <c r="M115" s="18" cm="1">
        <f t="array" ref="M115">_xlfn.IFS(OR($G115="",$G115=0),0, AND(NOT(ISNUMBER($G115)),LOWER($G115)&lt;&gt;"dnf"),"Not a valid time",OR(LOWER($G115)="dnf",$G115&gt;ScoringTable!$N$161),1,RIGHT($E115,1)="B",_xlfn.XLOOKUP($G115,ScoringTable!$N$2:$N$161,ScoringTable!$L$2:$L$161,,1),TRUE,_xlfn.XLOOKUP($G115,ScoringTable!$T$2:$T$161,ScoringTable!$R$2:$R$161,,1))</f>
        <v>0</v>
      </c>
      <c r="Q115" s="117">
        <f t="shared" si="5"/>
        <v>0</v>
      </c>
      <c r="R115" s="118">
        <f t="shared" si="6"/>
        <v>0</v>
      </c>
      <c r="S115" s="119">
        <f t="shared" si="7"/>
        <v>0</v>
      </c>
      <c r="T115" s="118">
        <f t="shared" si="8"/>
        <v>0</v>
      </c>
      <c r="U115" s="120">
        <f t="shared" si="9"/>
        <v>0</v>
      </c>
    </row>
    <row r="116" spans="1:21" s="7" customFormat="1" ht="16.05" customHeight="1">
      <c r="A116" s="113" t="s">
        <v>95</v>
      </c>
      <c r="B116" s="114" t="str">
        <f>IF(ISNA(VLOOKUP($F116,Declarations!B$6:C$185,2,FALSE)),"",IF(VLOOKUP($F116,Declarations!B$6:C$185,2,FALSE)="","NOT DECLARED",IF(ISNA(_xlfn.TEXTBEFORE(VLOOKUP($F116,Declarations!B$6:C$185,2,FALSE)," ")),VLOOKUP($F116,Declarations!B$6:C$185,2,FALSE),_xlfn.TEXTBEFORE(VLOOKUP($F116,Declarations!B$6:C$185,2,FALSE)," "))))</f>
        <v/>
      </c>
      <c r="C116" s="114" t="str">
        <f>IF(ISNA(VLOOKUP($F116,Declarations!B$6:C$185,2,FALSE)),"",IF(VLOOKUP($F116,Declarations!B$6:C$185,2,FALSE)="","NOT DECLARED",IF(ISNA(_xlfn.TEXTAFTER(VLOOKUP($F116,Declarations!B$6:C$185,2,FALSE)," ")),VLOOKUP($F116,Declarations!B$6:C$185,2,FALSE),_xlfn.TEXTAFTER(VLOOKUP($F116,Declarations!B$6:C$185,2,FALSE)," "))))</f>
        <v/>
      </c>
      <c r="D116" s="114" t="str">
        <f>IF(ISNA(VLOOKUP($F116,Declarations!$B$6:$F$185,5,FALSE)),"",IF(VLOOKUP($F116,Declarations!$B$6:$F$185,5,FALSE)="","NOT DECLARED",VLOOKUP($F116,Declarations!$B$6:$F$185,5,FALSE)))</f>
        <v/>
      </c>
      <c r="E116" s="112" t="str">
        <f>IF(ISNA(VLOOKUP($F116,Declarations!$B$6:$D$185,3,FALSE)),"",IF(VLOOKUP($F116,Declarations!$B$6:$D$185,3,FALSE)="","NOT DECLARED",VLOOKUP($F116,Declarations!$B$6:$D$185,3,FALSE)&amp;LEFT(VLOOKUP($F116,Declarations!$B$6:$E$185,4,FALSE))))</f>
        <v/>
      </c>
      <c r="F116" s="58"/>
      <c r="G116" s="115">
        <v>0</v>
      </c>
      <c r="H116" s="281"/>
      <c r="I116" s="114" t="str">
        <f>IF(ISNA(VLOOKUP(F116,Declarations!B$6:C$185,2,FALSE)),"",IF(VLOOKUP(F116,Declarations!B$6:C$185,2,FALSE)="","NOT DECLARED",VLOOKUP(F116,Declarations!B$6:C$185,2,FALSE)))</f>
        <v/>
      </c>
      <c r="J116" s="116">
        <f>IF(LOWER(G116)="dnf",1,IF(U116&lt;ScoringTable!C$3,ScoringTable!I$2,VLOOKUP((1000-U116),ScoringTable!H$2:I$95,2)))</f>
        <v>0</v>
      </c>
      <c r="K116" s="112" t="str">
        <f>IF(OR(E116="",G116=""),"",IF(RIGHT(E116,1)="G",_xlfn.XLOOKUP(G116,Data!$D$11:$L$11,Data!$D$9:$L$9,"",1,1),_xlfn.XLOOKUP(G116,Data!$D$4:$L$4,Data!$D$2:$L$2,"",1,1)))</f>
        <v/>
      </c>
      <c r="L116" s="160" t="str" cm="1">
        <f t="array" ref="L116">IFERROR(_xlfn.IFNA(
                      _xlfn.IFS(
                      G116="", "",
                      G116=0, "",
                      AND(E116="U12B",G116&lt;=Data!$M$4), "U12 Boys record",
                      AND(E116="U12G",G116&lt;=Data!$M$11), "U12 Girls record"
                       ),""), "")</f>
        <v/>
      </c>
      <c r="M116" s="18" cm="1">
        <f t="array" ref="M116">_xlfn.IFS(OR($G116="",$G116=0),0, AND(NOT(ISNUMBER($G116)),LOWER($G116)&lt;&gt;"dnf"),"Not a valid time",OR(LOWER($G116)="dnf",$G116&gt;ScoringTable!$N$161),1,RIGHT($E116,1)="B",_xlfn.XLOOKUP($G116,ScoringTable!$N$2:$N$161,ScoringTable!$L$2:$L$161,,1),TRUE,_xlfn.XLOOKUP($G116,ScoringTable!$T$2:$T$161,ScoringTable!$R$2:$R$161,,1))</f>
        <v>0</v>
      </c>
      <c r="Q116" s="117">
        <f t="shared" si="5"/>
        <v>0</v>
      </c>
      <c r="R116" s="118">
        <f t="shared" si="6"/>
        <v>0</v>
      </c>
      <c r="S116" s="119">
        <f t="shared" si="7"/>
        <v>0</v>
      </c>
      <c r="T116" s="118">
        <f t="shared" si="8"/>
        <v>0</v>
      </c>
      <c r="U116" s="120">
        <f t="shared" si="9"/>
        <v>0</v>
      </c>
    </row>
    <row r="117" spans="1:21" s="7" customFormat="1" ht="16.05" customHeight="1">
      <c r="A117" s="113" t="s">
        <v>95</v>
      </c>
      <c r="B117" s="114" t="str">
        <f>IF(ISNA(VLOOKUP($F117,Declarations!B$6:C$185,2,FALSE)),"",IF(VLOOKUP($F117,Declarations!B$6:C$185,2,FALSE)="","NOT DECLARED",IF(ISNA(_xlfn.TEXTBEFORE(VLOOKUP($F117,Declarations!B$6:C$185,2,FALSE)," ")),VLOOKUP($F117,Declarations!B$6:C$185,2,FALSE),_xlfn.TEXTBEFORE(VLOOKUP($F117,Declarations!B$6:C$185,2,FALSE)," "))))</f>
        <v/>
      </c>
      <c r="C117" s="114" t="str">
        <f>IF(ISNA(VLOOKUP($F117,Declarations!B$6:C$185,2,FALSE)),"",IF(VLOOKUP($F117,Declarations!B$6:C$185,2,FALSE)="","NOT DECLARED",IF(ISNA(_xlfn.TEXTAFTER(VLOOKUP($F117,Declarations!B$6:C$185,2,FALSE)," ")),VLOOKUP($F117,Declarations!B$6:C$185,2,FALSE),_xlfn.TEXTAFTER(VLOOKUP($F117,Declarations!B$6:C$185,2,FALSE)," "))))</f>
        <v/>
      </c>
      <c r="D117" s="114" t="str">
        <f>IF(ISNA(VLOOKUP($F117,Declarations!$B$6:$F$185,5,FALSE)),"",IF(VLOOKUP($F117,Declarations!$B$6:$F$185,5,FALSE)="","NOT DECLARED",VLOOKUP($F117,Declarations!$B$6:$F$185,5,FALSE)))</f>
        <v/>
      </c>
      <c r="E117" s="112" t="str">
        <f>IF(ISNA(VLOOKUP($F117,Declarations!$B$6:$D$185,3,FALSE)),"",IF(VLOOKUP($F117,Declarations!$B$6:$D$185,3,FALSE)="","NOT DECLARED",VLOOKUP($F117,Declarations!$B$6:$D$185,3,FALSE)&amp;LEFT(VLOOKUP($F117,Declarations!$B$6:$E$185,4,FALSE))))</f>
        <v/>
      </c>
      <c r="F117" s="58"/>
      <c r="G117" s="115">
        <v>0</v>
      </c>
      <c r="H117" s="281"/>
      <c r="I117" s="114" t="str">
        <f>IF(ISNA(VLOOKUP(F117,Declarations!B$6:C$185,2,FALSE)),"",IF(VLOOKUP(F117,Declarations!B$6:C$185,2,FALSE)="","NOT DECLARED",VLOOKUP(F117,Declarations!B$6:C$185,2,FALSE)))</f>
        <v/>
      </c>
      <c r="J117" s="116">
        <f>IF(LOWER(G117)="dnf",1,IF(U117&lt;ScoringTable!C$3,ScoringTable!I$2,VLOOKUP((1000-U117),ScoringTable!H$2:I$95,2)))</f>
        <v>0</v>
      </c>
      <c r="K117" s="112" t="str">
        <f>IF(OR(E117="",G117=""),"",IF(RIGHT(E117,1)="G",_xlfn.XLOOKUP(G117,Data!$D$11:$L$11,Data!$D$9:$L$9,"",1,1),_xlfn.XLOOKUP(G117,Data!$D$4:$L$4,Data!$D$2:$L$2,"",1,1)))</f>
        <v/>
      </c>
      <c r="L117" s="160" t="str" cm="1">
        <f t="array" ref="L117">IFERROR(_xlfn.IFNA(
                      _xlfn.IFS(
                      G117="", "",
                      G117=0, "",
                      AND(E117="U12B",G117&lt;=Data!$M$4), "U12 Boys record",
                      AND(E117="U12G",G117&lt;=Data!$M$11), "U12 Girls record"
                       ),""), "")</f>
        <v/>
      </c>
      <c r="M117" s="18" cm="1">
        <f t="array" ref="M117">_xlfn.IFS(OR($G117="",$G117=0),0, AND(NOT(ISNUMBER($G117)),LOWER($G117)&lt;&gt;"dnf"),"Not a valid time",OR(LOWER($G117)="dnf",$G117&gt;ScoringTable!$N$161),1,RIGHT($E117,1)="B",_xlfn.XLOOKUP($G117,ScoringTable!$N$2:$N$161,ScoringTable!$L$2:$L$161,,1),TRUE,_xlfn.XLOOKUP($G117,ScoringTable!$T$2:$T$161,ScoringTable!$R$2:$R$161,,1))</f>
        <v>0</v>
      </c>
      <c r="Q117" s="117">
        <f t="shared" si="5"/>
        <v>0</v>
      </c>
      <c r="R117" s="118">
        <f t="shared" si="6"/>
        <v>0</v>
      </c>
      <c r="S117" s="119">
        <f t="shared" si="7"/>
        <v>0</v>
      </c>
      <c r="T117" s="118">
        <f t="shared" si="8"/>
        <v>0</v>
      </c>
      <c r="U117" s="120">
        <f t="shared" si="9"/>
        <v>0</v>
      </c>
    </row>
    <row r="118" spans="1:21" s="7" customFormat="1" ht="16.05" customHeight="1">
      <c r="A118" s="113" t="s">
        <v>95</v>
      </c>
      <c r="B118" s="114" t="str">
        <f>IF(ISNA(VLOOKUP($F118,Declarations!B$6:C$185,2,FALSE)),"",IF(VLOOKUP($F118,Declarations!B$6:C$185,2,FALSE)="","NOT DECLARED",IF(ISNA(_xlfn.TEXTBEFORE(VLOOKUP($F118,Declarations!B$6:C$185,2,FALSE)," ")),VLOOKUP($F118,Declarations!B$6:C$185,2,FALSE),_xlfn.TEXTBEFORE(VLOOKUP($F118,Declarations!B$6:C$185,2,FALSE)," "))))</f>
        <v/>
      </c>
      <c r="C118" s="114" t="str">
        <f>IF(ISNA(VLOOKUP($F118,Declarations!B$6:C$185,2,FALSE)),"",IF(VLOOKUP($F118,Declarations!B$6:C$185,2,FALSE)="","NOT DECLARED",IF(ISNA(_xlfn.TEXTAFTER(VLOOKUP($F118,Declarations!B$6:C$185,2,FALSE)," ")),VLOOKUP($F118,Declarations!B$6:C$185,2,FALSE),_xlfn.TEXTAFTER(VLOOKUP($F118,Declarations!B$6:C$185,2,FALSE)," "))))</f>
        <v/>
      </c>
      <c r="D118" s="114" t="str">
        <f>IF(ISNA(VLOOKUP($F118,Declarations!$B$6:$F$185,5,FALSE)),"",IF(VLOOKUP($F118,Declarations!$B$6:$F$185,5,FALSE)="","NOT DECLARED",VLOOKUP($F118,Declarations!$B$6:$F$185,5,FALSE)))</f>
        <v/>
      </c>
      <c r="E118" s="112" t="str">
        <f>IF(ISNA(VLOOKUP($F118,Declarations!$B$6:$D$185,3,FALSE)),"",IF(VLOOKUP($F118,Declarations!$B$6:$D$185,3,FALSE)="","NOT DECLARED",VLOOKUP($F118,Declarations!$B$6:$D$185,3,FALSE)&amp;LEFT(VLOOKUP($F118,Declarations!$B$6:$E$185,4,FALSE))))</f>
        <v/>
      </c>
      <c r="F118" s="58"/>
      <c r="G118" s="115">
        <v>0</v>
      </c>
      <c r="H118" s="281"/>
      <c r="I118" s="114" t="str">
        <f>IF(ISNA(VLOOKUP(F118,Declarations!B$6:C$185,2,FALSE)),"",IF(VLOOKUP(F118,Declarations!B$6:C$185,2,FALSE)="","NOT DECLARED",VLOOKUP(F118,Declarations!B$6:C$185,2,FALSE)))</f>
        <v/>
      </c>
      <c r="J118" s="116">
        <f>IF(LOWER(G118)="dnf",1,IF(U118&lt;ScoringTable!C$3,ScoringTable!I$2,VLOOKUP((1000-U118),ScoringTable!H$2:I$95,2)))</f>
        <v>0</v>
      </c>
      <c r="K118" s="112" t="str">
        <f>IF(OR(E118="",G118=""),"",IF(RIGHT(E118,1)="G",_xlfn.XLOOKUP(G118,Data!$D$11:$L$11,Data!$D$9:$L$9,"",1,1),_xlfn.XLOOKUP(G118,Data!$D$4:$L$4,Data!$D$2:$L$2,"",1,1)))</f>
        <v/>
      </c>
      <c r="L118" s="160" t="str" cm="1">
        <f t="array" ref="L118">IFERROR(_xlfn.IFNA(
                      _xlfn.IFS(
                      G118="", "",
                      G118=0, "",
                      AND(E118="U12B",G118&lt;=Data!$M$4), "U12 Boys record",
                      AND(E118="U12G",G118&lt;=Data!$M$11), "U12 Girls record"
                       ),""), "")</f>
        <v/>
      </c>
      <c r="M118" s="18" cm="1">
        <f t="array" ref="M118">_xlfn.IFS(OR($G118="",$G118=0),0, AND(NOT(ISNUMBER($G118)),LOWER($G118)&lt;&gt;"dnf"),"Not a valid time",OR(LOWER($G118)="dnf",$G118&gt;ScoringTable!$N$161),1,RIGHT($E118,1)="B",_xlfn.XLOOKUP($G118,ScoringTable!$N$2:$N$161,ScoringTable!$L$2:$L$161,,1),TRUE,_xlfn.XLOOKUP($G118,ScoringTable!$T$2:$T$161,ScoringTable!$R$2:$R$161,,1))</f>
        <v>0</v>
      </c>
      <c r="Q118" s="117">
        <f t="shared" si="5"/>
        <v>0</v>
      </c>
      <c r="R118" s="118">
        <f t="shared" si="6"/>
        <v>0</v>
      </c>
      <c r="S118" s="119">
        <f t="shared" si="7"/>
        <v>0</v>
      </c>
      <c r="T118" s="118">
        <f t="shared" si="8"/>
        <v>0</v>
      </c>
      <c r="U118" s="120">
        <f t="shared" si="9"/>
        <v>0</v>
      </c>
    </row>
    <row r="119" spans="1:21" s="7" customFormat="1" ht="16.05" customHeight="1">
      <c r="A119" s="113" t="s">
        <v>95</v>
      </c>
      <c r="B119" s="114" t="str">
        <f>IF(ISNA(VLOOKUP($F119,Declarations!B$6:C$185,2,FALSE)),"",IF(VLOOKUP($F119,Declarations!B$6:C$185,2,FALSE)="","NOT DECLARED",IF(ISNA(_xlfn.TEXTBEFORE(VLOOKUP($F119,Declarations!B$6:C$185,2,FALSE)," ")),VLOOKUP($F119,Declarations!B$6:C$185,2,FALSE),_xlfn.TEXTBEFORE(VLOOKUP($F119,Declarations!B$6:C$185,2,FALSE)," "))))</f>
        <v/>
      </c>
      <c r="C119" s="114" t="str">
        <f>IF(ISNA(VLOOKUP($F119,Declarations!B$6:C$185,2,FALSE)),"",IF(VLOOKUP($F119,Declarations!B$6:C$185,2,FALSE)="","NOT DECLARED",IF(ISNA(_xlfn.TEXTAFTER(VLOOKUP($F119,Declarations!B$6:C$185,2,FALSE)," ")),VLOOKUP($F119,Declarations!B$6:C$185,2,FALSE),_xlfn.TEXTAFTER(VLOOKUP($F119,Declarations!B$6:C$185,2,FALSE)," "))))</f>
        <v/>
      </c>
      <c r="D119" s="114" t="str">
        <f>IF(ISNA(VLOOKUP($F119,Declarations!$B$6:$F$185,5,FALSE)),"",IF(VLOOKUP($F119,Declarations!$B$6:$F$185,5,FALSE)="","NOT DECLARED",VLOOKUP($F119,Declarations!$B$6:$F$185,5,FALSE)))</f>
        <v/>
      </c>
      <c r="E119" s="112" t="str">
        <f>IF(ISNA(VLOOKUP($F119,Declarations!$B$6:$D$185,3,FALSE)),"",IF(VLOOKUP($F119,Declarations!$B$6:$D$185,3,FALSE)="","NOT DECLARED",VLOOKUP($F119,Declarations!$B$6:$D$185,3,FALSE)&amp;LEFT(VLOOKUP($F119,Declarations!$B$6:$E$185,4,FALSE))))</f>
        <v/>
      </c>
      <c r="F119" s="58"/>
      <c r="G119" s="115">
        <v>0</v>
      </c>
      <c r="H119" s="281"/>
      <c r="I119" s="114" t="str">
        <f>IF(ISNA(VLOOKUP(F119,Declarations!B$6:C$185,2,FALSE)),"",IF(VLOOKUP(F119,Declarations!B$6:C$185,2,FALSE)="","NOT DECLARED",VLOOKUP(F119,Declarations!B$6:C$185,2,FALSE)))</f>
        <v/>
      </c>
      <c r="J119" s="116">
        <f>IF(LOWER(G119)="dnf",1,IF(U119&lt;ScoringTable!C$3,ScoringTable!I$2,VLOOKUP((1000-U119),ScoringTable!H$2:I$95,2)))</f>
        <v>0</v>
      </c>
      <c r="K119" s="112" t="str">
        <f>IF(OR(E119="",G119=""),"",IF(RIGHT(E119,1)="G",_xlfn.XLOOKUP(G119,Data!$D$11:$L$11,Data!$D$9:$L$9,"",1,1),_xlfn.XLOOKUP(G119,Data!$D$4:$L$4,Data!$D$2:$L$2,"",1,1)))</f>
        <v/>
      </c>
      <c r="L119" s="160" t="str" cm="1">
        <f t="array" ref="L119">IFERROR(_xlfn.IFNA(
                      _xlfn.IFS(
                      G119="", "",
                      G119=0, "",
                      AND(E119="U12B",G119&lt;=Data!$M$4), "U12 Boys record",
                      AND(E119="U12G",G119&lt;=Data!$M$11), "U12 Girls record"
                       ),""), "")</f>
        <v/>
      </c>
      <c r="M119" s="18" cm="1">
        <f t="array" ref="M119">_xlfn.IFS(OR($G119="",$G119=0),0, AND(NOT(ISNUMBER($G119)),LOWER($G119)&lt;&gt;"dnf"),"Not a valid time",OR(LOWER($G119)="dnf",$G119&gt;ScoringTable!$N$161),1,RIGHT($E119,1)="B",_xlfn.XLOOKUP($G119,ScoringTable!$N$2:$N$161,ScoringTable!$L$2:$L$161,,1),TRUE,_xlfn.XLOOKUP($G119,ScoringTable!$T$2:$T$161,ScoringTable!$R$2:$R$161,,1))</f>
        <v>0</v>
      </c>
      <c r="Q119" s="117">
        <f t="shared" si="5"/>
        <v>0</v>
      </c>
      <c r="R119" s="118">
        <f t="shared" si="6"/>
        <v>0</v>
      </c>
      <c r="S119" s="119">
        <f t="shared" si="7"/>
        <v>0</v>
      </c>
      <c r="T119" s="118">
        <f t="shared" si="8"/>
        <v>0</v>
      </c>
      <c r="U119" s="120">
        <f t="shared" si="9"/>
        <v>0</v>
      </c>
    </row>
    <row r="120" spans="1:21" s="7" customFormat="1" ht="16.05" customHeight="1">
      <c r="A120" s="113" t="s">
        <v>95</v>
      </c>
      <c r="B120" s="114" t="str">
        <f>IF(ISNA(VLOOKUP($F120,Declarations!B$6:C$185,2,FALSE)),"",IF(VLOOKUP($F120,Declarations!B$6:C$185,2,FALSE)="","NOT DECLARED",IF(ISNA(_xlfn.TEXTBEFORE(VLOOKUP($F120,Declarations!B$6:C$185,2,FALSE)," ")),VLOOKUP($F120,Declarations!B$6:C$185,2,FALSE),_xlfn.TEXTBEFORE(VLOOKUP($F120,Declarations!B$6:C$185,2,FALSE)," "))))</f>
        <v/>
      </c>
      <c r="C120" s="114" t="str">
        <f>IF(ISNA(VLOOKUP($F120,Declarations!B$6:C$185,2,FALSE)),"",IF(VLOOKUP($F120,Declarations!B$6:C$185,2,FALSE)="","NOT DECLARED",IF(ISNA(_xlfn.TEXTAFTER(VLOOKUP($F120,Declarations!B$6:C$185,2,FALSE)," ")),VLOOKUP($F120,Declarations!B$6:C$185,2,FALSE),_xlfn.TEXTAFTER(VLOOKUP($F120,Declarations!B$6:C$185,2,FALSE)," "))))</f>
        <v/>
      </c>
      <c r="D120" s="114" t="str">
        <f>IF(ISNA(VLOOKUP($F120,Declarations!$B$6:$F$185,5,FALSE)),"",IF(VLOOKUP($F120,Declarations!$B$6:$F$185,5,FALSE)="","NOT DECLARED",VLOOKUP($F120,Declarations!$B$6:$F$185,5,FALSE)))</f>
        <v/>
      </c>
      <c r="E120" s="112" t="str">
        <f>IF(ISNA(VLOOKUP($F120,Declarations!$B$6:$D$185,3,FALSE)),"",IF(VLOOKUP($F120,Declarations!$B$6:$D$185,3,FALSE)="","NOT DECLARED",VLOOKUP($F120,Declarations!$B$6:$D$185,3,FALSE)&amp;LEFT(VLOOKUP($F120,Declarations!$B$6:$E$185,4,FALSE))))</f>
        <v/>
      </c>
      <c r="F120" s="58"/>
      <c r="G120" s="115">
        <v>0</v>
      </c>
      <c r="H120" s="281"/>
      <c r="I120" s="114" t="str">
        <f>IF(ISNA(VLOOKUP(F120,Declarations!B$6:C$185,2,FALSE)),"",IF(VLOOKUP(F120,Declarations!B$6:C$185,2,FALSE)="","NOT DECLARED",VLOOKUP(F120,Declarations!B$6:C$185,2,FALSE)))</f>
        <v/>
      </c>
      <c r="J120" s="116">
        <f>IF(LOWER(G120)="dnf",1,IF(U120&lt;ScoringTable!C$3,ScoringTable!I$2,VLOOKUP((1000-U120),ScoringTable!H$2:I$95,2)))</f>
        <v>0</v>
      </c>
      <c r="K120" s="112" t="str">
        <f>IF(OR(E120="",G120=""),"",IF(RIGHT(E120,1)="G",_xlfn.XLOOKUP(G120,Data!$D$11:$L$11,Data!$D$9:$L$9,"",1,1),_xlfn.XLOOKUP(G120,Data!$D$4:$L$4,Data!$D$2:$L$2,"",1,1)))</f>
        <v/>
      </c>
      <c r="L120" s="160" t="str" cm="1">
        <f t="array" ref="L120">IFERROR(_xlfn.IFNA(
                      _xlfn.IFS(
                      G120="", "",
                      G120=0, "",
                      AND(E120="U12B",G120&lt;=Data!$M$4), "U12 Boys record",
                      AND(E120="U12G",G120&lt;=Data!$M$11), "U12 Girls record"
                       ),""), "")</f>
        <v/>
      </c>
      <c r="M120" s="18" cm="1">
        <f t="array" ref="M120">_xlfn.IFS(OR($G120="",$G120=0),0, AND(NOT(ISNUMBER($G120)),LOWER($G120)&lt;&gt;"dnf"),"Not a valid time",OR(LOWER($G120)="dnf",$G120&gt;ScoringTable!$N$161),1,RIGHT($E120,1)="B",_xlfn.XLOOKUP($G120,ScoringTable!$N$2:$N$161,ScoringTable!$L$2:$L$161,,1),TRUE,_xlfn.XLOOKUP($G120,ScoringTable!$T$2:$T$161,ScoringTable!$R$2:$R$161,,1))</f>
        <v>0</v>
      </c>
      <c r="Q120" s="117">
        <f t="shared" si="5"/>
        <v>0</v>
      </c>
      <c r="R120" s="118">
        <f t="shared" si="6"/>
        <v>0</v>
      </c>
      <c r="S120" s="119">
        <f t="shared" si="7"/>
        <v>0</v>
      </c>
      <c r="T120" s="118">
        <f t="shared" si="8"/>
        <v>0</v>
      </c>
      <c r="U120" s="120">
        <f t="shared" si="9"/>
        <v>0</v>
      </c>
    </row>
    <row r="121" spans="1:21" s="7" customFormat="1" ht="16.05" customHeight="1">
      <c r="A121" s="113" t="s">
        <v>95</v>
      </c>
      <c r="B121" s="114" t="str">
        <f>IF(ISNA(VLOOKUP($F121,Declarations!B$6:C$185,2,FALSE)),"",IF(VLOOKUP($F121,Declarations!B$6:C$185,2,FALSE)="","NOT DECLARED",IF(ISNA(_xlfn.TEXTBEFORE(VLOOKUP($F121,Declarations!B$6:C$185,2,FALSE)," ")),VLOOKUP($F121,Declarations!B$6:C$185,2,FALSE),_xlfn.TEXTBEFORE(VLOOKUP($F121,Declarations!B$6:C$185,2,FALSE)," "))))</f>
        <v/>
      </c>
      <c r="C121" s="114" t="str">
        <f>IF(ISNA(VLOOKUP($F121,Declarations!B$6:C$185,2,FALSE)),"",IF(VLOOKUP($F121,Declarations!B$6:C$185,2,FALSE)="","NOT DECLARED",IF(ISNA(_xlfn.TEXTAFTER(VLOOKUP($F121,Declarations!B$6:C$185,2,FALSE)," ")),VLOOKUP($F121,Declarations!B$6:C$185,2,FALSE),_xlfn.TEXTAFTER(VLOOKUP($F121,Declarations!B$6:C$185,2,FALSE)," "))))</f>
        <v/>
      </c>
      <c r="D121" s="114" t="str">
        <f>IF(ISNA(VLOOKUP($F121,Declarations!$B$6:$F$185,5,FALSE)),"",IF(VLOOKUP($F121,Declarations!$B$6:$F$185,5,FALSE)="","NOT DECLARED",VLOOKUP($F121,Declarations!$B$6:$F$185,5,FALSE)))</f>
        <v/>
      </c>
      <c r="E121" s="112" t="str">
        <f>IF(ISNA(VLOOKUP($F121,Declarations!$B$6:$D$185,3,FALSE)),"",IF(VLOOKUP($F121,Declarations!$B$6:$D$185,3,FALSE)="","NOT DECLARED",VLOOKUP($F121,Declarations!$B$6:$D$185,3,FALSE)&amp;LEFT(VLOOKUP($F121,Declarations!$B$6:$E$185,4,FALSE))))</f>
        <v/>
      </c>
      <c r="F121" s="58"/>
      <c r="G121" s="115">
        <v>0</v>
      </c>
      <c r="H121" s="281"/>
      <c r="I121" s="114" t="str">
        <f>IF(ISNA(VLOOKUP(F121,Declarations!B$6:C$185,2,FALSE)),"",IF(VLOOKUP(F121,Declarations!B$6:C$185,2,FALSE)="","NOT DECLARED",VLOOKUP(F121,Declarations!B$6:C$185,2,FALSE)))</f>
        <v/>
      </c>
      <c r="J121" s="116">
        <f>IF(LOWER(G121)="dnf",1,IF(U121&lt;ScoringTable!C$3,ScoringTable!I$2,VLOOKUP((1000-U121),ScoringTable!H$2:I$95,2)))</f>
        <v>0</v>
      </c>
      <c r="K121" s="112" t="str">
        <f>IF(OR(E121="",G121=""),"",IF(RIGHT(E121,1)="G",_xlfn.XLOOKUP(G121,Data!$D$11:$L$11,Data!$D$9:$L$9,"",1,1),_xlfn.XLOOKUP(G121,Data!$D$4:$L$4,Data!$D$2:$L$2,"",1,1)))</f>
        <v/>
      </c>
      <c r="L121" s="160" t="str" cm="1">
        <f t="array" ref="L121">IFERROR(_xlfn.IFNA(
                      _xlfn.IFS(
                      G121="", "",
                      G121=0, "",
                      AND(E121="U12B",G121&lt;=Data!$M$4), "U12 Boys record",
                      AND(E121="U12G",G121&lt;=Data!$M$11), "U12 Girls record"
                       ),""), "")</f>
        <v/>
      </c>
      <c r="M121" s="18" cm="1">
        <f t="array" ref="M121">_xlfn.IFS(OR($G121="",$G121=0),0, AND(NOT(ISNUMBER($G121)),LOWER($G121)&lt;&gt;"dnf"),"Not a valid time",OR(LOWER($G121)="dnf",$G121&gt;ScoringTable!$N$161),1,RIGHT($E121,1)="B",_xlfn.XLOOKUP($G121,ScoringTable!$N$2:$N$161,ScoringTable!$L$2:$L$161,,1),TRUE,_xlfn.XLOOKUP($G121,ScoringTable!$T$2:$T$161,ScoringTable!$R$2:$R$161,,1))</f>
        <v>0</v>
      </c>
      <c r="Q121" s="117">
        <f t="shared" si="5"/>
        <v>0</v>
      </c>
      <c r="R121" s="118">
        <f t="shared" si="6"/>
        <v>0</v>
      </c>
      <c r="S121" s="119">
        <f t="shared" si="7"/>
        <v>0</v>
      </c>
      <c r="T121" s="118">
        <f t="shared" si="8"/>
        <v>0</v>
      </c>
      <c r="U121" s="120">
        <f t="shared" si="9"/>
        <v>0</v>
      </c>
    </row>
    <row r="122" spans="1:21" s="7" customFormat="1" ht="16.05" customHeight="1">
      <c r="A122" s="113" t="s">
        <v>95</v>
      </c>
      <c r="B122" s="114" t="str">
        <f>IF(ISNA(VLOOKUP($F122,Declarations!B$6:C$185,2,FALSE)),"",IF(VLOOKUP($F122,Declarations!B$6:C$185,2,FALSE)="","NOT DECLARED",IF(ISNA(_xlfn.TEXTBEFORE(VLOOKUP($F122,Declarations!B$6:C$185,2,FALSE)," ")),VLOOKUP($F122,Declarations!B$6:C$185,2,FALSE),_xlfn.TEXTBEFORE(VLOOKUP($F122,Declarations!B$6:C$185,2,FALSE)," "))))</f>
        <v/>
      </c>
      <c r="C122" s="114" t="str">
        <f>IF(ISNA(VLOOKUP($F122,Declarations!B$6:C$185,2,FALSE)),"",IF(VLOOKUP($F122,Declarations!B$6:C$185,2,FALSE)="","NOT DECLARED",IF(ISNA(_xlfn.TEXTAFTER(VLOOKUP($F122,Declarations!B$6:C$185,2,FALSE)," ")),VLOOKUP($F122,Declarations!B$6:C$185,2,FALSE),_xlfn.TEXTAFTER(VLOOKUP($F122,Declarations!B$6:C$185,2,FALSE)," "))))</f>
        <v/>
      </c>
      <c r="D122" s="114" t="str">
        <f>IF(ISNA(VLOOKUP($F122,Declarations!$B$6:$F$185,5,FALSE)),"",IF(VLOOKUP($F122,Declarations!$B$6:$F$185,5,FALSE)="","NOT DECLARED",VLOOKUP($F122,Declarations!$B$6:$F$185,5,FALSE)))</f>
        <v/>
      </c>
      <c r="E122" s="112" t="str">
        <f>IF(ISNA(VLOOKUP($F122,Declarations!$B$6:$D$185,3,FALSE)),"",IF(VLOOKUP($F122,Declarations!$B$6:$D$185,3,FALSE)="","NOT DECLARED",VLOOKUP($F122,Declarations!$B$6:$D$185,3,FALSE)&amp;LEFT(VLOOKUP($F122,Declarations!$B$6:$E$185,4,FALSE))))</f>
        <v/>
      </c>
      <c r="F122" s="58"/>
      <c r="G122" s="115">
        <v>0</v>
      </c>
      <c r="H122" s="281"/>
      <c r="I122" s="114" t="str">
        <f>IF(ISNA(VLOOKUP(F122,Declarations!B$6:C$185,2,FALSE)),"",IF(VLOOKUP(F122,Declarations!B$6:C$185,2,FALSE)="","NOT DECLARED",VLOOKUP(F122,Declarations!B$6:C$185,2,FALSE)))</f>
        <v/>
      </c>
      <c r="J122" s="116">
        <f>IF(LOWER(G122)="dnf",1,IF(U122&lt;ScoringTable!C$3,ScoringTable!I$2,VLOOKUP((1000-U122),ScoringTable!H$2:I$95,2)))</f>
        <v>0</v>
      </c>
      <c r="K122" s="112" t="str">
        <f>IF(OR(E122="",G122=""),"",IF(RIGHT(E122,1)="G",_xlfn.XLOOKUP(G122,Data!$D$11:$L$11,Data!$D$9:$L$9,"",1,1),_xlfn.XLOOKUP(G122,Data!$D$4:$L$4,Data!$D$2:$L$2,"",1,1)))</f>
        <v/>
      </c>
      <c r="L122" s="160" t="str" cm="1">
        <f t="array" ref="L122">IFERROR(_xlfn.IFNA(
                      _xlfn.IFS(
                      G122="", "",
                      G122=0, "",
                      AND(E122="U12B",G122&lt;=Data!$M$4), "U12 Boys record",
                      AND(E122="U12G",G122&lt;=Data!$M$11), "U12 Girls record"
                       ),""), "")</f>
        <v/>
      </c>
      <c r="M122" s="18" cm="1">
        <f t="array" ref="M122">_xlfn.IFS(OR($G122="",$G122=0),0, AND(NOT(ISNUMBER($G122)),LOWER($G122)&lt;&gt;"dnf"),"Not a valid time",OR(LOWER($G122)="dnf",$G122&gt;ScoringTable!$N$161),1,RIGHT($E122,1)="B",_xlfn.XLOOKUP($G122,ScoringTable!$N$2:$N$161,ScoringTable!$L$2:$L$161,,1),TRUE,_xlfn.XLOOKUP($G122,ScoringTable!$T$2:$T$161,ScoringTable!$R$2:$R$161,,1))</f>
        <v>0</v>
      </c>
      <c r="Q122" s="117">
        <f t="shared" si="5"/>
        <v>0</v>
      </c>
      <c r="R122" s="118">
        <f t="shared" si="6"/>
        <v>0</v>
      </c>
      <c r="S122" s="119">
        <f t="shared" si="7"/>
        <v>0</v>
      </c>
      <c r="T122" s="118">
        <f t="shared" si="8"/>
        <v>0</v>
      </c>
      <c r="U122" s="120">
        <f t="shared" si="9"/>
        <v>0</v>
      </c>
    </row>
    <row r="123" spans="1:21" s="7" customFormat="1" ht="16.05" customHeight="1">
      <c r="A123" s="113" t="s">
        <v>95</v>
      </c>
      <c r="B123" s="114" t="str">
        <f>IF(ISNA(VLOOKUP($F123,Declarations!B$6:C$185,2,FALSE)),"",IF(VLOOKUP($F123,Declarations!B$6:C$185,2,FALSE)="","NOT DECLARED",IF(ISNA(_xlfn.TEXTBEFORE(VLOOKUP($F123,Declarations!B$6:C$185,2,FALSE)," ")),VLOOKUP($F123,Declarations!B$6:C$185,2,FALSE),_xlfn.TEXTBEFORE(VLOOKUP($F123,Declarations!B$6:C$185,2,FALSE)," "))))</f>
        <v/>
      </c>
      <c r="C123" s="114" t="str">
        <f>IF(ISNA(VLOOKUP($F123,Declarations!B$6:C$185,2,FALSE)),"",IF(VLOOKUP($F123,Declarations!B$6:C$185,2,FALSE)="","NOT DECLARED",IF(ISNA(_xlfn.TEXTAFTER(VLOOKUP($F123,Declarations!B$6:C$185,2,FALSE)," ")),VLOOKUP($F123,Declarations!B$6:C$185,2,FALSE),_xlfn.TEXTAFTER(VLOOKUP($F123,Declarations!B$6:C$185,2,FALSE)," "))))</f>
        <v/>
      </c>
      <c r="D123" s="114" t="str">
        <f>IF(ISNA(VLOOKUP($F123,Declarations!$B$6:$F$185,5,FALSE)),"",IF(VLOOKUP($F123,Declarations!$B$6:$F$185,5,FALSE)="","NOT DECLARED",VLOOKUP($F123,Declarations!$B$6:$F$185,5,FALSE)))</f>
        <v/>
      </c>
      <c r="E123" s="112" t="str">
        <f>IF(ISNA(VLOOKUP($F123,Declarations!$B$6:$D$185,3,FALSE)),"",IF(VLOOKUP($F123,Declarations!$B$6:$D$185,3,FALSE)="","NOT DECLARED",VLOOKUP($F123,Declarations!$B$6:$D$185,3,FALSE)&amp;LEFT(VLOOKUP($F123,Declarations!$B$6:$E$185,4,FALSE))))</f>
        <v/>
      </c>
      <c r="F123" s="58"/>
      <c r="G123" s="115">
        <v>0</v>
      </c>
      <c r="H123" s="281"/>
      <c r="I123" s="114" t="str">
        <f>IF(ISNA(VLOOKUP(F123,Declarations!B$6:C$185,2,FALSE)),"",IF(VLOOKUP(F123,Declarations!B$6:C$185,2,FALSE)="","NOT DECLARED",VLOOKUP(F123,Declarations!B$6:C$185,2,FALSE)))</f>
        <v/>
      </c>
      <c r="J123" s="116">
        <f>IF(LOWER(G123)="dnf",1,IF(U123&lt;ScoringTable!C$3,ScoringTable!I$2,VLOOKUP((1000-U123),ScoringTable!H$2:I$95,2)))</f>
        <v>0</v>
      </c>
      <c r="K123" s="112" t="str">
        <f>IF(OR(E123="",G123=""),"",IF(RIGHT(E123,1)="G",_xlfn.XLOOKUP(G123,Data!$D$11:$L$11,Data!$D$9:$L$9,"",1,1),_xlfn.XLOOKUP(G123,Data!$D$4:$L$4,Data!$D$2:$L$2,"",1,1)))</f>
        <v/>
      </c>
      <c r="L123" s="160" t="str" cm="1">
        <f t="array" ref="L123">IFERROR(_xlfn.IFNA(
                      _xlfn.IFS(
                      G123="", "",
                      G123=0, "",
                      AND(E123="U12B",G123&lt;=Data!$M$4), "U12 Boys record",
                      AND(E123="U12G",G123&lt;=Data!$M$11), "U12 Girls record"
                       ),""), "")</f>
        <v/>
      </c>
      <c r="M123" s="18" cm="1">
        <f t="array" ref="M123">_xlfn.IFS(OR($G123="",$G123=0),0, AND(NOT(ISNUMBER($G123)),LOWER($G123)&lt;&gt;"dnf"),"Not a valid time",OR(LOWER($G123)="dnf",$G123&gt;ScoringTable!$N$161),1,RIGHT($E123,1)="B",_xlfn.XLOOKUP($G123,ScoringTable!$N$2:$N$161,ScoringTable!$L$2:$L$161,,1),TRUE,_xlfn.XLOOKUP($G123,ScoringTable!$T$2:$T$161,ScoringTable!$R$2:$R$161,,1))</f>
        <v>0</v>
      </c>
      <c r="Q123" s="117">
        <f t="shared" si="5"/>
        <v>0</v>
      </c>
      <c r="R123" s="118">
        <f t="shared" si="6"/>
        <v>0</v>
      </c>
      <c r="S123" s="119">
        <f t="shared" si="7"/>
        <v>0</v>
      </c>
      <c r="T123" s="118">
        <f t="shared" si="8"/>
        <v>0</v>
      </c>
      <c r="U123" s="120">
        <f t="shared" si="9"/>
        <v>0</v>
      </c>
    </row>
    <row r="124" spans="1:21" s="7" customFormat="1" ht="16.05" customHeight="1">
      <c r="A124" s="113" t="s">
        <v>95</v>
      </c>
      <c r="B124" s="114" t="str">
        <f>IF(ISNA(VLOOKUP($F124,Declarations!B$6:C$185,2,FALSE)),"",IF(VLOOKUP($F124,Declarations!B$6:C$185,2,FALSE)="","NOT DECLARED",IF(ISNA(_xlfn.TEXTBEFORE(VLOOKUP($F124,Declarations!B$6:C$185,2,FALSE)," ")),VLOOKUP($F124,Declarations!B$6:C$185,2,FALSE),_xlfn.TEXTBEFORE(VLOOKUP($F124,Declarations!B$6:C$185,2,FALSE)," "))))</f>
        <v/>
      </c>
      <c r="C124" s="114" t="str">
        <f>IF(ISNA(VLOOKUP($F124,Declarations!B$6:C$185,2,FALSE)),"",IF(VLOOKUP($F124,Declarations!B$6:C$185,2,FALSE)="","NOT DECLARED",IF(ISNA(_xlfn.TEXTAFTER(VLOOKUP($F124,Declarations!B$6:C$185,2,FALSE)," ")),VLOOKUP($F124,Declarations!B$6:C$185,2,FALSE),_xlfn.TEXTAFTER(VLOOKUP($F124,Declarations!B$6:C$185,2,FALSE)," "))))</f>
        <v/>
      </c>
      <c r="D124" s="114" t="str">
        <f>IF(ISNA(VLOOKUP($F124,Declarations!$B$6:$F$185,5,FALSE)),"",IF(VLOOKUP($F124,Declarations!$B$6:$F$185,5,FALSE)="","NOT DECLARED",VLOOKUP($F124,Declarations!$B$6:$F$185,5,FALSE)))</f>
        <v/>
      </c>
      <c r="E124" s="112" t="str">
        <f>IF(ISNA(VLOOKUP($F124,Declarations!$B$6:$D$185,3,FALSE)),"",IF(VLOOKUP($F124,Declarations!$B$6:$D$185,3,FALSE)="","NOT DECLARED",VLOOKUP($F124,Declarations!$B$6:$D$185,3,FALSE)&amp;LEFT(VLOOKUP($F124,Declarations!$B$6:$E$185,4,FALSE))))</f>
        <v/>
      </c>
      <c r="F124" s="58"/>
      <c r="G124" s="115">
        <v>0</v>
      </c>
      <c r="H124" s="281"/>
      <c r="I124" s="114" t="str">
        <f>IF(ISNA(VLOOKUP(F124,Declarations!B$6:C$185,2,FALSE)),"",IF(VLOOKUP(F124,Declarations!B$6:C$185,2,FALSE)="","NOT DECLARED",VLOOKUP(F124,Declarations!B$6:C$185,2,FALSE)))</f>
        <v/>
      </c>
      <c r="J124" s="116">
        <f>IF(LOWER(G124)="dnf",1,IF(U124&lt;ScoringTable!C$3,ScoringTable!I$2,VLOOKUP((1000-U124),ScoringTable!H$2:I$95,2)))</f>
        <v>0</v>
      </c>
      <c r="K124" s="112" t="str">
        <f>IF(OR(E124="",G124=""),"",IF(RIGHT(E124,1)="G",_xlfn.XLOOKUP(G124,Data!$D$11:$L$11,Data!$D$9:$L$9,"",1,1),_xlfn.XLOOKUP(G124,Data!$D$4:$L$4,Data!$D$2:$L$2,"",1,1)))</f>
        <v/>
      </c>
      <c r="L124" s="160" t="str" cm="1">
        <f t="array" ref="L124">IFERROR(_xlfn.IFNA(
                      _xlfn.IFS(
                      G124="", "",
                      G124=0, "",
                      AND(E124="U12B",G124&lt;=Data!$M$4), "U12 Boys record",
                      AND(E124="U12G",G124&lt;=Data!$M$11), "U12 Girls record"
                       ),""), "")</f>
        <v/>
      </c>
      <c r="M124" s="18" cm="1">
        <f t="array" ref="M124">_xlfn.IFS(OR($G124="",$G124=0),0, AND(NOT(ISNUMBER($G124)),LOWER($G124)&lt;&gt;"dnf"),"Not a valid time",OR(LOWER($G124)="dnf",$G124&gt;ScoringTable!$N$161),1,RIGHT($E124,1)="B",_xlfn.XLOOKUP($G124,ScoringTable!$N$2:$N$161,ScoringTable!$L$2:$L$161,,1),TRUE,_xlfn.XLOOKUP($G124,ScoringTable!$T$2:$T$161,ScoringTable!$R$2:$R$161,,1))</f>
        <v>0</v>
      </c>
      <c r="Q124" s="117">
        <f t="shared" si="5"/>
        <v>0</v>
      </c>
      <c r="R124" s="118">
        <f t="shared" si="6"/>
        <v>0</v>
      </c>
      <c r="S124" s="119">
        <f t="shared" si="7"/>
        <v>0</v>
      </c>
      <c r="T124" s="118">
        <f t="shared" si="8"/>
        <v>0</v>
      </c>
      <c r="U124" s="120">
        <f t="shared" si="9"/>
        <v>0</v>
      </c>
    </row>
    <row r="125" spans="1:21" s="7" customFormat="1" ht="16.05" customHeight="1">
      <c r="A125" s="113" t="s">
        <v>95</v>
      </c>
      <c r="B125" s="114" t="str">
        <f>IF(ISNA(VLOOKUP($F125,Declarations!B$6:C$185,2,FALSE)),"",IF(VLOOKUP($F125,Declarations!B$6:C$185,2,FALSE)="","NOT DECLARED",IF(ISNA(_xlfn.TEXTBEFORE(VLOOKUP($F125,Declarations!B$6:C$185,2,FALSE)," ")),VLOOKUP($F125,Declarations!B$6:C$185,2,FALSE),_xlfn.TEXTBEFORE(VLOOKUP($F125,Declarations!B$6:C$185,2,FALSE)," "))))</f>
        <v/>
      </c>
      <c r="C125" s="114" t="str">
        <f>IF(ISNA(VLOOKUP($F125,Declarations!B$6:C$185,2,FALSE)),"",IF(VLOOKUP($F125,Declarations!B$6:C$185,2,FALSE)="","NOT DECLARED",IF(ISNA(_xlfn.TEXTAFTER(VLOOKUP($F125,Declarations!B$6:C$185,2,FALSE)," ")),VLOOKUP($F125,Declarations!B$6:C$185,2,FALSE),_xlfn.TEXTAFTER(VLOOKUP($F125,Declarations!B$6:C$185,2,FALSE)," "))))</f>
        <v/>
      </c>
      <c r="D125" s="114" t="str">
        <f>IF(ISNA(VLOOKUP($F125,Declarations!$B$6:$F$185,5,FALSE)),"",IF(VLOOKUP($F125,Declarations!$B$6:$F$185,5,FALSE)="","NOT DECLARED",VLOOKUP($F125,Declarations!$B$6:$F$185,5,FALSE)))</f>
        <v/>
      </c>
      <c r="E125" s="112" t="str">
        <f>IF(ISNA(VLOOKUP($F125,Declarations!$B$6:$D$185,3,FALSE)),"",IF(VLOOKUP($F125,Declarations!$B$6:$D$185,3,FALSE)="","NOT DECLARED",VLOOKUP($F125,Declarations!$B$6:$D$185,3,FALSE)&amp;LEFT(VLOOKUP($F125,Declarations!$B$6:$E$185,4,FALSE))))</f>
        <v/>
      </c>
      <c r="F125" s="58"/>
      <c r="G125" s="115">
        <v>0</v>
      </c>
      <c r="H125" s="281"/>
      <c r="I125" s="114" t="str">
        <f>IF(ISNA(VLOOKUP(F125,Declarations!B$6:C$185,2,FALSE)),"",IF(VLOOKUP(F125,Declarations!B$6:C$185,2,FALSE)="","NOT DECLARED",VLOOKUP(F125,Declarations!B$6:C$185,2,FALSE)))</f>
        <v/>
      </c>
      <c r="J125" s="116">
        <f>IF(LOWER(G125)="dnf",1,IF(U125&lt;ScoringTable!C$3,ScoringTable!I$2,VLOOKUP((1000-U125),ScoringTable!H$2:I$95,2)))</f>
        <v>0</v>
      </c>
      <c r="K125" s="112" t="str">
        <f>IF(OR(E125="",G125=""),"",IF(RIGHT(E125,1)="G",_xlfn.XLOOKUP(G125,Data!$D$11:$L$11,Data!$D$9:$L$9,"",1,1),_xlfn.XLOOKUP(G125,Data!$D$4:$L$4,Data!$D$2:$L$2,"",1,1)))</f>
        <v/>
      </c>
      <c r="L125" s="160" t="str" cm="1">
        <f t="array" ref="L125">IFERROR(_xlfn.IFNA(
                      _xlfn.IFS(
                      G125="", "",
                      G125=0, "",
                      AND(E125="U12B",G125&lt;=Data!$M$4), "U12 Boys record",
                      AND(E125="U12G",G125&lt;=Data!$M$11), "U12 Girls record"
                       ),""), "")</f>
        <v/>
      </c>
      <c r="M125" s="18" cm="1">
        <f t="array" ref="M125">_xlfn.IFS(OR($G125="",$G125=0),0, AND(NOT(ISNUMBER($G125)),LOWER($G125)&lt;&gt;"dnf"),"Not a valid time",OR(LOWER($G125)="dnf",$G125&gt;ScoringTable!$N$161),1,RIGHT($E125,1)="B",_xlfn.XLOOKUP($G125,ScoringTable!$N$2:$N$161,ScoringTable!$L$2:$L$161,,1),TRUE,_xlfn.XLOOKUP($G125,ScoringTable!$T$2:$T$161,ScoringTable!$R$2:$R$161,,1))</f>
        <v>0</v>
      </c>
      <c r="Q125" s="117">
        <f t="shared" si="5"/>
        <v>0</v>
      </c>
      <c r="R125" s="118">
        <f t="shared" si="6"/>
        <v>0</v>
      </c>
      <c r="S125" s="119">
        <f t="shared" si="7"/>
        <v>0</v>
      </c>
      <c r="T125" s="118">
        <f t="shared" si="8"/>
        <v>0</v>
      </c>
      <c r="U125" s="120">
        <f t="shared" si="9"/>
        <v>0</v>
      </c>
    </row>
    <row r="126" spans="1:21" s="7" customFormat="1" ht="16.05" customHeight="1">
      <c r="A126" s="113" t="s">
        <v>95</v>
      </c>
      <c r="B126" s="114" t="str">
        <f>IF(ISNA(VLOOKUP($F126,Declarations!B$6:C$185,2,FALSE)),"",IF(VLOOKUP($F126,Declarations!B$6:C$185,2,FALSE)="","NOT DECLARED",IF(ISNA(_xlfn.TEXTBEFORE(VLOOKUP($F126,Declarations!B$6:C$185,2,FALSE)," ")),VLOOKUP($F126,Declarations!B$6:C$185,2,FALSE),_xlfn.TEXTBEFORE(VLOOKUP($F126,Declarations!B$6:C$185,2,FALSE)," "))))</f>
        <v/>
      </c>
      <c r="C126" s="114" t="str">
        <f>IF(ISNA(VLOOKUP($F126,Declarations!B$6:C$185,2,FALSE)),"",IF(VLOOKUP($F126,Declarations!B$6:C$185,2,FALSE)="","NOT DECLARED",IF(ISNA(_xlfn.TEXTAFTER(VLOOKUP($F126,Declarations!B$6:C$185,2,FALSE)," ")),VLOOKUP($F126,Declarations!B$6:C$185,2,FALSE),_xlfn.TEXTAFTER(VLOOKUP($F126,Declarations!B$6:C$185,2,FALSE)," "))))</f>
        <v/>
      </c>
      <c r="D126" s="114" t="str">
        <f>IF(ISNA(VLOOKUP($F126,Declarations!$B$6:$F$185,5,FALSE)),"",IF(VLOOKUP($F126,Declarations!$B$6:$F$185,5,FALSE)="","NOT DECLARED",VLOOKUP($F126,Declarations!$B$6:$F$185,5,FALSE)))</f>
        <v/>
      </c>
      <c r="E126" s="112" t="str">
        <f>IF(ISNA(VLOOKUP($F126,Declarations!$B$6:$D$185,3,FALSE)),"",IF(VLOOKUP($F126,Declarations!$B$6:$D$185,3,FALSE)="","NOT DECLARED",VLOOKUP($F126,Declarations!$B$6:$D$185,3,FALSE)&amp;LEFT(VLOOKUP($F126,Declarations!$B$6:$E$185,4,FALSE))))</f>
        <v/>
      </c>
      <c r="F126" s="58"/>
      <c r="G126" s="115">
        <v>0</v>
      </c>
      <c r="H126" s="281"/>
      <c r="I126" s="114" t="str">
        <f>IF(ISNA(VLOOKUP(F126,Declarations!B$6:C$185,2,FALSE)),"",IF(VLOOKUP(F126,Declarations!B$6:C$185,2,FALSE)="","NOT DECLARED",VLOOKUP(F126,Declarations!B$6:C$185,2,FALSE)))</f>
        <v/>
      </c>
      <c r="J126" s="116">
        <f>IF(LOWER(G126)="dnf",1,IF(U126&lt;ScoringTable!C$3,ScoringTable!I$2,VLOOKUP((1000-U126),ScoringTable!H$2:I$95,2)))</f>
        <v>0</v>
      </c>
      <c r="K126" s="112" t="str">
        <f>IF(OR(E126="",G126=""),"",IF(RIGHT(E126,1)="G",_xlfn.XLOOKUP(G126,Data!$D$11:$L$11,Data!$D$9:$L$9,"",1,1),_xlfn.XLOOKUP(G126,Data!$D$4:$L$4,Data!$D$2:$L$2,"",1,1)))</f>
        <v/>
      </c>
      <c r="L126" s="160" t="str" cm="1">
        <f t="array" ref="L126">IFERROR(_xlfn.IFNA(
                      _xlfn.IFS(
                      G126="", "",
                      G126=0, "",
                      AND(E126="U12B",G126&lt;=Data!$M$4), "U12 Boys record",
                      AND(E126="U12G",G126&lt;=Data!$M$11), "U12 Girls record"
                       ),""), "")</f>
        <v/>
      </c>
      <c r="M126" s="18" cm="1">
        <f t="array" ref="M126">_xlfn.IFS(OR($G126="",$G126=0),0, AND(NOT(ISNUMBER($G126)),LOWER($G126)&lt;&gt;"dnf"),"Not a valid time",OR(LOWER($G126)="dnf",$G126&gt;ScoringTable!$N$161),1,RIGHT($E126,1)="B",_xlfn.XLOOKUP($G126,ScoringTable!$N$2:$N$161,ScoringTable!$L$2:$L$161,,1),TRUE,_xlfn.XLOOKUP($G126,ScoringTable!$T$2:$T$161,ScoringTable!$R$2:$R$161,,1))</f>
        <v>0</v>
      </c>
      <c r="Q126" s="117">
        <f t="shared" si="5"/>
        <v>0</v>
      </c>
      <c r="R126" s="118">
        <f t="shared" si="6"/>
        <v>0</v>
      </c>
      <c r="S126" s="119">
        <f t="shared" si="7"/>
        <v>0</v>
      </c>
      <c r="T126" s="118">
        <f t="shared" si="8"/>
        <v>0</v>
      </c>
      <c r="U126" s="120">
        <f t="shared" si="9"/>
        <v>0</v>
      </c>
    </row>
    <row r="127" spans="1:21" s="7" customFormat="1" ht="16.05" customHeight="1">
      <c r="A127" s="113" t="s">
        <v>95</v>
      </c>
      <c r="B127" s="114" t="str">
        <f>IF(ISNA(VLOOKUP($F127,Declarations!B$6:C$185,2,FALSE)),"",IF(VLOOKUP($F127,Declarations!B$6:C$185,2,FALSE)="","NOT DECLARED",IF(ISNA(_xlfn.TEXTBEFORE(VLOOKUP($F127,Declarations!B$6:C$185,2,FALSE)," ")),VLOOKUP($F127,Declarations!B$6:C$185,2,FALSE),_xlfn.TEXTBEFORE(VLOOKUP($F127,Declarations!B$6:C$185,2,FALSE)," "))))</f>
        <v/>
      </c>
      <c r="C127" s="114" t="str">
        <f>IF(ISNA(VLOOKUP($F127,Declarations!B$6:C$185,2,FALSE)),"",IF(VLOOKUP($F127,Declarations!B$6:C$185,2,FALSE)="","NOT DECLARED",IF(ISNA(_xlfn.TEXTAFTER(VLOOKUP($F127,Declarations!B$6:C$185,2,FALSE)," ")),VLOOKUP($F127,Declarations!B$6:C$185,2,FALSE),_xlfn.TEXTAFTER(VLOOKUP($F127,Declarations!B$6:C$185,2,FALSE)," "))))</f>
        <v/>
      </c>
      <c r="D127" s="114" t="str">
        <f>IF(ISNA(VLOOKUP($F127,Declarations!$B$6:$F$185,5,FALSE)),"",IF(VLOOKUP($F127,Declarations!$B$6:$F$185,5,FALSE)="","NOT DECLARED",VLOOKUP($F127,Declarations!$B$6:$F$185,5,FALSE)))</f>
        <v/>
      </c>
      <c r="E127" s="112" t="str">
        <f>IF(ISNA(VLOOKUP($F127,Declarations!$B$6:$D$185,3,FALSE)),"",IF(VLOOKUP($F127,Declarations!$B$6:$D$185,3,FALSE)="","NOT DECLARED",VLOOKUP($F127,Declarations!$B$6:$D$185,3,FALSE)&amp;LEFT(VLOOKUP($F127,Declarations!$B$6:$E$185,4,FALSE))))</f>
        <v/>
      </c>
      <c r="F127" s="58"/>
      <c r="G127" s="115">
        <v>0</v>
      </c>
      <c r="H127" s="281"/>
      <c r="I127" s="114" t="str">
        <f>IF(ISNA(VLOOKUP(F127,Declarations!B$6:C$185,2,FALSE)),"",IF(VLOOKUP(F127,Declarations!B$6:C$185,2,FALSE)="","NOT DECLARED",VLOOKUP(F127,Declarations!B$6:C$185,2,FALSE)))</f>
        <v/>
      </c>
      <c r="J127" s="116">
        <f>IF(LOWER(G127)="dnf",1,IF(U127&lt;ScoringTable!C$3,ScoringTable!I$2,VLOOKUP((1000-U127),ScoringTable!H$2:I$95,2)))</f>
        <v>0</v>
      </c>
      <c r="K127" s="112" t="str">
        <f>IF(OR(E127="",G127=""),"",IF(RIGHT(E127,1)="G",_xlfn.XLOOKUP(G127,Data!$D$11:$L$11,Data!$D$9:$L$9,"",1,1),_xlfn.XLOOKUP(G127,Data!$D$4:$L$4,Data!$D$2:$L$2,"",1,1)))</f>
        <v/>
      </c>
      <c r="L127" s="160" t="str" cm="1">
        <f t="array" ref="L127">IFERROR(_xlfn.IFNA(
                      _xlfn.IFS(
                      G127="", "",
                      G127=0, "",
                      AND(E127="U12B",G127&lt;=Data!$M$4), "U12 Boys record",
                      AND(E127="U12G",G127&lt;=Data!$M$11), "U12 Girls record"
                       ),""), "")</f>
        <v/>
      </c>
      <c r="M127" s="18" cm="1">
        <f t="array" ref="M127">_xlfn.IFS(OR($G127="",$G127=0),0, AND(NOT(ISNUMBER($G127)),LOWER($G127)&lt;&gt;"dnf"),"Not a valid time",OR(LOWER($G127)="dnf",$G127&gt;ScoringTable!$N$161),1,RIGHT($E127,1)="B",_xlfn.XLOOKUP($G127,ScoringTable!$N$2:$N$161,ScoringTable!$L$2:$L$161,,1),TRUE,_xlfn.XLOOKUP($G127,ScoringTable!$T$2:$T$161,ScoringTable!$R$2:$R$161,,1))</f>
        <v>0</v>
      </c>
      <c r="Q127" s="117">
        <f t="shared" si="5"/>
        <v>0</v>
      </c>
      <c r="R127" s="118">
        <f t="shared" si="6"/>
        <v>0</v>
      </c>
      <c r="S127" s="119">
        <f t="shared" si="7"/>
        <v>0</v>
      </c>
      <c r="T127" s="118">
        <f t="shared" si="8"/>
        <v>0</v>
      </c>
      <c r="U127" s="120">
        <f t="shared" si="9"/>
        <v>0</v>
      </c>
    </row>
    <row r="128" spans="1:21" s="7" customFormat="1" ht="16.05" customHeight="1">
      <c r="A128" s="113" t="s">
        <v>95</v>
      </c>
      <c r="B128" s="114" t="str">
        <f>IF(ISNA(VLOOKUP($F128,Declarations!B$6:C$185,2,FALSE)),"",IF(VLOOKUP($F128,Declarations!B$6:C$185,2,FALSE)="","NOT DECLARED",IF(ISNA(_xlfn.TEXTBEFORE(VLOOKUP($F128,Declarations!B$6:C$185,2,FALSE)," ")),VLOOKUP($F128,Declarations!B$6:C$185,2,FALSE),_xlfn.TEXTBEFORE(VLOOKUP($F128,Declarations!B$6:C$185,2,FALSE)," "))))</f>
        <v/>
      </c>
      <c r="C128" s="114" t="str">
        <f>IF(ISNA(VLOOKUP($F128,Declarations!B$6:C$185,2,FALSE)),"",IF(VLOOKUP($F128,Declarations!B$6:C$185,2,FALSE)="","NOT DECLARED",IF(ISNA(_xlfn.TEXTAFTER(VLOOKUP($F128,Declarations!B$6:C$185,2,FALSE)," ")),VLOOKUP($F128,Declarations!B$6:C$185,2,FALSE),_xlfn.TEXTAFTER(VLOOKUP($F128,Declarations!B$6:C$185,2,FALSE)," "))))</f>
        <v/>
      </c>
      <c r="D128" s="114" t="str">
        <f>IF(ISNA(VLOOKUP($F128,Declarations!$B$6:$F$185,5,FALSE)),"",IF(VLOOKUP($F128,Declarations!$B$6:$F$185,5,FALSE)="","NOT DECLARED",VLOOKUP($F128,Declarations!$B$6:$F$185,5,FALSE)))</f>
        <v/>
      </c>
      <c r="E128" s="112" t="str">
        <f>IF(ISNA(VLOOKUP($F128,Declarations!$B$6:$D$185,3,FALSE)),"",IF(VLOOKUP($F128,Declarations!$B$6:$D$185,3,FALSE)="","NOT DECLARED",VLOOKUP($F128,Declarations!$B$6:$D$185,3,FALSE)&amp;LEFT(VLOOKUP($F128,Declarations!$B$6:$E$185,4,FALSE))))</f>
        <v/>
      </c>
      <c r="F128" s="58"/>
      <c r="G128" s="115">
        <v>0</v>
      </c>
      <c r="H128" s="281"/>
      <c r="I128" s="114" t="str">
        <f>IF(ISNA(VLOOKUP(F128,Declarations!B$6:C$185,2,FALSE)),"",IF(VLOOKUP(F128,Declarations!B$6:C$185,2,FALSE)="","NOT DECLARED",VLOOKUP(F128,Declarations!B$6:C$185,2,FALSE)))</f>
        <v/>
      </c>
      <c r="J128" s="116">
        <f>IF(LOWER(G128)="dnf",1,IF(U128&lt;ScoringTable!C$3,ScoringTable!I$2,VLOOKUP((1000-U128),ScoringTable!H$2:I$95,2)))</f>
        <v>0</v>
      </c>
      <c r="K128" s="112" t="str">
        <f>IF(OR(E128="",G128=""),"",IF(RIGHT(E128,1)="G",_xlfn.XLOOKUP(G128,Data!$D$11:$L$11,Data!$D$9:$L$9,"",1,1),_xlfn.XLOOKUP(G128,Data!$D$4:$L$4,Data!$D$2:$L$2,"",1,1)))</f>
        <v/>
      </c>
      <c r="L128" s="160" t="str" cm="1">
        <f t="array" ref="L128">IFERROR(_xlfn.IFNA(
                      _xlfn.IFS(
                      G128="", "",
                      G128=0, "",
                      AND(E128="U12B",G128&lt;=Data!$M$4), "U12 Boys record",
                      AND(E128="U12G",G128&lt;=Data!$M$11), "U12 Girls record"
                       ),""), "")</f>
        <v/>
      </c>
      <c r="M128" s="18" cm="1">
        <f t="array" ref="M128">_xlfn.IFS(OR($G128="",$G128=0),0, AND(NOT(ISNUMBER($G128)),LOWER($G128)&lt;&gt;"dnf"),"Not a valid time",OR(LOWER($G128)="dnf",$G128&gt;ScoringTable!$N$161),1,RIGHT($E128,1)="B",_xlfn.XLOOKUP($G128,ScoringTable!$N$2:$N$161,ScoringTable!$L$2:$L$161,,1),TRUE,_xlfn.XLOOKUP($G128,ScoringTable!$T$2:$T$161,ScoringTable!$R$2:$R$161,,1))</f>
        <v>0</v>
      </c>
      <c r="Q128" s="117">
        <f t="shared" si="5"/>
        <v>0</v>
      </c>
      <c r="R128" s="118">
        <f t="shared" si="6"/>
        <v>0</v>
      </c>
      <c r="S128" s="119">
        <f t="shared" si="7"/>
        <v>0</v>
      </c>
      <c r="T128" s="118">
        <f t="shared" si="8"/>
        <v>0</v>
      </c>
      <c r="U128" s="120">
        <f t="shared" si="9"/>
        <v>0</v>
      </c>
    </row>
    <row r="129" spans="1:21" s="7" customFormat="1" ht="16.05" customHeight="1">
      <c r="A129" s="113" t="s">
        <v>95</v>
      </c>
      <c r="B129" s="114" t="str">
        <f>IF(ISNA(VLOOKUP($F129,Declarations!B$6:C$185,2,FALSE)),"",IF(VLOOKUP($F129,Declarations!B$6:C$185,2,FALSE)="","NOT DECLARED",IF(ISNA(_xlfn.TEXTBEFORE(VLOOKUP($F129,Declarations!B$6:C$185,2,FALSE)," ")),VLOOKUP($F129,Declarations!B$6:C$185,2,FALSE),_xlfn.TEXTBEFORE(VLOOKUP($F129,Declarations!B$6:C$185,2,FALSE)," "))))</f>
        <v/>
      </c>
      <c r="C129" s="114" t="str">
        <f>IF(ISNA(VLOOKUP($F129,Declarations!B$6:C$185,2,FALSE)),"",IF(VLOOKUP($F129,Declarations!B$6:C$185,2,FALSE)="","NOT DECLARED",IF(ISNA(_xlfn.TEXTAFTER(VLOOKUP($F129,Declarations!B$6:C$185,2,FALSE)," ")),VLOOKUP($F129,Declarations!B$6:C$185,2,FALSE),_xlfn.TEXTAFTER(VLOOKUP($F129,Declarations!B$6:C$185,2,FALSE)," "))))</f>
        <v/>
      </c>
      <c r="D129" s="114" t="str">
        <f>IF(ISNA(VLOOKUP($F129,Declarations!$B$6:$F$185,5,FALSE)),"",IF(VLOOKUP($F129,Declarations!$B$6:$F$185,5,FALSE)="","NOT DECLARED",VLOOKUP($F129,Declarations!$B$6:$F$185,5,FALSE)))</f>
        <v/>
      </c>
      <c r="E129" s="112" t="str">
        <f>IF(ISNA(VLOOKUP($F129,Declarations!$B$6:$D$185,3,FALSE)),"",IF(VLOOKUP($F129,Declarations!$B$6:$D$185,3,FALSE)="","NOT DECLARED",VLOOKUP($F129,Declarations!$B$6:$D$185,3,FALSE)&amp;LEFT(VLOOKUP($F129,Declarations!$B$6:$E$185,4,FALSE))))</f>
        <v/>
      </c>
      <c r="F129" s="58"/>
      <c r="G129" s="115">
        <v>0</v>
      </c>
      <c r="H129" s="281"/>
      <c r="I129" s="114" t="str">
        <f>IF(ISNA(VLOOKUP(F129,Declarations!B$6:C$185,2,FALSE)),"",IF(VLOOKUP(F129,Declarations!B$6:C$185,2,FALSE)="","NOT DECLARED",VLOOKUP(F129,Declarations!B$6:C$185,2,FALSE)))</f>
        <v/>
      </c>
      <c r="J129" s="116">
        <f>IF(LOWER(G129)="dnf",1,IF(U129&lt;ScoringTable!C$3,ScoringTable!I$2,VLOOKUP((1000-U129),ScoringTable!H$2:I$95,2)))</f>
        <v>0</v>
      </c>
      <c r="K129" s="112" t="str">
        <f>IF(OR(E129="",G129=""),"",IF(RIGHT(E129,1)="G",_xlfn.XLOOKUP(G129,Data!$D$11:$L$11,Data!$D$9:$L$9,"",1,1),_xlfn.XLOOKUP(G129,Data!$D$4:$L$4,Data!$D$2:$L$2,"",1,1)))</f>
        <v/>
      </c>
      <c r="L129" s="160" t="str" cm="1">
        <f t="array" ref="L129">IFERROR(_xlfn.IFNA(
                      _xlfn.IFS(
                      G129="", "",
                      G129=0, "",
                      AND(E129="U12B",G129&lt;=Data!$M$4), "U12 Boys record",
                      AND(E129="U12G",G129&lt;=Data!$M$11), "U12 Girls record"
                       ),""), "")</f>
        <v/>
      </c>
      <c r="M129" s="18" cm="1">
        <f t="array" ref="M129">_xlfn.IFS(OR($G129="",$G129=0),0, AND(NOT(ISNUMBER($G129)),LOWER($G129)&lt;&gt;"dnf"),"Not a valid time",OR(LOWER($G129)="dnf",$G129&gt;ScoringTable!$N$161),1,RIGHT($E129,1)="B",_xlfn.XLOOKUP($G129,ScoringTable!$N$2:$N$161,ScoringTable!$L$2:$L$161,,1),TRUE,_xlfn.XLOOKUP($G129,ScoringTable!$T$2:$T$161,ScoringTable!$R$2:$R$161,,1))</f>
        <v>0</v>
      </c>
      <c r="Q129" s="117">
        <f t="shared" si="5"/>
        <v>0</v>
      </c>
      <c r="R129" s="118">
        <f t="shared" si="6"/>
        <v>0</v>
      </c>
      <c r="S129" s="119">
        <f t="shared" si="7"/>
        <v>0</v>
      </c>
      <c r="T129" s="118">
        <f t="shared" si="8"/>
        <v>0</v>
      </c>
      <c r="U129" s="120">
        <f t="shared" si="9"/>
        <v>0</v>
      </c>
    </row>
    <row r="130" spans="1:21" s="7" customFormat="1" ht="16.05" customHeight="1">
      <c r="A130" s="113" t="s">
        <v>95</v>
      </c>
      <c r="B130" s="114" t="str">
        <f>IF(ISNA(VLOOKUP($F130,Declarations!B$6:C$185,2,FALSE)),"",IF(VLOOKUP($F130,Declarations!B$6:C$185,2,FALSE)="","NOT DECLARED",IF(ISNA(_xlfn.TEXTBEFORE(VLOOKUP($F130,Declarations!B$6:C$185,2,FALSE)," ")),VLOOKUP($F130,Declarations!B$6:C$185,2,FALSE),_xlfn.TEXTBEFORE(VLOOKUP($F130,Declarations!B$6:C$185,2,FALSE)," "))))</f>
        <v/>
      </c>
      <c r="C130" s="114" t="str">
        <f>IF(ISNA(VLOOKUP($F130,Declarations!B$6:C$185,2,FALSE)),"",IF(VLOOKUP($F130,Declarations!B$6:C$185,2,FALSE)="","NOT DECLARED",IF(ISNA(_xlfn.TEXTAFTER(VLOOKUP($F130,Declarations!B$6:C$185,2,FALSE)," ")),VLOOKUP($F130,Declarations!B$6:C$185,2,FALSE),_xlfn.TEXTAFTER(VLOOKUP($F130,Declarations!B$6:C$185,2,FALSE)," "))))</f>
        <v/>
      </c>
      <c r="D130" s="114" t="str">
        <f>IF(ISNA(VLOOKUP($F130,Declarations!$B$6:$F$185,5,FALSE)),"",IF(VLOOKUP($F130,Declarations!$B$6:$F$185,5,FALSE)="","NOT DECLARED",VLOOKUP($F130,Declarations!$B$6:$F$185,5,FALSE)))</f>
        <v/>
      </c>
      <c r="E130" s="112" t="str">
        <f>IF(ISNA(VLOOKUP($F130,Declarations!$B$6:$D$185,3,FALSE)),"",IF(VLOOKUP($F130,Declarations!$B$6:$D$185,3,FALSE)="","NOT DECLARED",VLOOKUP($F130,Declarations!$B$6:$D$185,3,FALSE)&amp;LEFT(VLOOKUP($F130,Declarations!$B$6:$E$185,4,FALSE))))</f>
        <v/>
      </c>
      <c r="F130" s="58"/>
      <c r="G130" s="115">
        <v>0</v>
      </c>
      <c r="H130" s="281"/>
      <c r="I130" s="114" t="str">
        <f>IF(ISNA(VLOOKUP(F130,Declarations!B$6:C$185,2,FALSE)),"",IF(VLOOKUP(F130,Declarations!B$6:C$185,2,FALSE)="","NOT DECLARED",VLOOKUP(F130,Declarations!B$6:C$185,2,FALSE)))</f>
        <v/>
      </c>
      <c r="J130" s="116">
        <f>IF(LOWER(G130)="dnf",1,IF(U130&lt;ScoringTable!C$3,ScoringTable!I$2,VLOOKUP((1000-U130),ScoringTable!H$2:I$95,2)))</f>
        <v>0</v>
      </c>
      <c r="K130" s="112" t="str">
        <f>IF(OR(E130="",G130=""),"",IF(RIGHT(E130,1)="G",_xlfn.XLOOKUP(G130,Data!$D$11:$L$11,Data!$D$9:$L$9,"",1,1),_xlfn.XLOOKUP(G130,Data!$D$4:$L$4,Data!$D$2:$L$2,"",1,1)))</f>
        <v/>
      </c>
      <c r="L130" s="160" t="str" cm="1">
        <f t="array" ref="L130">IFERROR(_xlfn.IFNA(
                      _xlfn.IFS(
                      G130="", "",
                      G130=0, "",
                      AND(E130="U12B",G130&lt;=Data!$M$4), "U12 Boys record",
                      AND(E130="U12G",G130&lt;=Data!$M$11), "U12 Girls record"
                       ),""), "")</f>
        <v/>
      </c>
      <c r="M130" s="18" cm="1">
        <f t="array" ref="M130">_xlfn.IFS(OR($G130="",$G130=0),0, AND(NOT(ISNUMBER($G130)),LOWER($G130)&lt;&gt;"dnf"),"Not a valid time",OR(LOWER($G130)="dnf",$G130&gt;ScoringTable!$N$161),1,RIGHT($E130,1)="B",_xlfn.XLOOKUP($G130,ScoringTable!$N$2:$N$161,ScoringTable!$L$2:$L$161,,1),TRUE,_xlfn.XLOOKUP($G130,ScoringTable!$T$2:$T$161,ScoringTable!$R$2:$R$161,,1))</f>
        <v>0</v>
      </c>
      <c r="Q130" s="117">
        <f t="shared" si="5"/>
        <v>0</v>
      </c>
      <c r="R130" s="118">
        <f t="shared" si="6"/>
        <v>0</v>
      </c>
      <c r="S130" s="119">
        <f t="shared" si="7"/>
        <v>0</v>
      </c>
      <c r="T130" s="118">
        <f t="shared" si="8"/>
        <v>0</v>
      </c>
      <c r="U130" s="120">
        <f t="shared" si="9"/>
        <v>0</v>
      </c>
    </row>
    <row r="131" spans="1:21" s="7" customFormat="1" ht="16.05" customHeight="1">
      <c r="A131" s="113" t="s">
        <v>95</v>
      </c>
      <c r="B131" s="114" t="str">
        <f>IF(ISNA(VLOOKUP($F131,Declarations!B$6:C$185,2,FALSE)),"",IF(VLOOKUP($F131,Declarations!B$6:C$185,2,FALSE)="","NOT DECLARED",IF(ISNA(_xlfn.TEXTBEFORE(VLOOKUP($F131,Declarations!B$6:C$185,2,FALSE)," ")),VLOOKUP($F131,Declarations!B$6:C$185,2,FALSE),_xlfn.TEXTBEFORE(VLOOKUP($F131,Declarations!B$6:C$185,2,FALSE)," "))))</f>
        <v/>
      </c>
      <c r="C131" s="114" t="str">
        <f>IF(ISNA(VLOOKUP($F131,Declarations!B$6:C$185,2,FALSE)),"",IF(VLOOKUP($F131,Declarations!B$6:C$185,2,FALSE)="","NOT DECLARED",IF(ISNA(_xlfn.TEXTAFTER(VLOOKUP($F131,Declarations!B$6:C$185,2,FALSE)," ")),VLOOKUP($F131,Declarations!B$6:C$185,2,FALSE),_xlfn.TEXTAFTER(VLOOKUP($F131,Declarations!B$6:C$185,2,FALSE)," "))))</f>
        <v/>
      </c>
      <c r="D131" s="114" t="str">
        <f>IF(ISNA(VLOOKUP($F131,Declarations!$B$6:$F$185,5,FALSE)),"",IF(VLOOKUP($F131,Declarations!$B$6:$F$185,5,FALSE)="","NOT DECLARED",VLOOKUP($F131,Declarations!$B$6:$F$185,5,FALSE)))</f>
        <v/>
      </c>
      <c r="E131" s="112" t="str">
        <f>IF(ISNA(VLOOKUP($F131,Declarations!$B$6:$D$185,3,FALSE)),"",IF(VLOOKUP($F131,Declarations!$B$6:$D$185,3,FALSE)="","NOT DECLARED",VLOOKUP($F131,Declarations!$B$6:$D$185,3,FALSE)&amp;LEFT(VLOOKUP($F131,Declarations!$B$6:$E$185,4,FALSE))))</f>
        <v/>
      </c>
      <c r="F131" s="58"/>
      <c r="G131" s="115">
        <v>0</v>
      </c>
      <c r="H131" s="281"/>
      <c r="I131" s="114" t="str">
        <f>IF(ISNA(VLOOKUP(F131,Declarations!B$6:C$185,2,FALSE)),"",IF(VLOOKUP(F131,Declarations!B$6:C$185,2,FALSE)="","NOT DECLARED",VLOOKUP(F131,Declarations!B$6:C$185,2,FALSE)))</f>
        <v/>
      </c>
      <c r="J131" s="116">
        <f>IF(LOWER(G131)="dnf",1,IF(U131&lt;ScoringTable!C$3,ScoringTable!I$2,VLOOKUP((1000-U131),ScoringTable!H$2:I$95,2)))</f>
        <v>0</v>
      </c>
      <c r="K131" s="112" t="str">
        <f>IF(OR(E131="",G131=""),"",IF(RIGHT(E131,1)="G",_xlfn.XLOOKUP(G131,Data!$D$11:$L$11,Data!$D$9:$L$9,"",1,1),_xlfn.XLOOKUP(G131,Data!$D$4:$L$4,Data!$D$2:$L$2,"",1,1)))</f>
        <v/>
      </c>
      <c r="L131" s="160" t="str" cm="1">
        <f t="array" ref="L131">IFERROR(_xlfn.IFNA(
                      _xlfn.IFS(
                      G131="", "",
                      G131=0, "",
                      AND(E131="U12B",G131&lt;=Data!$M$4), "U12 Boys record",
                      AND(E131="U12G",G131&lt;=Data!$M$11), "U12 Girls record"
                       ),""), "")</f>
        <v/>
      </c>
      <c r="M131" s="18" cm="1">
        <f t="array" ref="M131">_xlfn.IFS(OR($G131="",$G131=0),0, AND(NOT(ISNUMBER($G131)),LOWER($G131)&lt;&gt;"dnf"),"Not a valid time",OR(LOWER($G131)="dnf",$G131&gt;ScoringTable!$N$161),1,RIGHT($E131,1)="B",_xlfn.XLOOKUP($G131,ScoringTable!$N$2:$N$161,ScoringTable!$L$2:$L$161,,1),TRUE,_xlfn.XLOOKUP($G131,ScoringTable!$T$2:$T$161,ScoringTable!$R$2:$R$161,,1))</f>
        <v>0</v>
      </c>
      <c r="Q131" s="117">
        <f t="shared" si="5"/>
        <v>0</v>
      </c>
      <c r="R131" s="118">
        <f t="shared" si="6"/>
        <v>0</v>
      </c>
      <c r="S131" s="119">
        <f t="shared" si="7"/>
        <v>0</v>
      </c>
      <c r="T131" s="118">
        <f t="shared" si="8"/>
        <v>0</v>
      </c>
      <c r="U131" s="120">
        <f t="shared" si="9"/>
        <v>0</v>
      </c>
    </row>
    <row r="132" spans="1:21" s="7" customFormat="1" ht="16.05" customHeight="1">
      <c r="A132" s="113" t="s">
        <v>95</v>
      </c>
      <c r="B132" s="114" t="str">
        <f>IF(ISNA(VLOOKUP($F132,Declarations!B$6:C$185,2,FALSE)),"",IF(VLOOKUP($F132,Declarations!B$6:C$185,2,FALSE)="","NOT DECLARED",IF(ISNA(_xlfn.TEXTBEFORE(VLOOKUP($F132,Declarations!B$6:C$185,2,FALSE)," ")),VLOOKUP($F132,Declarations!B$6:C$185,2,FALSE),_xlfn.TEXTBEFORE(VLOOKUP($F132,Declarations!B$6:C$185,2,FALSE)," "))))</f>
        <v/>
      </c>
      <c r="C132" s="114" t="str">
        <f>IF(ISNA(VLOOKUP($F132,Declarations!B$6:C$185,2,FALSE)),"",IF(VLOOKUP($F132,Declarations!B$6:C$185,2,FALSE)="","NOT DECLARED",IF(ISNA(_xlfn.TEXTAFTER(VLOOKUP($F132,Declarations!B$6:C$185,2,FALSE)," ")),VLOOKUP($F132,Declarations!B$6:C$185,2,FALSE),_xlfn.TEXTAFTER(VLOOKUP($F132,Declarations!B$6:C$185,2,FALSE)," "))))</f>
        <v/>
      </c>
      <c r="D132" s="114" t="str">
        <f>IF(ISNA(VLOOKUP($F132,Declarations!$B$6:$F$185,5,FALSE)),"",IF(VLOOKUP($F132,Declarations!$B$6:$F$185,5,FALSE)="","NOT DECLARED",VLOOKUP($F132,Declarations!$B$6:$F$185,5,FALSE)))</f>
        <v/>
      </c>
      <c r="E132" s="112" t="str">
        <f>IF(ISNA(VLOOKUP($F132,Declarations!$B$6:$D$185,3,FALSE)),"",IF(VLOOKUP($F132,Declarations!$B$6:$D$185,3,FALSE)="","NOT DECLARED",VLOOKUP($F132,Declarations!$B$6:$D$185,3,FALSE)&amp;LEFT(VLOOKUP($F132,Declarations!$B$6:$E$185,4,FALSE))))</f>
        <v/>
      </c>
      <c r="F132" s="58"/>
      <c r="G132" s="115">
        <v>0</v>
      </c>
      <c r="H132" s="281"/>
      <c r="I132" s="114" t="str">
        <f>IF(ISNA(VLOOKUP(F132,Declarations!B$6:C$185,2,FALSE)),"",IF(VLOOKUP(F132,Declarations!B$6:C$185,2,FALSE)="","NOT DECLARED",VLOOKUP(F132,Declarations!B$6:C$185,2,FALSE)))</f>
        <v/>
      </c>
      <c r="J132" s="116">
        <f>IF(LOWER(G132)="dnf",1,IF(U132&lt;ScoringTable!C$3,ScoringTable!I$2,VLOOKUP((1000-U132),ScoringTable!H$2:I$95,2)))</f>
        <v>0</v>
      </c>
      <c r="K132" s="112" t="str">
        <f>IF(OR(E132="",G132=""),"",IF(RIGHT(E132,1)="G",_xlfn.XLOOKUP(G132,Data!$D$11:$L$11,Data!$D$9:$L$9,"",1,1),_xlfn.XLOOKUP(G132,Data!$D$4:$L$4,Data!$D$2:$L$2,"",1,1)))</f>
        <v/>
      </c>
      <c r="L132" s="160" t="str" cm="1">
        <f t="array" ref="L132">IFERROR(_xlfn.IFNA(
                      _xlfn.IFS(
                      G132="", "",
                      G132=0, "",
                      AND(E132="U12B",G132&lt;=Data!$M$4), "U12 Boys record",
                      AND(E132="U12G",G132&lt;=Data!$M$11), "U12 Girls record"
                       ),""), "")</f>
        <v/>
      </c>
      <c r="M132" s="18" cm="1">
        <f t="array" ref="M132">_xlfn.IFS(OR($G132="",$G132=0),0, AND(NOT(ISNUMBER($G132)),LOWER($G132)&lt;&gt;"dnf"),"Not a valid time",OR(LOWER($G132)="dnf",$G132&gt;ScoringTable!$N$161),1,RIGHT($E132,1)="B",_xlfn.XLOOKUP($G132,ScoringTable!$N$2:$N$161,ScoringTable!$L$2:$L$161,,1),TRUE,_xlfn.XLOOKUP($G132,ScoringTable!$T$2:$T$161,ScoringTable!$R$2:$R$161,,1))</f>
        <v>0</v>
      </c>
      <c r="Q132" s="117">
        <f t="shared" si="5"/>
        <v>0</v>
      </c>
      <c r="R132" s="118">
        <f t="shared" si="6"/>
        <v>0</v>
      </c>
      <c r="S132" s="119">
        <f t="shared" si="7"/>
        <v>0</v>
      </c>
      <c r="T132" s="118">
        <f t="shared" si="8"/>
        <v>0</v>
      </c>
      <c r="U132" s="120">
        <f t="shared" si="9"/>
        <v>0</v>
      </c>
    </row>
    <row r="133" spans="1:21" s="7" customFormat="1" ht="16.05" customHeight="1">
      <c r="A133" s="113" t="s">
        <v>95</v>
      </c>
      <c r="B133" s="114" t="str">
        <f>IF(ISNA(VLOOKUP($F133,Declarations!B$6:C$185,2,FALSE)),"",IF(VLOOKUP($F133,Declarations!B$6:C$185,2,FALSE)="","NOT DECLARED",IF(ISNA(_xlfn.TEXTBEFORE(VLOOKUP($F133,Declarations!B$6:C$185,2,FALSE)," ")),VLOOKUP($F133,Declarations!B$6:C$185,2,FALSE),_xlfn.TEXTBEFORE(VLOOKUP($F133,Declarations!B$6:C$185,2,FALSE)," "))))</f>
        <v/>
      </c>
      <c r="C133" s="114" t="str">
        <f>IF(ISNA(VLOOKUP($F133,Declarations!B$6:C$185,2,FALSE)),"",IF(VLOOKUP($F133,Declarations!B$6:C$185,2,FALSE)="","NOT DECLARED",IF(ISNA(_xlfn.TEXTAFTER(VLOOKUP($F133,Declarations!B$6:C$185,2,FALSE)," ")),VLOOKUP($F133,Declarations!B$6:C$185,2,FALSE),_xlfn.TEXTAFTER(VLOOKUP($F133,Declarations!B$6:C$185,2,FALSE)," "))))</f>
        <v/>
      </c>
      <c r="D133" s="114" t="str">
        <f>IF(ISNA(VLOOKUP($F133,Declarations!$B$6:$F$185,5,FALSE)),"",IF(VLOOKUP($F133,Declarations!$B$6:$F$185,5,FALSE)="","NOT DECLARED",VLOOKUP($F133,Declarations!$B$6:$F$185,5,FALSE)))</f>
        <v/>
      </c>
      <c r="E133" s="112" t="str">
        <f>IF(ISNA(VLOOKUP($F133,Declarations!$B$6:$D$185,3,FALSE)),"",IF(VLOOKUP($F133,Declarations!$B$6:$D$185,3,FALSE)="","NOT DECLARED",VLOOKUP($F133,Declarations!$B$6:$D$185,3,FALSE)&amp;LEFT(VLOOKUP($F133,Declarations!$B$6:$E$185,4,FALSE))))</f>
        <v/>
      </c>
      <c r="F133" s="58"/>
      <c r="G133" s="115">
        <v>0</v>
      </c>
      <c r="H133" s="281"/>
      <c r="I133" s="114" t="str">
        <f>IF(ISNA(VLOOKUP(F133,Declarations!B$6:C$185,2,FALSE)),"",IF(VLOOKUP(F133,Declarations!B$6:C$185,2,FALSE)="","NOT DECLARED",VLOOKUP(F133,Declarations!B$6:C$185,2,FALSE)))</f>
        <v/>
      </c>
      <c r="J133" s="116">
        <f>IF(LOWER(G133)="dnf",1,IF(U133&lt;ScoringTable!C$3,ScoringTable!I$2,VLOOKUP((1000-U133),ScoringTable!H$2:I$95,2)))</f>
        <v>0</v>
      </c>
      <c r="K133" s="112" t="str">
        <f>IF(OR(E133="",G133=""),"",IF(RIGHT(E133,1)="G",_xlfn.XLOOKUP(G133,Data!$D$11:$L$11,Data!$D$9:$L$9,"",1,1),_xlfn.XLOOKUP(G133,Data!$D$4:$L$4,Data!$D$2:$L$2,"",1,1)))</f>
        <v/>
      </c>
      <c r="L133" s="160" t="str" cm="1">
        <f t="array" ref="L133">IFERROR(_xlfn.IFNA(
                      _xlfn.IFS(
                      G133="", "",
                      G133=0, "",
                      AND(E133="U12B",G133&lt;=Data!$M$4), "U12 Boys record",
                      AND(E133="U12G",G133&lt;=Data!$M$11), "U12 Girls record"
                       ),""), "")</f>
        <v/>
      </c>
      <c r="M133" s="18" cm="1">
        <f t="array" ref="M133">_xlfn.IFS(OR($G133="",$G133=0),0, AND(NOT(ISNUMBER($G133)),LOWER($G133)&lt;&gt;"dnf"),"Not a valid time",OR(LOWER($G133)="dnf",$G133&gt;ScoringTable!$N$161),1,RIGHT($E133,1)="B",_xlfn.XLOOKUP($G133,ScoringTable!$N$2:$N$161,ScoringTable!$L$2:$L$161,,1),TRUE,_xlfn.XLOOKUP($G133,ScoringTable!$T$2:$T$161,ScoringTable!$R$2:$R$161,,1))</f>
        <v>0</v>
      </c>
      <c r="Q133" s="117">
        <f t="shared" si="5"/>
        <v>0</v>
      </c>
      <c r="R133" s="118">
        <f t="shared" si="6"/>
        <v>0</v>
      </c>
      <c r="S133" s="119">
        <f t="shared" si="7"/>
        <v>0</v>
      </c>
      <c r="T133" s="118">
        <f t="shared" si="8"/>
        <v>0</v>
      </c>
      <c r="U133" s="120">
        <f t="shared" si="9"/>
        <v>0</v>
      </c>
    </row>
    <row r="134" spans="1:21" s="7" customFormat="1" ht="16.05" customHeight="1">
      <c r="A134" s="113" t="s">
        <v>95</v>
      </c>
      <c r="B134" s="114" t="str">
        <f>IF(ISNA(VLOOKUP($F134,Declarations!B$6:C$185,2,FALSE)),"",IF(VLOOKUP($F134,Declarations!B$6:C$185,2,FALSE)="","NOT DECLARED",IF(ISNA(_xlfn.TEXTBEFORE(VLOOKUP($F134,Declarations!B$6:C$185,2,FALSE)," ")),VLOOKUP($F134,Declarations!B$6:C$185,2,FALSE),_xlfn.TEXTBEFORE(VLOOKUP($F134,Declarations!B$6:C$185,2,FALSE)," "))))</f>
        <v/>
      </c>
      <c r="C134" s="114" t="str">
        <f>IF(ISNA(VLOOKUP($F134,Declarations!B$6:C$185,2,FALSE)),"",IF(VLOOKUP($F134,Declarations!B$6:C$185,2,FALSE)="","NOT DECLARED",IF(ISNA(_xlfn.TEXTAFTER(VLOOKUP($F134,Declarations!B$6:C$185,2,FALSE)," ")),VLOOKUP($F134,Declarations!B$6:C$185,2,FALSE),_xlfn.TEXTAFTER(VLOOKUP($F134,Declarations!B$6:C$185,2,FALSE)," "))))</f>
        <v/>
      </c>
      <c r="D134" s="114" t="str">
        <f>IF(ISNA(VLOOKUP($F134,Declarations!$B$6:$F$185,5,FALSE)),"",IF(VLOOKUP($F134,Declarations!$B$6:$F$185,5,FALSE)="","NOT DECLARED",VLOOKUP($F134,Declarations!$B$6:$F$185,5,FALSE)))</f>
        <v/>
      </c>
      <c r="E134" s="112" t="str">
        <f>IF(ISNA(VLOOKUP($F134,Declarations!$B$6:$D$185,3,FALSE)),"",IF(VLOOKUP($F134,Declarations!$B$6:$D$185,3,FALSE)="","NOT DECLARED",VLOOKUP($F134,Declarations!$B$6:$D$185,3,FALSE)&amp;LEFT(VLOOKUP($F134,Declarations!$B$6:$E$185,4,FALSE))))</f>
        <v/>
      </c>
      <c r="F134" s="58"/>
      <c r="G134" s="115">
        <v>0</v>
      </c>
      <c r="H134" s="281"/>
      <c r="I134" s="114" t="str">
        <f>IF(ISNA(VLOOKUP(F134,Declarations!B$6:C$185,2,FALSE)),"",IF(VLOOKUP(F134,Declarations!B$6:C$185,2,FALSE)="","NOT DECLARED",VLOOKUP(F134,Declarations!B$6:C$185,2,FALSE)))</f>
        <v/>
      </c>
      <c r="J134" s="116">
        <f>IF(LOWER(G134)="dnf",1,IF(U134&lt;ScoringTable!C$3,ScoringTable!I$2,VLOOKUP((1000-U134),ScoringTable!H$2:I$95,2)))</f>
        <v>0</v>
      </c>
      <c r="K134" s="112" t="str">
        <f>IF(OR(E134="",G134=""),"",IF(RIGHT(E134,1)="G",_xlfn.XLOOKUP(G134,Data!$D$11:$L$11,Data!$D$9:$L$9,"",1,1),_xlfn.XLOOKUP(G134,Data!$D$4:$L$4,Data!$D$2:$L$2,"",1,1)))</f>
        <v/>
      </c>
      <c r="L134" s="160" t="str" cm="1">
        <f t="array" ref="L134">IFERROR(_xlfn.IFNA(
                      _xlfn.IFS(
                      G134="", "",
                      G134=0, "",
                      AND(E134="U12B",G134&lt;=Data!$M$4), "U12 Boys record",
                      AND(E134="U12G",G134&lt;=Data!$M$11), "U12 Girls record"
                       ),""), "")</f>
        <v/>
      </c>
      <c r="M134" s="18" cm="1">
        <f t="array" ref="M134">_xlfn.IFS(OR($G134="",$G134=0),0, AND(NOT(ISNUMBER($G134)),LOWER($G134)&lt;&gt;"dnf"),"Not a valid time",OR(LOWER($G134)="dnf",$G134&gt;ScoringTable!$N$161),1,RIGHT($E134,1)="B",_xlfn.XLOOKUP($G134,ScoringTable!$N$2:$N$161,ScoringTable!$L$2:$L$161,,1),TRUE,_xlfn.XLOOKUP($G134,ScoringTable!$T$2:$T$161,ScoringTable!$R$2:$R$161,,1))</f>
        <v>0</v>
      </c>
      <c r="Q134" s="117">
        <f t="shared" si="5"/>
        <v>0</v>
      </c>
      <c r="R134" s="118">
        <f t="shared" si="6"/>
        <v>0</v>
      </c>
      <c r="S134" s="119">
        <f t="shared" si="7"/>
        <v>0</v>
      </c>
      <c r="T134" s="118">
        <f t="shared" si="8"/>
        <v>0</v>
      </c>
      <c r="U134" s="120">
        <f t="shared" si="9"/>
        <v>0</v>
      </c>
    </row>
    <row r="135" spans="1:21" s="7" customFormat="1" ht="16.05" customHeight="1">
      <c r="A135" s="113" t="s">
        <v>95</v>
      </c>
      <c r="B135" s="114" t="str">
        <f>IF(ISNA(VLOOKUP($F135,Declarations!B$6:C$185,2,FALSE)),"",IF(VLOOKUP($F135,Declarations!B$6:C$185,2,FALSE)="","NOT DECLARED",IF(ISNA(_xlfn.TEXTBEFORE(VLOOKUP($F135,Declarations!B$6:C$185,2,FALSE)," ")),VLOOKUP($F135,Declarations!B$6:C$185,2,FALSE),_xlfn.TEXTBEFORE(VLOOKUP($F135,Declarations!B$6:C$185,2,FALSE)," "))))</f>
        <v/>
      </c>
      <c r="C135" s="114" t="str">
        <f>IF(ISNA(VLOOKUP($F135,Declarations!B$6:C$185,2,FALSE)),"",IF(VLOOKUP($F135,Declarations!B$6:C$185,2,FALSE)="","NOT DECLARED",IF(ISNA(_xlfn.TEXTAFTER(VLOOKUP($F135,Declarations!B$6:C$185,2,FALSE)," ")),VLOOKUP($F135,Declarations!B$6:C$185,2,FALSE),_xlfn.TEXTAFTER(VLOOKUP($F135,Declarations!B$6:C$185,2,FALSE)," "))))</f>
        <v/>
      </c>
      <c r="D135" s="114" t="str">
        <f>IF(ISNA(VLOOKUP($F135,Declarations!$B$6:$F$185,5,FALSE)),"",IF(VLOOKUP($F135,Declarations!$B$6:$F$185,5,FALSE)="","NOT DECLARED",VLOOKUP($F135,Declarations!$B$6:$F$185,5,FALSE)))</f>
        <v/>
      </c>
      <c r="E135" s="112" t="str">
        <f>IF(ISNA(VLOOKUP($F135,Declarations!$B$6:$D$185,3,FALSE)),"",IF(VLOOKUP($F135,Declarations!$B$6:$D$185,3,FALSE)="","NOT DECLARED",VLOOKUP($F135,Declarations!$B$6:$D$185,3,FALSE)&amp;LEFT(VLOOKUP($F135,Declarations!$B$6:$E$185,4,FALSE))))</f>
        <v/>
      </c>
      <c r="F135" s="58"/>
      <c r="G135" s="115">
        <v>0</v>
      </c>
      <c r="H135" s="281"/>
      <c r="I135" s="114" t="str">
        <f>IF(ISNA(VLOOKUP(F135,Declarations!B$6:C$185,2,FALSE)),"",IF(VLOOKUP(F135,Declarations!B$6:C$185,2,FALSE)="","NOT DECLARED",VLOOKUP(F135,Declarations!B$6:C$185,2,FALSE)))</f>
        <v/>
      </c>
      <c r="J135" s="116">
        <f>IF(LOWER(G135)="dnf",1,IF(U135&lt;ScoringTable!C$3,ScoringTable!I$2,VLOOKUP((1000-U135),ScoringTable!H$2:I$95,2)))</f>
        <v>0</v>
      </c>
      <c r="K135" s="112" t="str">
        <f>IF(OR(E135="",G135=""),"",IF(RIGHT(E135,1)="G",_xlfn.XLOOKUP(G135,Data!$D$11:$L$11,Data!$D$9:$L$9,"",1,1),_xlfn.XLOOKUP(G135,Data!$D$4:$L$4,Data!$D$2:$L$2,"",1,1)))</f>
        <v/>
      </c>
      <c r="L135" s="160" t="str" cm="1">
        <f t="array" ref="L135">IFERROR(_xlfn.IFNA(
                      _xlfn.IFS(
                      G135="", "",
                      G135=0, "",
                      AND(E135="U12B",G135&lt;=Data!$M$4), "U12 Boys record",
                      AND(E135="U12G",G135&lt;=Data!$M$11), "U12 Girls record"
                       ),""), "")</f>
        <v/>
      </c>
      <c r="M135" s="18" cm="1">
        <f t="array" ref="M135">_xlfn.IFS(OR($G135="",$G135=0),0, AND(NOT(ISNUMBER($G135)),LOWER($G135)&lt;&gt;"dnf"),"Not a valid time",OR(LOWER($G135)="dnf",$G135&gt;ScoringTable!$N$161),1,RIGHT($E135,1)="B",_xlfn.XLOOKUP($G135,ScoringTable!$N$2:$N$161,ScoringTable!$L$2:$L$161,,1),TRUE,_xlfn.XLOOKUP($G135,ScoringTable!$T$2:$T$161,ScoringTable!$R$2:$R$161,,1))</f>
        <v>0</v>
      </c>
      <c r="Q135" s="117">
        <f t="shared" ref="Q135:Q198" si="10">G135*86400</f>
        <v>0</v>
      </c>
      <c r="R135" s="118">
        <f t="shared" ref="R135:R198" si="11">Q135/60</f>
        <v>0</v>
      </c>
      <c r="S135" s="119">
        <f t="shared" ref="S135:S198" si="12">(ROUNDDOWN(R135,0))</f>
        <v>0</v>
      </c>
      <c r="T135" s="118">
        <f t="shared" ref="T135:T198" si="13">Q135-((S135*60))</f>
        <v>0</v>
      </c>
      <c r="U135" s="120">
        <f t="shared" ref="U135:U198" si="14">+(S135)+(T135/100)</f>
        <v>0</v>
      </c>
    </row>
    <row r="136" spans="1:21" s="7" customFormat="1" ht="16.05" customHeight="1">
      <c r="A136" s="113" t="s">
        <v>95</v>
      </c>
      <c r="B136" s="114" t="str">
        <f>IF(ISNA(VLOOKUP($F136,Declarations!B$6:C$185,2,FALSE)),"",IF(VLOOKUP($F136,Declarations!B$6:C$185,2,FALSE)="","NOT DECLARED",IF(ISNA(_xlfn.TEXTBEFORE(VLOOKUP($F136,Declarations!B$6:C$185,2,FALSE)," ")),VLOOKUP($F136,Declarations!B$6:C$185,2,FALSE),_xlfn.TEXTBEFORE(VLOOKUP($F136,Declarations!B$6:C$185,2,FALSE)," "))))</f>
        <v/>
      </c>
      <c r="C136" s="114" t="str">
        <f>IF(ISNA(VLOOKUP($F136,Declarations!B$6:C$185,2,FALSE)),"",IF(VLOOKUP($F136,Declarations!B$6:C$185,2,FALSE)="","NOT DECLARED",IF(ISNA(_xlfn.TEXTAFTER(VLOOKUP($F136,Declarations!B$6:C$185,2,FALSE)," ")),VLOOKUP($F136,Declarations!B$6:C$185,2,FALSE),_xlfn.TEXTAFTER(VLOOKUP($F136,Declarations!B$6:C$185,2,FALSE)," "))))</f>
        <v/>
      </c>
      <c r="D136" s="114" t="str">
        <f>IF(ISNA(VLOOKUP($F136,Declarations!$B$6:$F$185,5,FALSE)),"",IF(VLOOKUP($F136,Declarations!$B$6:$F$185,5,FALSE)="","NOT DECLARED",VLOOKUP($F136,Declarations!$B$6:$F$185,5,FALSE)))</f>
        <v/>
      </c>
      <c r="E136" s="112" t="str">
        <f>IF(ISNA(VLOOKUP($F136,Declarations!$B$6:$D$185,3,FALSE)),"",IF(VLOOKUP($F136,Declarations!$B$6:$D$185,3,FALSE)="","NOT DECLARED",VLOOKUP($F136,Declarations!$B$6:$D$185,3,FALSE)&amp;LEFT(VLOOKUP($F136,Declarations!$B$6:$E$185,4,FALSE))))</f>
        <v/>
      </c>
      <c r="F136" s="58"/>
      <c r="G136" s="115">
        <v>0</v>
      </c>
      <c r="H136" s="281"/>
      <c r="I136" s="114" t="str">
        <f>IF(ISNA(VLOOKUP(F136,Declarations!B$6:C$185,2,FALSE)),"",IF(VLOOKUP(F136,Declarations!B$6:C$185,2,FALSE)="","NOT DECLARED",VLOOKUP(F136,Declarations!B$6:C$185,2,FALSE)))</f>
        <v/>
      </c>
      <c r="J136" s="116">
        <f>IF(LOWER(G136)="dnf",1,IF(U136&lt;ScoringTable!C$3,ScoringTable!I$2,VLOOKUP((1000-U136),ScoringTable!H$2:I$95,2)))</f>
        <v>0</v>
      </c>
      <c r="K136" s="112" t="str">
        <f>IF(OR(E136="",G136=""),"",IF(RIGHT(E136,1)="G",_xlfn.XLOOKUP(G136,Data!$D$11:$L$11,Data!$D$9:$L$9,"",1,1),_xlfn.XLOOKUP(G136,Data!$D$4:$L$4,Data!$D$2:$L$2,"",1,1)))</f>
        <v/>
      </c>
      <c r="L136" s="160" t="str" cm="1">
        <f t="array" ref="L136">IFERROR(_xlfn.IFNA(
                      _xlfn.IFS(
                      G136="", "",
                      G136=0, "",
                      AND(E136="U12B",G136&lt;=Data!$M$4), "U12 Boys record",
                      AND(E136="U12G",G136&lt;=Data!$M$11), "U12 Girls record"
                       ),""), "")</f>
        <v/>
      </c>
      <c r="M136" s="18" cm="1">
        <f t="array" ref="M136">_xlfn.IFS(OR($G136="",$G136=0),0, AND(NOT(ISNUMBER($G136)),LOWER($G136)&lt;&gt;"dnf"),"Not a valid time",OR(LOWER($G136)="dnf",$G136&gt;ScoringTable!$N$161),1,RIGHT($E136,1)="B",_xlfn.XLOOKUP($G136,ScoringTable!$N$2:$N$161,ScoringTable!$L$2:$L$161,,1),TRUE,_xlfn.XLOOKUP($G136,ScoringTable!$T$2:$T$161,ScoringTable!$R$2:$R$161,,1))</f>
        <v>0</v>
      </c>
      <c r="Q136" s="117">
        <f t="shared" si="10"/>
        <v>0</v>
      </c>
      <c r="R136" s="118">
        <f t="shared" si="11"/>
        <v>0</v>
      </c>
      <c r="S136" s="119">
        <f t="shared" si="12"/>
        <v>0</v>
      </c>
      <c r="T136" s="118">
        <f t="shared" si="13"/>
        <v>0</v>
      </c>
      <c r="U136" s="120">
        <f t="shared" si="14"/>
        <v>0</v>
      </c>
    </row>
    <row r="137" spans="1:21" s="7" customFormat="1" ht="16.05" customHeight="1">
      <c r="A137" s="113" t="s">
        <v>95</v>
      </c>
      <c r="B137" s="114" t="str">
        <f>IF(ISNA(VLOOKUP($F137,Declarations!B$6:C$185,2,FALSE)),"",IF(VLOOKUP($F137,Declarations!B$6:C$185,2,FALSE)="","NOT DECLARED",IF(ISNA(_xlfn.TEXTBEFORE(VLOOKUP($F137,Declarations!B$6:C$185,2,FALSE)," ")),VLOOKUP($F137,Declarations!B$6:C$185,2,FALSE),_xlfn.TEXTBEFORE(VLOOKUP($F137,Declarations!B$6:C$185,2,FALSE)," "))))</f>
        <v/>
      </c>
      <c r="C137" s="114" t="str">
        <f>IF(ISNA(VLOOKUP($F137,Declarations!B$6:C$185,2,FALSE)),"",IF(VLOOKUP($F137,Declarations!B$6:C$185,2,FALSE)="","NOT DECLARED",IF(ISNA(_xlfn.TEXTAFTER(VLOOKUP($F137,Declarations!B$6:C$185,2,FALSE)," ")),VLOOKUP($F137,Declarations!B$6:C$185,2,FALSE),_xlfn.TEXTAFTER(VLOOKUP($F137,Declarations!B$6:C$185,2,FALSE)," "))))</f>
        <v/>
      </c>
      <c r="D137" s="114" t="str">
        <f>IF(ISNA(VLOOKUP($F137,Declarations!$B$6:$F$185,5,FALSE)),"",IF(VLOOKUP($F137,Declarations!$B$6:$F$185,5,FALSE)="","NOT DECLARED",VLOOKUP($F137,Declarations!$B$6:$F$185,5,FALSE)))</f>
        <v/>
      </c>
      <c r="E137" s="112" t="str">
        <f>IF(ISNA(VLOOKUP($F137,Declarations!$B$6:$D$185,3,FALSE)),"",IF(VLOOKUP($F137,Declarations!$B$6:$D$185,3,FALSE)="","NOT DECLARED",VLOOKUP($F137,Declarations!$B$6:$D$185,3,FALSE)&amp;LEFT(VLOOKUP($F137,Declarations!$B$6:$E$185,4,FALSE))))</f>
        <v/>
      </c>
      <c r="F137" s="58"/>
      <c r="G137" s="115">
        <v>0</v>
      </c>
      <c r="H137" s="281"/>
      <c r="I137" s="114" t="str">
        <f>IF(ISNA(VLOOKUP(F137,Declarations!B$6:C$185,2,FALSE)),"",IF(VLOOKUP(F137,Declarations!B$6:C$185,2,FALSE)="","NOT DECLARED",VLOOKUP(F137,Declarations!B$6:C$185,2,FALSE)))</f>
        <v/>
      </c>
      <c r="J137" s="116">
        <f>IF(LOWER(G137)="dnf",1,IF(U137&lt;ScoringTable!C$3,ScoringTable!I$2,VLOOKUP((1000-U137),ScoringTable!H$2:I$95,2)))</f>
        <v>0</v>
      </c>
      <c r="K137" s="112" t="str">
        <f>IF(OR(E137="",G137=""),"",IF(RIGHT(E137,1)="G",_xlfn.XLOOKUP(G137,Data!$D$11:$L$11,Data!$D$9:$L$9,"",1,1),_xlfn.XLOOKUP(G137,Data!$D$4:$L$4,Data!$D$2:$L$2,"",1,1)))</f>
        <v/>
      </c>
      <c r="L137" s="160" t="str" cm="1">
        <f t="array" ref="L137">IFERROR(_xlfn.IFNA(
                      _xlfn.IFS(
                      G137="", "",
                      G137=0, "",
                      AND(E137="U12B",G137&lt;=Data!$M$4), "U12 Boys record",
                      AND(E137="U12G",G137&lt;=Data!$M$11), "U12 Girls record"
                       ),""), "")</f>
        <v/>
      </c>
      <c r="M137" s="18" cm="1">
        <f t="array" ref="M137">_xlfn.IFS(OR($G137="",$G137=0),0, AND(NOT(ISNUMBER($G137)),LOWER($G137)&lt;&gt;"dnf"),"Not a valid time",OR(LOWER($G137)="dnf",$G137&gt;ScoringTable!$N$161),1,RIGHT($E137,1)="B",_xlfn.XLOOKUP($G137,ScoringTable!$N$2:$N$161,ScoringTable!$L$2:$L$161,,1),TRUE,_xlfn.XLOOKUP($G137,ScoringTable!$T$2:$T$161,ScoringTable!$R$2:$R$161,,1))</f>
        <v>0</v>
      </c>
      <c r="Q137" s="117">
        <f t="shared" si="10"/>
        <v>0</v>
      </c>
      <c r="R137" s="118">
        <f t="shared" si="11"/>
        <v>0</v>
      </c>
      <c r="S137" s="119">
        <f t="shared" si="12"/>
        <v>0</v>
      </c>
      <c r="T137" s="118">
        <f t="shared" si="13"/>
        <v>0</v>
      </c>
      <c r="U137" s="120">
        <f t="shared" si="14"/>
        <v>0</v>
      </c>
    </row>
    <row r="138" spans="1:21" s="7" customFormat="1" ht="16.05" customHeight="1">
      <c r="A138" s="113" t="s">
        <v>95</v>
      </c>
      <c r="B138" s="114" t="str">
        <f>IF(ISNA(VLOOKUP($F138,Declarations!B$6:C$185,2,FALSE)),"",IF(VLOOKUP($F138,Declarations!B$6:C$185,2,FALSE)="","NOT DECLARED",IF(ISNA(_xlfn.TEXTBEFORE(VLOOKUP($F138,Declarations!B$6:C$185,2,FALSE)," ")),VLOOKUP($F138,Declarations!B$6:C$185,2,FALSE),_xlfn.TEXTBEFORE(VLOOKUP($F138,Declarations!B$6:C$185,2,FALSE)," "))))</f>
        <v/>
      </c>
      <c r="C138" s="114" t="str">
        <f>IF(ISNA(VLOOKUP($F138,Declarations!B$6:C$185,2,FALSE)),"",IF(VLOOKUP($F138,Declarations!B$6:C$185,2,FALSE)="","NOT DECLARED",IF(ISNA(_xlfn.TEXTAFTER(VLOOKUP($F138,Declarations!B$6:C$185,2,FALSE)," ")),VLOOKUP($F138,Declarations!B$6:C$185,2,FALSE),_xlfn.TEXTAFTER(VLOOKUP($F138,Declarations!B$6:C$185,2,FALSE)," "))))</f>
        <v/>
      </c>
      <c r="D138" s="114" t="str">
        <f>IF(ISNA(VLOOKUP($F138,Declarations!$B$6:$F$185,5,FALSE)),"",IF(VLOOKUP($F138,Declarations!$B$6:$F$185,5,FALSE)="","NOT DECLARED",VLOOKUP($F138,Declarations!$B$6:$F$185,5,FALSE)))</f>
        <v/>
      </c>
      <c r="E138" s="112" t="str">
        <f>IF(ISNA(VLOOKUP($F138,Declarations!$B$6:$D$185,3,FALSE)),"",IF(VLOOKUP($F138,Declarations!$B$6:$D$185,3,FALSE)="","NOT DECLARED",VLOOKUP($F138,Declarations!$B$6:$D$185,3,FALSE)&amp;LEFT(VLOOKUP($F138,Declarations!$B$6:$E$185,4,FALSE))))</f>
        <v/>
      </c>
      <c r="F138" s="58"/>
      <c r="G138" s="115">
        <v>0</v>
      </c>
      <c r="H138" s="281"/>
      <c r="I138" s="114" t="str">
        <f>IF(ISNA(VLOOKUP(F138,Declarations!B$6:C$185,2,FALSE)),"",IF(VLOOKUP(F138,Declarations!B$6:C$185,2,FALSE)="","NOT DECLARED",VLOOKUP(F138,Declarations!B$6:C$185,2,FALSE)))</f>
        <v/>
      </c>
      <c r="J138" s="116">
        <f>IF(LOWER(G138)="dnf",1,IF(U138&lt;ScoringTable!C$3,ScoringTable!I$2,VLOOKUP((1000-U138),ScoringTable!H$2:I$95,2)))</f>
        <v>0</v>
      </c>
      <c r="K138" s="112" t="str">
        <f>IF(OR(E138="",G138=""),"",IF(RIGHT(E138,1)="G",_xlfn.XLOOKUP(G138,Data!$D$11:$L$11,Data!$D$9:$L$9,"",1,1),_xlfn.XLOOKUP(G138,Data!$D$4:$L$4,Data!$D$2:$L$2,"",1,1)))</f>
        <v/>
      </c>
      <c r="L138" s="160" t="str" cm="1">
        <f t="array" ref="L138">IFERROR(_xlfn.IFNA(
                      _xlfn.IFS(
                      G138="", "",
                      G138=0, "",
                      AND(E138="U12B",G138&lt;=Data!$M$4), "U12 Boys record",
                      AND(E138="U12G",G138&lt;=Data!$M$11), "U12 Girls record"
                       ),""), "")</f>
        <v/>
      </c>
      <c r="M138" s="18" cm="1">
        <f t="array" ref="M138">_xlfn.IFS(OR($G138="",$G138=0),0, AND(NOT(ISNUMBER($G138)),LOWER($G138)&lt;&gt;"dnf"),"Not a valid time",OR(LOWER($G138)="dnf",$G138&gt;ScoringTable!$N$161),1,RIGHT($E138,1)="B",_xlfn.XLOOKUP($G138,ScoringTable!$N$2:$N$161,ScoringTable!$L$2:$L$161,,1),TRUE,_xlfn.XLOOKUP($G138,ScoringTable!$T$2:$T$161,ScoringTable!$R$2:$R$161,,1))</f>
        <v>0</v>
      </c>
      <c r="Q138" s="117">
        <f t="shared" si="10"/>
        <v>0</v>
      </c>
      <c r="R138" s="118">
        <f t="shared" si="11"/>
        <v>0</v>
      </c>
      <c r="S138" s="119">
        <f t="shared" si="12"/>
        <v>0</v>
      </c>
      <c r="T138" s="118">
        <f t="shared" si="13"/>
        <v>0</v>
      </c>
      <c r="U138" s="120">
        <f t="shared" si="14"/>
        <v>0</v>
      </c>
    </row>
    <row r="139" spans="1:21" s="7" customFormat="1" ht="16.05" customHeight="1">
      <c r="A139" s="113" t="s">
        <v>95</v>
      </c>
      <c r="B139" s="114" t="str">
        <f>IF(ISNA(VLOOKUP($F139,Declarations!B$6:C$185,2,FALSE)),"",IF(VLOOKUP($F139,Declarations!B$6:C$185,2,FALSE)="","NOT DECLARED",IF(ISNA(_xlfn.TEXTBEFORE(VLOOKUP($F139,Declarations!B$6:C$185,2,FALSE)," ")),VLOOKUP($F139,Declarations!B$6:C$185,2,FALSE),_xlfn.TEXTBEFORE(VLOOKUP($F139,Declarations!B$6:C$185,2,FALSE)," "))))</f>
        <v/>
      </c>
      <c r="C139" s="114" t="str">
        <f>IF(ISNA(VLOOKUP($F139,Declarations!B$6:C$185,2,FALSE)),"",IF(VLOOKUP($F139,Declarations!B$6:C$185,2,FALSE)="","NOT DECLARED",IF(ISNA(_xlfn.TEXTAFTER(VLOOKUP($F139,Declarations!B$6:C$185,2,FALSE)," ")),VLOOKUP($F139,Declarations!B$6:C$185,2,FALSE),_xlfn.TEXTAFTER(VLOOKUP($F139,Declarations!B$6:C$185,2,FALSE)," "))))</f>
        <v/>
      </c>
      <c r="D139" s="114" t="str">
        <f>IF(ISNA(VLOOKUP($F139,Declarations!$B$6:$F$185,5,FALSE)),"",IF(VLOOKUP($F139,Declarations!$B$6:$F$185,5,FALSE)="","NOT DECLARED",VLOOKUP($F139,Declarations!$B$6:$F$185,5,FALSE)))</f>
        <v/>
      </c>
      <c r="E139" s="112" t="str">
        <f>IF(ISNA(VLOOKUP($F139,Declarations!$B$6:$D$185,3,FALSE)),"",IF(VLOOKUP($F139,Declarations!$B$6:$D$185,3,FALSE)="","NOT DECLARED",VLOOKUP($F139,Declarations!$B$6:$D$185,3,FALSE)&amp;LEFT(VLOOKUP($F139,Declarations!$B$6:$E$185,4,FALSE))))</f>
        <v/>
      </c>
      <c r="F139" s="58"/>
      <c r="G139" s="115">
        <v>0</v>
      </c>
      <c r="H139" s="281"/>
      <c r="I139" s="114" t="str">
        <f>IF(ISNA(VLOOKUP(F139,Declarations!B$6:C$185,2,FALSE)),"",IF(VLOOKUP(F139,Declarations!B$6:C$185,2,FALSE)="","NOT DECLARED",VLOOKUP(F139,Declarations!B$6:C$185,2,FALSE)))</f>
        <v/>
      </c>
      <c r="J139" s="116">
        <f>IF(LOWER(G139)="dnf",1,IF(U139&lt;ScoringTable!C$3,ScoringTable!I$2,VLOOKUP((1000-U139),ScoringTable!H$2:I$95,2)))</f>
        <v>0</v>
      </c>
      <c r="K139" s="112" t="str">
        <f>IF(OR(E139="",G139=""),"",IF(RIGHT(E139,1)="G",_xlfn.XLOOKUP(G139,Data!$D$11:$L$11,Data!$D$9:$L$9,"",1,1),_xlfn.XLOOKUP(G139,Data!$D$4:$L$4,Data!$D$2:$L$2,"",1,1)))</f>
        <v/>
      </c>
      <c r="L139" s="160" t="str" cm="1">
        <f t="array" ref="L139">IFERROR(_xlfn.IFNA(
                      _xlfn.IFS(
                      G139="", "",
                      G139=0, "",
                      AND(E139="U12B",G139&lt;=Data!$M$4), "U12 Boys record",
                      AND(E139="U12G",G139&lt;=Data!$M$11), "U12 Girls record"
                       ),""), "")</f>
        <v/>
      </c>
      <c r="M139" s="18" cm="1">
        <f t="array" ref="M139">_xlfn.IFS(OR($G139="",$G139=0),0, AND(NOT(ISNUMBER($G139)),LOWER($G139)&lt;&gt;"dnf"),"Not a valid time",OR(LOWER($G139)="dnf",$G139&gt;ScoringTable!$N$161),1,RIGHT($E139,1)="B",_xlfn.XLOOKUP($G139,ScoringTable!$N$2:$N$161,ScoringTable!$L$2:$L$161,,1),TRUE,_xlfn.XLOOKUP($G139,ScoringTable!$T$2:$T$161,ScoringTable!$R$2:$R$161,,1))</f>
        <v>0</v>
      </c>
      <c r="Q139" s="117">
        <f t="shared" si="10"/>
        <v>0</v>
      </c>
      <c r="R139" s="118">
        <f t="shared" si="11"/>
        <v>0</v>
      </c>
      <c r="S139" s="119">
        <f t="shared" si="12"/>
        <v>0</v>
      </c>
      <c r="T139" s="118">
        <f t="shared" si="13"/>
        <v>0</v>
      </c>
      <c r="U139" s="120">
        <f t="shared" si="14"/>
        <v>0</v>
      </c>
    </row>
    <row r="140" spans="1:21" s="7" customFormat="1" ht="16.05" customHeight="1">
      <c r="A140" s="113" t="s">
        <v>95</v>
      </c>
      <c r="B140" s="114" t="str">
        <f>IF(ISNA(VLOOKUP($F140,Declarations!B$6:C$185,2,FALSE)),"",IF(VLOOKUP($F140,Declarations!B$6:C$185,2,FALSE)="","NOT DECLARED",IF(ISNA(_xlfn.TEXTBEFORE(VLOOKUP($F140,Declarations!B$6:C$185,2,FALSE)," ")),VLOOKUP($F140,Declarations!B$6:C$185,2,FALSE),_xlfn.TEXTBEFORE(VLOOKUP($F140,Declarations!B$6:C$185,2,FALSE)," "))))</f>
        <v/>
      </c>
      <c r="C140" s="114" t="str">
        <f>IF(ISNA(VLOOKUP($F140,Declarations!B$6:C$185,2,FALSE)),"",IF(VLOOKUP($F140,Declarations!B$6:C$185,2,FALSE)="","NOT DECLARED",IF(ISNA(_xlfn.TEXTAFTER(VLOOKUP($F140,Declarations!B$6:C$185,2,FALSE)," ")),VLOOKUP($F140,Declarations!B$6:C$185,2,FALSE),_xlfn.TEXTAFTER(VLOOKUP($F140,Declarations!B$6:C$185,2,FALSE)," "))))</f>
        <v/>
      </c>
      <c r="D140" s="114" t="str">
        <f>IF(ISNA(VLOOKUP($F140,Declarations!$B$6:$F$185,5,FALSE)),"",IF(VLOOKUP($F140,Declarations!$B$6:$F$185,5,FALSE)="","NOT DECLARED",VLOOKUP($F140,Declarations!$B$6:$F$185,5,FALSE)))</f>
        <v/>
      </c>
      <c r="E140" s="112" t="str">
        <f>IF(ISNA(VLOOKUP($F140,Declarations!$B$6:$D$185,3,FALSE)),"",IF(VLOOKUP($F140,Declarations!$B$6:$D$185,3,FALSE)="","NOT DECLARED",VLOOKUP($F140,Declarations!$B$6:$D$185,3,FALSE)&amp;LEFT(VLOOKUP($F140,Declarations!$B$6:$E$185,4,FALSE))))</f>
        <v/>
      </c>
      <c r="F140" s="58"/>
      <c r="G140" s="115">
        <v>0</v>
      </c>
      <c r="H140" s="281"/>
      <c r="I140" s="114" t="str">
        <f>IF(ISNA(VLOOKUP(F140,Declarations!B$6:C$185,2,FALSE)),"",IF(VLOOKUP(F140,Declarations!B$6:C$185,2,FALSE)="","NOT DECLARED",VLOOKUP(F140,Declarations!B$6:C$185,2,FALSE)))</f>
        <v/>
      </c>
      <c r="J140" s="116">
        <f>IF(LOWER(G140)="dnf",1,IF(U140&lt;ScoringTable!C$3,ScoringTable!I$2,VLOOKUP((1000-U140),ScoringTable!H$2:I$95,2)))</f>
        <v>0</v>
      </c>
      <c r="K140" s="112" t="str">
        <f>IF(OR(E140="",G140=""),"",IF(RIGHT(E140,1)="G",_xlfn.XLOOKUP(G140,Data!$D$11:$L$11,Data!$D$9:$L$9,"",1,1),_xlfn.XLOOKUP(G140,Data!$D$4:$L$4,Data!$D$2:$L$2,"",1,1)))</f>
        <v/>
      </c>
      <c r="L140" s="160" t="str" cm="1">
        <f t="array" ref="L140">IFERROR(_xlfn.IFNA(
                      _xlfn.IFS(
                      G140="", "",
                      G140=0, "",
                      AND(E140="U12B",G140&lt;=Data!$M$4), "U12 Boys record",
                      AND(E140="U12G",G140&lt;=Data!$M$11), "U12 Girls record"
                       ),""), "")</f>
        <v/>
      </c>
      <c r="M140" s="18" cm="1">
        <f t="array" ref="M140">_xlfn.IFS(OR($G140="",$G140=0),0, AND(NOT(ISNUMBER($G140)),LOWER($G140)&lt;&gt;"dnf"),"Not a valid time",OR(LOWER($G140)="dnf",$G140&gt;ScoringTable!$N$161),1,RIGHT($E140,1)="B",_xlfn.XLOOKUP($G140,ScoringTable!$N$2:$N$161,ScoringTable!$L$2:$L$161,,1),TRUE,_xlfn.XLOOKUP($G140,ScoringTable!$T$2:$T$161,ScoringTable!$R$2:$R$161,,1))</f>
        <v>0</v>
      </c>
      <c r="Q140" s="117">
        <f t="shared" si="10"/>
        <v>0</v>
      </c>
      <c r="R140" s="118">
        <f t="shared" si="11"/>
        <v>0</v>
      </c>
      <c r="S140" s="119">
        <f t="shared" si="12"/>
        <v>0</v>
      </c>
      <c r="T140" s="118">
        <f t="shared" si="13"/>
        <v>0</v>
      </c>
      <c r="U140" s="120">
        <f t="shared" si="14"/>
        <v>0</v>
      </c>
    </row>
    <row r="141" spans="1:21" s="7" customFormat="1" ht="16.05" customHeight="1">
      <c r="A141" s="113" t="s">
        <v>95</v>
      </c>
      <c r="B141" s="114" t="str">
        <f>IF(ISNA(VLOOKUP($F141,Declarations!B$6:C$185,2,FALSE)),"",IF(VLOOKUP($F141,Declarations!B$6:C$185,2,FALSE)="","NOT DECLARED",IF(ISNA(_xlfn.TEXTBEFORE(VLOOKUP($F141,Declarations!B$6:C$185,2,FALSE)," ")),VLOOKUP($F141,Declarations!B$6:C$185,2,FALSE),_xlfn.TEXTBEFORE(VLOOKUP($F141,Declarations!B$6:C$185,2,FALSE)," "))))</f>
        <v/>
      </c>
      <c r="C141" s="114" t="str">
        <f>IF(ISNA(VLOOKUP($F141,Declarations!B$6:C$185,2,FALSE)),"",IF(VLOOKUP($F141,Declarations!B$6:C$185,2,FALSE)="","NOT DECLARED",IF(ISNA(_xlfn.TEXTAFTER(VLOOKUP($F141,Declarations!B$6:C$185,2,FALSE)," ")),VLOOKUP($F141,Declarations!B$6:C$185,2,FALSE),_xlfn.TEXTAFTER(VLOOKUP($F141,Declarations!B$6:C$185,2,FALSE)," "))))</f>
        <v/>
      </c>
      <c r="D141" s="114" t="str">
        <f>IF(ISNA(VLOOKUP($F141,Declarations!$B$6:$F$185,5,FALSE)),"",IF(VLOOKUP($F141,Declarations!$B$6:$F$185,5,FALSE)="","NOT DECLARED",VLOOKUP($F141,Declarations!$B$6:$F$185,5,FALSE)))</f>
        <v/>
      </c>
      <c r="E141" s="112" t="str">
        <f>IF(ISNA(VLOOKUP($F141,Declarations!$B$6:$D$185,3,FALSE)),"",IF(VLOOKUP($F141,Declarations!$B$6:$D$185,3,FALSE)="","NOT DECLARED",VLOOKUP($F141,Declarations!$B$6:$D$185,3,FALSE)&amp;LEFT(VLOOKUP($F141,Declarations!$B$6:$E$185,4,FALSE))))</f>
        <v/>
      </c>
      <c r="F141" s="58"/>
      <c r="G141" s="115">
        <v>0</v>
      </c>
      <c r="H141" s="281"/>
      <c r="I141" s="114" t="str">
        <f>IF(ISNA(VLOOKUP(F141,Declarations!B$6:C$185,2,FALSE)),"",IF(VLOOKUP(F141,Declarations!B$6:C$185,2,FALSE)="","NOT DECLARED",VLOOKUP(F141,Declarations!B$6:C$185,2,FALSE)))</f>
        <v/>
      </c>
      <c r="J141" s="116">
        <f>IF(LOWER(G141)="dnf",1,IF(U141&lt;ScoringTable!C$3,ScoringTable!I$2,VLOOKUP((1000-U141),ScoringTable!H$2:I$95,2)))</f>
        <v>0</v>
      </c>
      <c r="K141" s="112" t="str">
        <f>IF(OR(E141="",G141=""),"",IF(RIGHT(E141,1)="G",_xlfn.XLOOKUP(G141,Data!$D$11:$L$11,Data!$D$9:$L$9,"",1,1),_xlfn.XLOOKUP(G141,Data!$D$4:$L$4,Data!$D$2:$L$2,"",1,1)))</f>
        <v/>
      </c>
      <c r="L141" s="160" t="str" cm="1">
        <f t="array" ref="L141">IFERROR(_xlfn.IFNA(
                      _xlfn.IFS(
                      G141="", "",
                      G141=0, "",
                      AND(E141="U12B",G141&lt;=Data!$M$4), "U12 Boys record",
                      AND(E141="U12G",G141&lt;=Data!$M$11), "U12 Girls record"
                       ),""), "")</f>
        <v/>
      </c>
      <c r="M141" s="18" cm="1">
        <f t="array" ref="M141">_xlfn.IFS(OR($G141="",$G141=0),0, AND(NOT(ISNUMBER($G141)),LOWER($G141)&lt;&gt;"dnf"),"Not a valid time",OR(LOWER($G141)="dnf",$G141&gt;ScoringTable!$N$161),1,RIGHT($E141,1)="B",_xlfn.XLOOKUP($G141,ScoringTable!$N$2:$N$161,ScoringTable!$L$2:$L$161,,1),TRUE,_xlfn.XLOOKUP($G141,ScoringTable!$T$2:$T$161,ScoringTable!$R$2:$R$161,,1))</f>
        <v>0</v>
      </c>
      <c r="Q141" s="117">
        <f t="shared" si="10"/>
        <v>0</v>
      </c>
      <c r="R141" s="118">
        <f t="shared" si="11"/>
        <v>0</v>
      </c>
      <c r="S141" s="119">
        <f t="shared" si="12"/>
        <v>0</v>
      </c>
      <c r="T141" s="118">
        <f t="shared" si="13"/>
        <v>0</v>
      </c>
      <c r="U141" s="120">
        <f t="shared" si="14"/>
        <v>0</v>
      </c>
    </row>
    <row r="142" spans="1:21" s="7" customFormat="1" ht="16.05" customHeight="1">
      <c r="A142" s="113" t="s">
        <v>95</v>
      </c>
      <c r="B142" s="114" t="str">
        <f>IF(ISNA(VLOOKUP($F142,Declarations!B$6:C$185,2,FALSE)),"",IF(VLOOKUP($F142,Declarations!B$6:C$185,2,FALSE)="","NOT DECLARED",IF(ISNA(_xlfn.TEXTBEFORE(VLOOKUP($F142,Declarations!B$6:C$185,2,FALSE)," ")),VLOOKUP($F142,Declarations!B$6:C$185,2,FALSE),_xlfn.TEXTBEFORE(VLOOKUP($F142,Declarations!B$6:C$185,2,FALSE)," "))))</f>
        <v/>
      </c>
      <c r="C142" s="114" t="str">
        <f>IF(ISNA(VLOOKUP($F142,Declarations!B$6:C$185,2,FALSE)),"",IF(VLOOKUP($F142,Declarations!B$6:C$185,2,FALSE)="","NOT DECLARED",IF(ISNA(_xlfn.TEXTAFTER(VLOOKUP($F142,Declarations!B$6:C$185,2,FALSE)," ")),VLOOKUP($F142,Declarations!B$6:C$185,2,FALSE),_xlfn.TEXTAFTER(VLOOKUP($F142,Declarations!B$6:C$185,2,FALSE)," "))))</f>
        <v/>
      </c>
      <c r="D142" s="114" t="str">
        <f>IF(ISNA(VLOOKUP($F142,Declarations!$B$6:$F$185,5,FALSE)),"",IF(VLOOKUP($F142,Declarations!$B$6:$F$185,5,FALSE)="","NOT DECLARED",VLOOKUP($F142,Declarations!$B$6:$F$185,5,FALSE)))</f>
        <v/>
      </c>
      <c r="E142" s="112" t="str">
        <f>IF(ISNA(VLOOKUP($F142,Declarations!$B$6:$D$185,3,FALSE)),"",IF(VLOOKUP($F142,Declarations!$B$6:$D$185,3,FALSE)="","NOT DECLARED",VLOOKUP($F142,Declarations!$B$6:$D$185,3,FALSE)&amp;LEFT(VLOOKUP($F142,Declarations!$B$6:$E$185,4,FALSE))))</f>
        <v/>
      </c>
      <c r="F142" s="58"/>
      <c r="G142" s="115">
        <v>0</v>
      </c>
      <c r="H142" s="281"/>
      <c r="I142" s="114" t="str">
        <f>IF(ISNA(VLOOKUP(F142,Declarations!B$6:C$185,2,FALSE)),"",IF(VLOOKUP(F142,Declarations!B$6:C$185,2,FALSE)="","NOT DECLARED",VLOOKUP(F142,Declarations!B$6:C$185,2,FALSE)))</f>
        <v/>
      </c>
      <c r="J142" s="116">
        <f>IF(LOWER(G142)="dnf",1,IF(U142&lt;ScoringTable!C$3,ScoringTable!I$2,VLOOKUP((1000-U142),ScoringTable!H$2:I$95,2)))</f>
        <v>0</v>
      </c>
      <c r="K142" s="112" t="str">
        <f>IF(OR(E142="",G142=""),"",IF(RIGHT(E142,1)="G",_xlfn.XLOOKUP(G142,Data!$D$11:$L$11,Data!$D$9:$L$9,"",1,1),_xlfn.XLOOKUP(G142,Data!$D$4:$L$4,Data!$D$2:$L$2,"",1,1)))</f>
        <v/>
      </c>
      <c r="L142" s="160" t="str" cm="1">
        <f t="array" ref="L142">IFERROR(_xlfn.IFNA(
                      _xlfn.IFS(
                      G142="", "",
                      G142=0, "",
                      AND(E142="U12B",G142&lt;=Data!$M$4), "U12 Boys record",
                      AND(E142="U12G",G142&lt;=Data!$M$11), "U12 Girls record"
                       ),""), "")</f>
        <v/>
      </c>
      <c r="M142" s="18" cm="1">
        <f t="array" ref="M142">_xlfn.IFS(OR($G142="",$G142=0),0, AND(NOT(ISNUMBER($G142)),LOWER($G142)&lt;&gt;"dnf"),"Not a valid time",OR(LOWER($G142)="dnf",$G142&gt;ScoringTable!$N$161),1,RIGHT($E142,1)="B",_xlfn.XLOOKUP($G142,ScoringTable!$N$2:$N$161,ScoringTable!$L$2:$L$161,,1),TRUE,_xlfn.XLOOKUP($G142,ScoringTable!$T$2:$T$161,ScoringTable!$R$2:$R$161,,1))</f>
        <v>0</v>
      </c>
      <c r="Q142" s="117">
        <f t="shared" si="10"/>
        <v>0</v>
      </c>
      <c r="R142" s="118">
        <f t="shared" si="11"/>
        <v>0</v>
      </c>
      <c r="S142" s="119">
        <f t="shared" si="12"/>
        <v>0</v>
      </c>
      <c r="T142" s="118">
        <f t="shared" si="13"/>
        <v>0</v>
      </c>
      <c r="U142" s="120">
        <f t="shared" si="14"/>
        <v>0</v>
      </c>
    </row>
    <row r="143" spans="1:21" s="7" customFormat="1" ht="16.05" customHeight="1">
      <c r="A143" s="113" t="s">
        <v>95</v>
      </c>
      <c r="B143" s="114" t="str">
        <f>IF(ISNA(VLOOKUP($F143,Declarations!B$6:C$185,2,FALSE)),"",IF(VLOOKUP($F143,Declarations!B$6:C$185,2,FALSE)="","NOT DECLARED",IF(ISNA(_xlfn.TEXTBEFORE(VLOOKUP($F143,Declarations!B$6:C$185,2,FALSE)," ")),VLOOKUP($F143,Declarations!B$6:C$185,2,FALSE),_xlfn.TEXTBEFORE(VLOOKUP($F143,Declarations!B$6:C$185,2,FALSE)," "))))</f>
        <v/>
      </c>
      <c r="C143" s="114" t="str">
        <f>IF(ISNA(VLOOKUP($F143,Declarations!B$6:C$185,2,FALSE)),"",IF(VLOOKUP($F143,Declarations!B$6:C$185,2,FALSE)="","NOT DECLARED",IF(ISNA(_xlfn.TEXTAFTER(VLOOKUP($F143,Declarations!B$6:C$185,2,FALSE)," ")),VLOOKUP($F143,Declarations!B$6:C$185,2,FALSE),_xlfn.TEXTAFTER(VLOOKUP($F143,Declarations!B$6:C$185,2,FALSE)," "))))</f>
        <v/>
      </c>
      <c r="D143" s="114" t="str">
        <f>IF(ISNA(VLOOKUP($F143,Declarations!$B$6:$F$185,5,FALSE)),"",IF(VLOOKUP($F143,Declarations!$B$6:$F$185,5,FALSE)="","NOT DECLARED",VLOOKUP($F143,Declarations!$B$6:$F$185,5,FALSE)))</f>
        <v/>
      </c>
      <c r="E143" s="112" t="str">
        <f>IF(ISNA(VLOOKUP($F143,Declarations!$B$6:$D$185,3,FALSE)),"",IF(VLOOKUP($F143,Declarations!$B$6:$D$185,3,FALSE)="","NOT DECLARED",VLOOKUP($F143,Declarations!$B$6:$D$185,3,FALSE)&amp;LEFT(VLOOKUP($F143,Declarations!$B$6:$E$185,4,FALSE))))</f>
        <v/>
      </c>
      <c r="F143" s="58"/>
      <c r="G143" s="115">
        <v>0</v>
      </c>
      <c r="H143" s="281"/>
      <c r="I143" s="114" t="str">
        <f>IF(ISNA(VLOOKUP(F143,Declarations!B$6:C$185,2,FALSE)),"",IF(VLOOKUP(F143,Declarations!B$6:C$185,2,FALSE)="","NOT DECLARED",VLOOKUP(F143,Declarations!B$6:C$185,2,FALSE)))</f>
        <v/>
      </c>
      <c r="J143" s="116">
        <f>IF(LOWER(G143)="dnf",1,IF(U143&lt;ScoringTable!C$3,ScoringTable!I$2,VLOOKUP((1000-U143),ScoringTable!H$2:I$95,2)))</f>
        <v>0</v>
      </c>
      <c r="K143" s="112" t="str">
        <f>IF(OR(E143="",G143=""),"",IF(RIGHT(E143,1)="G",_xlfn.XLOOKUP(G143,Data!$D$11:$L$11,Data!$D$9:$L$9,"",1,1),_xlfn.XLOOKUP(G143,Data!$D$4:$L$4,Data!$D$2:$L$2,"",1,1)))</f>
        <v/>
      </c>
      <c r="L143" s="160" t="str" cm="1">
        <f t="array" ref="L143">IFERROR(_xlfn.IFNA(
                      _xlfn.IFS(
                      G143="", "",
                      G143=0, "",
                      AND(E143="U12B",G143&lt;=Data!$M$4), "U12 Boys record",
                      AND(E143="U12G",G143&lt;=Data!$M$11), "U12 Girls record"
                       ),""), "")</f>
        <v/>
      </c>
      <c r="M143" s="18" cm="1">
        <f t="array" ref="M143">_xlfn.IFS(OR($G143="",$G143=0),0, AND(NOT(ISNUMBER($G143)),LOWER($G143)&lt;&gt;"dnf"),"Not a valid time",OR(LOWER($G143)="dnf",$G143&gt;ScoringTable!$N$161),1,RIGHT($E143,1)="B",_xlfn.XLOOKUP($G143,ScoringTable!$N$2:$N$161,ScoringTable!$L$2:$L$161,,1),TRUE,_xlfn.XLOOKUP($G143,ScoringTable!$T$2:$T$161,ScoringTable!$R$2:$R$161,,1))</f>
        <v>0</v>
      </c>
      <c r="Q143" s="117">
        <f t="shared" si="10"/>
        <v>0</v>
      </c>
      <c r="R143" s="118">
        <f t="shared" si="11"/>
        <v>0</v>
      </c>
      <c r="S143" s="119">
        <f t="shared" si="12"/>
        <v>0</v>
      </c>
      <c r="T143" s="118">
        <f t="shared" si="13"/>
        <v>0</v>
      </c>
      <c r="U143" s="120">
        <f t="shared" si="14"/>
        <v>0</v>
      </c>
    </row>
    <row r="144" spans="1:21" s="7" customFormat="1" ht="16.05" customHeight="1">
      <c r="A144" s="113" t="s">
        <v>95</v>
      </c>
      <c r="B144" s="114" t="str">
        <f>IF(ISNA(VLOOKUP($F144,Declarations!B$6:C$185,2,FALSE)),"",IF(VLOOKUP($F144,Declarations!B$6:C$185,2,FALSE)="","NOT DECLARED",IF(ISNA(_xlfn.TEXTBEFORE(VLOOKUP($F144,Declarations!B$6:C$185,2,FALSE)," ")),VLOOKUP($F144,Declarations!B$6:C$185,2,FALSE),_xlfn.TEXTBEFORE(VLOOKUP($F144,Declarations!B$6:C$185,2,FALSE)," "))))</f>
        <v/>
      </c>
      <c r="C144" s="114" t="str">
        <f>IF(ISNA(VLOOKUP($F144,Declarations!B$6:C$185,2,FALSE)),"",IF(VLOOKUP($F144,Declarations!B$6:C$185,2,FALSE)="","NOT DECLARED",IF(ISNA(_xlfn.TEXTAFTER(VLOOKUP($F144,Declarations!B$6:C$185,2,FALSE)," ")),VLOOKUP($F144,Declarations!B$6:C$185,2,FALSE),_xlfn.TEXTAFTER(VLOOKUP($F144,Declarations!B$6:C$185,2,FALSE)," "))))</f>
        <v/>
      </c>
      <c r="D144" s="114" t="str">
        <f>IF(ISNA(VLOOKUP($F144,Declarations!$B$6:$F$185,5,FALSE)),"",IF(VLOOKUP($F144,Declarations!$B$6:$F$185,5,FALSE)="","NOT DECLARED",VLOOKUP($F144,Declarations!$B$6:$F$185,5,FALSE)))</f>
        <v/>
      </c>
      <c r="E144" s="112" t="str">
        <f>IF(ISNA(VLOOKUP($F144,Declarations!$B$6:$D$185,3,FALSE)),"",IF(VLOOKUP($F144,Declarations!$B$6:$D$185,3,FALSE)="","NOT DECLARED",VLOOKUP($F144,Declarations!$B$6:$D$185,3,FALSE)&amp;LEFT(VLOOKUP($F144,Declarations!$B$6:$E$185,4,FALSE))))</f>
        <v/>
      </c>
      <c r="F144" s="58"/>
      <c r="G144" s="115">
        <v>0</v>
      </c>
      <c r="H144" s="281"/>
      <c r="I144" s="114" t="str">
        <f>IF(ISNA(VLOOKUP(F144,Declarations!B$6:C$185,2,FALSE)),"",IF(VLOOKUP(F144,Declarations!B$6:C$185,2,FALSE)="","NOT DECLARED",VLOOKUP(F144,Declarations!B$6:C$185,2,FALSE)))</f>
        <v/>
      </c>
      <c r="J144" s="116">
        <f>IF(LOWER(G144)="dnf",1,IF(U144&lt;ScoringTable!C$3,ScoringTable!I$2,VLOOKUP((1000-U144),ScoringTable!H$2:I$95,2)))</f>
        <v>0</v>
      </c>
      <c r="K144" s="112" t="str">
        <f>IF(OR(E144="",G144=""),"",IF(RIGHT(E144,1)="G",_xlfn.XLOOKUP(G144,Data!$D$11:$L$11,Data!$D$9:$L$9,"",1,1),_xlfn.XLOOKUP(G144,Data!$D$4:$L$4,Data!$D$2:$L$2,"",1,1)))</f>
        <v/>
      </c>
      <c r="L144" s="160" t="str" cm="1">
        <f t="array" ref="L144">IFERROR(_xlfn.IFNA(
                      _xlfn.IFS(
                      G144="", "",
                      G144=0, "",
                      AND(E144="U12B",G144&lt;=Data!$M$4), "U12 Boys record",
                      AND(E144="U12G",G144&lt;=Data!$M$11), "U12 Girls record"
                       ),""), "")</f>
        <v/>
      </c>
      <c r="M144" s="18" cm="1">
        <f t="array" ref="M144">_xlfn.IFS(OR($G144="",$G144=0),0, AND(NOT(ISNUMBER($G144)),LOWER($G144)&lt;&gt;"dnf"),"Not a valid time",OR(LOWER($G144)="dnf",$G144&gt;ScoringTable!$N$161),1,RIGHT($E144,1)="B",_xlfn.XLOOKUP($G144,ScoringTable!$N$2:$N$161,ScoringTable!$L$2:$L$161,,1),TRUE,_xlfn.XLOOKUP($G144,ScoringTable!$T$2:$T$161,ScoringTable!$R$2:$R$161,,1))</f>
        <v>0</v>
      </c>
      <c r="Q144" s="117">
        <f t="shared" si="10"/>
        <v>0</v>
      </c>
      <c r="R144" s="118">
        <f t="shared" si="11"/>
        <v>0</v>
      </c>
      <c r="S144" s="119">
        <f t="shared" si="12"/>
        <v>0</v>
      </c>
      <c r="T144" s="118">
        <f t="shared" si="13"/>
        <v>0</v>
      </c>
      <c r="U144" s="120">
        <f t="shared" si="14"/>
        <v>0</v>
      </c>
    </row>
    <row r="145" spans="1:21" s="7" customFormat="1" ht="16.05" customHeight="1">
      <c r="A145" s="113" t="s">
        <v>95</v>
      </c>
      <c r="B145" s="114" t="str">
        <f>IF(ISNA(VLOOKUP($F145,Declarations!B$6:C$185,2,FALSE)),"",IF(VLOOKUP($F145,Declarations!B$6:C$185,2,FALSE)="","NOT DECLARED",IF(ISNA(_xlfn.TEXTBEFORE(VLOOKUP($F145,Declarations!B$6:C$185,2,FALSE)," ")),VLOOKUP($F145,Declarations!B$6:C$185,2,FALSE),_xlfn.TEXTBEFORE(VLOOKUP($F145,Declarations!B$6:C$185,2,FALSE)," "))))</f>
        <v/>
      </c>
      <c r="C145" s="114" t="str">
        <f>IF(ISNA(VLOOKUP($F145,Declarations!B$6:C$185,2,FALSE)),"",IF(VLOOKUP($F145,Declarations!B$6:C$185,2,FALSE)="","NOT DECLARED",IF(ISNA(_xlfn.TEXTAFTER(VLOOKUP($F145,Declarations!B$6:C$185,2,FALSE)," ")),VLOOKUP($F145,Declarations!B$6:C$185,2,FALSE),_xlfn.TEXTAFTER(VLOOKUP($F145,Declarations!B$6:C$185,2,FALSE)," "))))</f>
        <v/>
      </c>
      <c r="D145" s="114" t="str">
        <f>IF(ISNA(VLOOKUP($F145,Declarations!$B$6:$F$185,5,FALSE)),"",IF(VLOOKUP($F145,Declarations!$B$6:$F$185,5,FALSE)="","NOT DECLARED",VLOOKUP($F145,Declarations!$B$6:$F$185,5,FALSE)))</f>
        <v/>
      </c>
      <c r="E145" s="112" t="str">
        <f>IF(ISNA(VLOOKUP($F145,Declarations!$B$6:$D$185,3,FALSE)),"",IF(VLOOKUP($F145,Declarations!$B$6:$D$185,3,FALSE)="","NOT DECLARED",VLOOKUP($F145,Declarations!$B$6:$D$185,3,FALSE)&amp;LEFT(VLOOKUP($F145,Declarations!$B$6:$E$185,4,FALSE))))</f>
        <v/>
      </c>
      <c r="F145" s="58"/>
      <c r="G145" s="115">
        <v>0</v>
      </c>
      <c r="H145" s="281"/>
      <c r="I145" s="114" t="str">
        <f>IF(ISNA(VLOOKUP(F145,Declarations!B$6:C$185,2,FALSE)),"",IF(VLOOKUP(F145,Declarations!B$6:C$185,2,FALSE)="","NOT DECLARED",VLOOKUP(F145,Declarations!B$6:C$185,2,FALSE)))</f>
        <v/>
      </c>
      <c r="J145" s="116">
        <f>IF(LOWER(G145)="dnf",1,IF(U145&lt;ScoringTable!C$3,ScoringTable!I$2,VLOOKUP((1000-U145),ScoringTable!H$2:I$95,2)))</f>
        <v>0</v>
      </c>
      <c r="K145" s="112" t="str">
        <f>IF(OR(E145="",G145=""),"",IF(RIGHT(E145,1)="G",_xlfn.XLOOKUP(G145,Data!$D$11:$L$11,Data!$D$9:$L$9,"",1,1),_xlfn.XLOOKUP(G145,Data!$D$4:$L$4,Data!$D$2:$L$2,"",1,1)))</f>
        <v/>
      </c>
      <c r="L145" s="160" t="str" cm="1">
        <f t="array" ref="L145">IFERROR(_xlfn.IFNA(
                      _xlfn.IFS(
                      G145="", "",
                      G145=0, "",
                      AND(E145="U12B",G145&lt;=Data!$M$4), "U12 Boys record",
                      AND(E145="U12G",G145&lt;=Data!$M$11), "U12 Girls record"
                       ),""), "")</f>
        <v/>
      </c>
      <c r="M145" s="18" cm="1">
        <f t="array" ref="M145">_xlfn.IFS(OR($G145="",$G145=0),0, AND(NOT(ISNUMBER($G145)),LOWER($G145)&lt;&gt;"dnf"),"Not a valid time",OR(LOWER($G145)="dnf",$G145&gt;ScoringTable!$N$161),1,RIGHT($E145,1)="B",_xlfn.XLOOKUP($G145,ScoringTable!$N$2:$N$161,ScoringTable!$L$2:$L$161,,1),TRUE,_xlfn.XLOOKUP($G145,ScoringTable!$T$2:$T$161,ScoringTable!$R$2:$R$161,,1))</f>
        <v>0</v>
      </c>
      <c r="Q145" s="117">
        <f t="shared" si="10"/>
        <v>0</v>
      </c>
      <c r="R145" s="118">
        <f t="shared" si="11"/>
        <v>0</v>
      </c>
      <c r="S145" s="119">
        <f t="shared" si="12"/>
        <v>0</v>
      </c>
      <c r="T145" s="118">
        <f t="shared" si="13"/>
        <v>0</v>
      </c>
      <c r="U145" s="120">
        <f t="shared" si="14"/>
        <v>0</v>
      </c>
    </row>
    <row r="146" spans="1:21" s="7" customFormat="1" ht="16.05" customHeight="1">
      <c r="A146" s="113" t="s">
        <v>95</v>
      </c>
      <c r="B146" s="114" t="str">
        <f>IF(ISNA(VLOOKUP($F146,Declarations!B$6:C$185,2,FALSE)),"",IF(VLOOKUP($F146,Declarations!B$6:C$185,2,FALSE)="","NOT DECLARED",IF(ISNA(_xlfn.TEXTBEFORE(VLOOKUP($F146,Declarations!B$6:C$185,2,FALSE)," ")),VLOOKUP($F146,Declarations!B$6:C$185,2,FALSE),_xlfn.TEXTBEFORE(VLOOKUP($F146,Declarations!B$6:C$185,2,FALSE)," "))))</f>
        <v/>
      </c>
      <c r="C146" s="114" t="str">
        <f>IF(ISNA(VLOOKUP($F146,Declarations!B$6:C$185,2,FALSE)),"",IF(VLOOKUP($F146,Declarations!B$6:C$185,2,FALSE)="","NOT DECLARED",IF(ISNA(_xlfn.TEXTAFTER(VLOOKUP($F146,Declarations!B$6:C$185,2,FALSE)," ")),VLOOKUP($F146,Declarations!B$6:C$185,2,FALSE),_xlfn.TEXTAFTER(VLOOKUP($F146,Declarations!B$6:C$185,2,FALSE)," "))))</f>
        <v/>
      </c>
      <c r="D146" s="114" t="str">
        <f>IF(ISNA(VLOOKUP($F146,Declarations!$B$6:$F$185,5,FALSE)),"",IF(VLOOKUP($F146,Declarations!$B$6:$F$185,5,FALSE)="","NOT DECLARED",VLOOKUP($F146,Declarations!$B$6:$F$185,5,FALSE)))</f>
        <v/>
      </c>
      <c r="E146" s="112" t="str">
        <f>IF(ISNA(VLOOKUP($F146,Declarations!$B$6:$D$185,3,FALSE)),"",IF(VLOOKUP($F146,Declarations!$B$6:$D$185,3,FALSE)="","NOT DECLARED",VLOOKUP($F146,Declarations!$B$6:$D$185,3,FALSE)&amp;LEFT(VLOOKUP($F146,Declarations!$B$6:$E$185,4,FALSE))))</f>
        <v/>
      </c>
      <c r="F146" s="58"/>
      <c r="G146" s="115">
        <v>0</v>
      </c>
      <c r="H146" s="281"/>
      <c r="I146" s="114" t="str">
        <f>IF(ISNA(VLOOKUP(F146,Declarations!B$6:C$185,2,FALSE)),"",IF(VLOOKUP(F146,Declarations!B$6:C$185,2,FALSE)="","NOT DECLARED",VLOOKUP(F146,Declarations!B$6:C$185,2,FALSE)))</f>
        <v/>
      </c>
      <c r="J146" s="116">
        <f>IF(LOWER(G146)="dnf",1,IF(U146&lt;ScoringTable!C$3,ScoringTable!I$2,VLOOKUP((1000-U146),ScoringTable!H$2:I$95,2)))</f>
        <v>0</v>
      </c>
      <c r="K146" s="112" t="str">
        <f>IF(OR(E146="",G146=""),"",IF(RIGHT(E146,1)="G",_xlfn.XLOOKUP(G146,Data!$D$11:$L$11,Data!$D$9:$L$9,"",1,1),_xlfn.XLOOKUP(G146,Data!$D$4:$L$4,Data!$D$2:$L$2,"",1,1)))</f>
        <v/>
      </c>
      <c r="L146" s="160" t="str" cm="1">
        <f t="array" ref="L146">IFERROR(_xlfn.IFNA(
                      _xlfn.IFS(
                      G146="", "",
                      G146=0, "",
                      AND(E146="U12B",G146&lt;=Data!$M$4), "U12 Boys record",
                      AND(E146="U12G",G146&lt;=Data!$M$11), "U12 Girls record"
                       ),""), "")</f>
        <v/>
      </c>
      <c r="M146" s="18" cm="1">
        <f t="array" ref="M146">_xlfn.IFS(OR($G146="",$G146=0),0, AND(NOT(ISNUMBER($G146)),LOWER($G146)&lt;&gt;"dnf"),"Not a valid time",OR(LOWER($G146)="dnf",$G146&gt;ScoringTable!$N$161),1,RIGHT($E146,1)="B",_xlfn.XLOOKUP($G146,ScoringTable!$N$2:$N$161,ScoringTable!$L$2:$L$161,,1),TRUE,_xlfn.XLOOKUP($G146,ScoringTable!$T$2:$T$161,ScoringTable!$R$2:$R$161,,1))</f>
        <v>0</v>
      </c>
      <c r="Q146" s="117">
        <f t="shared" si="10"/>
        <v>0</v>
      </c>
      <c r="R146" s="118">
        <f t="shared" si="11"/>
        <v>0</v>
      </c>
      <c r="S146" s="119">
        <f t="shared" si="12"/>
        <v>0</v>
      </c>
      <c r="T146" s="118">
        <f t="shared" si="13"/>
        <v>0</v>
      </c>
      <c r="U146" s="120">
        <f t="shared" si="14"/>
        <v>0</v>
      </c>
    </row>
    <row r="147" spans="1:21" s="7" customFormat="1" ht="16.05" customHeight="1">
      <c r="A147" s="113" t="s">
        <v>95</v>
      </c>
      <c r="B147" s="114" t="str">
        <f>IF(ISNA(VLOOKUP($F147,Declarations!B$6:C$185,2,FALSE)),"",IF(VLOOKUP($F147,Declarations!B$6:C$185,2,FALSE)="","NOT DECLARED",IF(ISNA(_xlfn.TEXTBEFORE(VLOOKUP($F147,Declarations!B$6:C$185,2,FALSE)," ")),VLOOKUP($F147,Declarations!B$6:C$185,2,FALSE),_xlfn.TEXTBEFORE(VLOOKUP($F147,Declarations!B$6:C$185,2,FALSE)," "))))</f>
        <v/>
      </c>
      <c r="C147" s="114" t="str">
        <f>IF(ISNA(VLOOKUP($F147,Declarations!B$6:C$185,2,FALSE)),"",IF(VLOOKUP($F147,Declarations!B$6:C$185,2,FALSE)="","NOT DECLARED",IF(ISNA(_xlfn.TEXTAFTER(VLOOKUP($F147,Declarations!B$6:C$185,2,FALSE)," ")),VLOOKUP($F147,Declarations!B$6:C$185,2,FALSE),_xlfn.TEXTAFTER(VLOOKUP($F147,Declarations!B$6:C$185,2,FALSE)," "))))</f>
        <v/>
      </c>
      <c r="D147" s="114" t="str">
        <f>IF(ISNA(VLOOKUP($F147,Declarations!$B$6:$F$185,5,FALSE)),"",IF(VLOOKUP($F147,Declarations!$B$6:$F$185,5,FALSE)="","NOT DECLARED",VLOOKUP($F147,Declarations!$B$6:$F$185,5,FALSE)))</f>
        <v/>
      </c>
      <c r="E147" s="112" t="str">
        <f>IF(ISNA(VLOOKUP($F147,Declarations!$B$6:$D$185,3,FALSE)),"",IF(VLOOKUP($F147,Declarations!$B$6:$D$185,3,FALSE)="","NOT DECLARED",VLOOKUP($F147,Declarations!$B$6:$D$185,3,FALSE)&amp;LEFT(VLOOKUP($F147,Declarations!$B$6:$E$185,4,FALSE))))</f>
        <v/>
      </c>
      <c r="F147" s="58"/>
      <c r="G147" s="115">
        <v>0</v>
      </c>
      <c r="H147" s="281"/>
      <c r="I147" s="114" t="str">
        <f>IF(ISNA(VLOOKUP(F147,Declarations!B$6:C$185,2,FALSE)),"",IF(VLOOKUP(F147,Declarations!B$6:C$185,2,FALSE)="","NOT DECLARED",VLOOKUP(F147,Declarations!B$6:C$185,2,FALSE)))</f>
        <v/>
      </c>
      <c r="J147" s="116">
        <f>IF(LOWER(G147)="dnf",1,IF(U147&lt;ScoringTable!C$3,ScoringTable!I$2,VLOOKUP((1000-U147),ScoringTable!H$2:I$95,2)))</f>
        <v>0</v>
      </c>
      <c r="K147" s="112" t="str">
        <f>IF(OR(E147="",G147=""),"",IF(RIGHT(E147,1)="G",_xlfn.XLOOKUP(G147,Data!$D$11:$L$11,Data!$D$9:$L$9,"",1,1),_xlfn.XLOOKUP(G147,Data!$D$4:$L$4,Data!$D$2:$L$2,"",1,1)))</f>
        <v/>
      </c>
      <c r="L147" s="160" t="str" cm="1">
        <f t="array" ref="L147">IFERROR(_xlfn.IFNA(
                      _xlfn.IFS(
                      G147="", "",
                      G147=0, "",
                      AND(E147="U12B",G147&lt;=Data!$M$4), "U12 Boys record",
                      AND(E147="U12G",G147&lt;=Data!$M$11), "U12 Girls record"
                       ),""), "")</f>
        <v/>
      </c>
      <c r="M147" s="18" cm="1">
        <f t="array" ref="M147">_xlfn.IFS(OR($G147="",$G147=0),0, AND(NOT(ISNUMBER($G147)),LOWER($G147)&lt;&gt;"dnf"),"Not a valid time",OR(LOWER($G147)="dnf",$G147&gt;ScoringTable!$N$161),1,RIGHT($E147,1)="B",_xlfn.XLOOKUP($G147,ScoringTable!$N$2:$N$161,ScoringTable!$L$2:$L$161,,1),TRUE,_xlfn.XLOOKUP($G147,ScoringTable!$T$2:$T$161,ScoringTable!$R$2:$R$161,,1))</f>
        <v>0</v>
      </c>
      <c r="Q147" s="117">
        <f t="shared" si="10"/>
        <v>0</v>
      </c>
      <c r="R147" s="118">
        <f t="shared" si="11"/>
        <v>0</v>
      </c>
      <c r="S147" s="119">
        <f t="shared" si="12"/>
        <v>0</v>
      </c>
      <c r="T147" s="118">
        <f t="shared" si="13"/>
        <v>0</v>
      </c>
      <c r="U147" s="120">
        <f t="shared" si="14"/>
        <v>0</v>
      </c>
    </row>
    <row r="148" spans="1:21" s="7" customFormat="1" ht="16.05" customHeight="1">
      <c r="A148" s="113" t="s">
        <v>95</v>
      </c>
      <c r="B148" s="114" t="str">
        <f>IF(ISNA(VLOOKUP($F148,Declarations!B$6:C$185,2,FALSE)),"",IF(VLOOKUP($F148,Declarations!B$6:C$185,2,FALSE)="","NOT DECLARED",IF(ISNA(_xlfn.TEXTBEFORE(VLOOKUP($F148,Declarations!B$6:C$185,2,FALSE)," ")),VLOOKUP($F148,Declarations!B$6:C$185,2,FALSE),_xlfn.TEXTBEFORE(VLOOKUP($F148,Declarations!B$6:C$185,2,FALSE)," "))))</f>
        <v/>
      </c>
      <c r="C148" s="114" t="str">
        <f>IF(ISNA(VLOOKUP($F148,Declarations!B$6:C$185,2,FALSE)),"",IF(VLOOKUP($F148,Declarations!B$6:C$185,2,FALSE)="","NOT DECLARED",IF(ISNA(_xlfn.TEXTAFTER(VLOOKUP($F148,Declarations!B$6:C$185,2,FALSE)," ")),VLOOKUP($F148,Declarations!B$6:C$185,2,FALSE),_xlfn.TEXTAFTER(VLOOKUP($F148,Declarations!B$6:C$185,2,FALSE)," "))))</f>
        <v/>
      </c>
      <c r="D148" s="114" t="str">
        <f>IF(ISNA(VLOOKUP($F148,Declarations!$B$6:$F$185,5,FALSE)),"",IF(VLOOKUP($F148,Declarations!$B$6:$F$185,5,FALSE)="","NOT DECLARED",VLOOKUP($F148,Declarations!$B$6:$F$185,5,FALSE)))</f>
        <v/>
      </c>
      <c r="E148" s="112" t="str">
        <f>IF(ISNA(VLOOKUP($F148,Declarations!$B$6:$D$185,3,FALSE)),"",IF(VLOOKUP($F148,Declarations!$B$6:$D$185,3,FALSE)="","NOT DECLARED",VLOOKUP($F148,Declarations!$B$6:$D$185,3,FALSE)&amp;LEFT(VLOOKUP($F148,Declarations!$B$6:$E$185,4,FALSE))))</f>
        <v/>
      </c>
      <c r="F148" s="58"/>
      <c r="G148" s="115">
        <v>0</v>
      </c>
      <c r="H148" s="281"/>
      <c r="I148" s="114" t="str">
        <f>IF(ISNA(VLOOKUP(F148,Declarations!B$6:C$185,2,FALSE)),"",IF(VLOOKUP(F148,Declarations!B$6:C$185,2,FALSE)="","NOT DECLARED",VLOOKUP(F148,Declarations!B$6:C$185,2,FALSE)))</f>
        <v/>
      </c>
      <c r="J148" s="116">
        <f>IF(LOWER(G148)="dnf",1,IF(U148&lt;ScoringTable!C$3,ScoringTable!I$2,VLOOKUP((1000-U148),ScoringTable!H$2:I$95,2)))</f>
        <v>0</v>
      </c>
      <c r="K148" s="112" t="str">
        <f>IF(OR(E148="",G148=""),"",IF(RIGHT(E148,1)="G",_xlfn.XLOOKUP(G148,Data!$D$11:$L$11,Data!$D$9:$L$9,"",1,1),_xlfn.XLOOKUP(G148,Data!$D$4:$L$4,Data!$D$2:$L$2,"",1,1)))</f>
        <v/>
      </c>
      <c r="L148" s="160" t="str" cm="1">
        <f t="array" ref="L148">IFERROR(_xlfn.IFNA(
                      _xlfn.IFS(
                      G148="", "",
                      G148=0, "",
                      AND(E148="U12B",G148&lt;=Data!$M$4), "U12 Boys record",
                      AND(E148="U12G",G148&lt;=Data!$M$11), "U12 Girls record"
                       ),""), "")</f>
        <v/>
      </c>
      <c r="M148" s="18" cm="1">
        <f t="array" ref="M148">_xlfn.IFS(OR($G148="",$G148=0),0, AND(NOT(ISNUMBER($G148)),LOWER($G148)&lt;&gt;"dnf"),"Not a valid time",OR(LOWER($G148)="dnf",$G148&gt;ScoringTable!$N$161),1,RIGHT($E148,1)="B",_xlfn.XLOOKUP($G148,ScoringTable!$N$2:$N$161,ScoringTable!$L$2:$L$161,,1),TRUE,_xlfn.XLOOKUP($G148,ScoringTable!$T$2:$T$161,ScoringTable!$R$2:$R$161,,1))</f>
        <v>0</v>
      </c>
      <c r="Q148" s="117">
        <f t="shared" si="10"/>
        <v>0</v>
      </c>
      <c r="R148" s="118">
        <f t="shared" si="11"/>
        <v>0</v>
      </c>
      <c r="S148" s="119">
        <f t="shared" si="12"/>
        <v>0</v>
      </c>
      <c r="T148" s="118">
        <f t="shared" si="13"/>
        <v>0</v>
      </c>
      <c r="U148" s="120">
        <f t="shared" si="14"/>
        <v>0</v>
      </c>
    </row>
    <row r="149" spans="1:21" s="7" customFormat="1" ht="16.05" customHeight="1">
      <c r="A149" s="113" t="s">
        <v>95</v>
      </c>
      <c r="B149" s="114" t="str">
        <f>IF(ISNA(VLOOKUP($F149,Declarations!B$6:C$185,2,FALSE)),"",IF(VLOOKUP($F149,Declarations!B$6:C$185,2,FALSE)="","NOT DECLARED",IF(ISNA(_xlfn.TEXTBEFORE(VLOOKUP($F149,Declarations!B$6:C$185,2,FALSE)," ")),VLOOKUP($F149,Declarations!B$6:C$185,2,FALSE),_xlfn.TEXTBEFORE(VLOOKUP($F149,Declarations!B$6:C$185,2,FALSE)," "))))</f>
        <v/>
      </c>
      <c r="C149" s="114" t="str">
        <f>IF(ISNA(VLOOKUP($F149,Declarations!B$6:C$185,2,FALSE)),"",IF(VLOOKUP($F149,Declarations!B$6:C$185,2,FALSE)="","NOT DECLARED",IF(ISNA(_xlfn.TEXTAFTER(VLOOKUP($F149,Declarations!B$6:C$185,2,FALSE)," ")),VLOOKUP($F149,Declarations!B$6:C$185,2,FALSE),_xlfn.TEXTAFTER(VLOOKUP($F149,Declarations!B$6:C$185,2,FALSE)," "))))</f>
        <v/>
      </c>
      <c r="D149" s="114" t="str">
        <f>IF(ISNA(VLOOKUP($F149,Declarations!$B$6:$F$185,5,FALSE)),"",IF(VLOOKUP($F149,Declarations!$B$6:$F$185,5,FALSE)="","NOT DECLARED",VLOOKUP($F149,Declarations!$B$6:$F$185,5,FALSE)))</f>
        <v/>
      </c>
      <c r="E149" s="112" t="str">
        <f>IF(ISNA(VLOOKUP($F149,Declarations!$B$6:$D$185,3,FALSE)),"",IF(VLOOKUP($F149,Declarations!$B$6:$D$185,3,FALSE)="","NOT DECLARED",VLOOKUP($F149,Declarations!$B$6:$D$185,3,FALSE)&amp;LEFT(VLOOKUP($F149,Declarations!$B$6:$E$185,4,FALSE))))</f>
        <v/>
      </c>
      <c r="F149" s="58"/>
      <c r="G149" s="115">
        <v>0</v>
      </c>
      <c r="H149" s="281"/>
      <c r="I149" s="114" t="str">
        <f>IF(ISNA(VLOOKUP(F149,Declarations!B$6:C$185,2,FALSE)),"",IF(VLOOKUP(F149,Declarations!B$6:C$185,2,FALSE)="","NOT DECLARED",VLOOKUP(F149,Declarations!B$6:C$185,2,FALSE)))</f>
        <v/>
      </c>
      <c r="J149" s="116">
        <f>IF(LOWER(G149)="dnf",1,IF(U149&lt;ScoringTable!C$3,ScoringTable!I$2,VLOOKUP((1000-U149),ScoringTable!H$2:I$95,2)))</f>
        <v>0</v>
      </c>
      <c r="K149" s="112" t="str">
        <f>IF(OR(E149="",G149=""),"",IF(RIGHT(E149,1)="G",_xlfn.XLOOKUP(G149,Data!$D$11:$L$11,Data!$D$9:$L$9,"",1,1),_xlfn.XLOOKUP(G149,Data!$D$4:$L$4,Data!$D$2:$L$2,"",1,1)))</f>
        <v/>
      </c>
      <c r="L149" s="160" t="str" cm="1">
        <f t="array" ref="L149">IFERROR(_xlfn.IFNA(
                      _xlfn.IFS(
                      G149="", "",
                      G149=0, "",
                      AND(E149="U12B",G149&lt;=Data!$M$4), "U12 Boys record",
                      AND(E149="U12G",G149&lt;=Data!$M$11), "U12 Girls record"
                       ),""), "")</f>
        <v/>
      </c>
      <c r="M149" s="18" cm="1">
        <f t="array" ref="M149">_xlfn.IFS(OR($G149="",$G149=0),0, AND(NOT(ISNUMBER($G149)),LOWER($G149)&lt;&gt;"dnf"),"Not a valid time",OR(LOWER($G149)="dnf",$G149&gt;ScoringTable!$N$161),1,RIGHT($E149,1)="B",_xlfn.XLOOKUP($G149,ScoringTable!$N$2:$N$161,ScoringTable!$L$2:$L$161,,1),TRUE,_xlfn.XLOOKUP($G149,ScoringTable!$T$2:$T$161,ScoringTable!$R$2:$R$161,,1))</f>
        <v>0</v>
      </c>
      <c r="Q149" s="117">
        <f t="shared" si="10"/>
        <v>0</v>
      </c>
      <c r="R149" s="118">
        <f t="shared" si="11"/>
        <v>0</v>
      </c>
      <c r="S149" s="119">
        <f t="shared" si="12"/>
        <v>0</v>
      </c>
      <c r="T149" s="118">
        <f t="shared" si="13"/>
        <v>0</v>
      </c>
      <c r="U149" s="120">
        <f t="shared" si="14"/>
        <v>0</v>
      </c>
    </row>
    <row r="150" spans="1:21" s="7" customFormat="1" ht="16.05" customHeight="1">
      <c r="A150" s="113" t="s">
        <v>95</v>
      </c>
      <c r="B150" s="114" t="str">
        <f>IF(ISNA(VLOOKUP($F150,Declarations!B$6:C$185,2,FALSE)),"",IF(VLOOKUP($F150,Declarations!B$6:C$185,2,FALSE)="","NOT DECLARED",IF(ISNA(_xlfn.TEXTBEFORE(VLOOKUP($F150,Declarations!B$6:C$185,2,FALSE)," ")),VLOOKUP($F150,Declarations!B$6:C$185,2,FALSE),_xlfn.TEXTBEFORE(VLOOKUP($F150,Declarations!B$6:C$185,2,FALSE)," "))))</f>
        <v/>
      </c>
      <c r="C150" s="114" t="str">
        <f>IF(ISNA(VLOOKUP($F150,Declarations!B$6:C$185,2,FALSE)),"",IF(VLOOKUP($F150,Declarations!B$6:C$185,2,FALSE)="","NOT DECLARED",IF(ISNA(_xlfn.TEXTAFTER(VLOOKUP($F150,Declarations!B$6:C$185,2,FALSE)," ")),VLOOKUP($F150,Declarations!B$6:C$185,2,FALSE),_xlfn.TEXTAFTER(VLOOKUP($F150,Declarations!B$6:C$185,2,FALSE)," "))))</f>
        <v/>
      </c>
      <c r="D150" s="114" t="str">
        <f>IF(ISNA(VLOOKUP($F150,Declarations!$B$6:$F$185,5,FALSE)),"",IF(VLOOKUP($F150,Declarations!$B$6:$F$185,5,FALSE)="","NOT DECLARED",VLOOKUP($F150,Declarations!$B$6:$F$185,5,FALSE)))</f>
        <v/>
      </c>
      <c r="E150" s="112" t="str">
        <f>IF(ISNA(VLOOKUP($F150,Declarations!$B$6:$D$185,3,FALSE)),"",IF(VLOOKUP($F150,Declarations!$B$6:$D$185,3,FALSE)="","NOT DECLARED",VLOOKUP($F150,Declarations!$B$6:$D$185,3,FALSE)&amp;LEFT(VLOOKUP($F150,Declarations!$B$6:$E$185,4,FALSE))))</f>
        <v/>
      </c>
      <c r="F150" s="58"/>
      <c r="G150" s="115">
        <v>0</v>
      </c>
      <c r="H150" s="281"/>
      <c r="I150" s="114" t="str">
        <f>IF(ISNA(VLOOKUP(F150,Declarations!B$6:C$185,2,FALSE)),"",IF(VLOOKUP(F150,Declarations!B$6:C$185,2,FALSE)="","NOT DECLARED",VLOOKUP(F150,Declarations!B$6:C$185,2,FALSE)))</f>
        <v/>
      </c>
      <c r="J150" s="116">
        <f>IF(LOWER(G150)="dnf",1,IF(U150&lt;ScoringTable!C$3,ScoringTable!I$2,VLOOKUP((1000-U150),ScoringTable!H$2:I$95,2)))</f>
        <v>0</v>
      </c>
      <c r="K150" s="112" t="str">
        <f>IF(OR(E150="",G150=""),"",IF(RIGHT(E150,1)="G",_xlfn.XLOOKUP(G150,Data!$D$11:$L$11,Data!$D$9:$L$9,"",1,1),_xlfn.XLOOKUP(G150,Data!$D$4:$L$4,Data!$D$2:$L$2,"",1,1)))</f>
        <v/>
      </c>
      <c r="L150" s="160" t="str" cm="1">
        <f t="array" ref="L150">IFERROR(_xlfn.IFNA(
                      _xlfn.IFS(
                      G150="", "",
                      G150=0, "",
                      AND(E150="U12B",G150&lt;=Data!$M$4), "U12 Boys record",
                      AND(E150="U12G",G150&lt;=Data!$M$11), "U12 Girls record"
                       ),""), "")</f>
        <v/>
      </c>
      <c r="M150" s="18" cm="1">
        <f t="array" ref="M150">_xlfn.IFS(OR($G150="",$G150=0),0, AND(NOT(ISNUMBER($G150)),LOWER($G150)&lt;&gt;"dnf"),"Not a valid time",OR(LOWER($G150)="dnf",$G150&gt;ScoringTable!$N$161),1,RIGHT($E150,1)="B",_xlfn.XLOOKUP($G150,ScoringTable!$N$2:$N$161,ScoringTable!$L$2:$L$161,,1),TRUE,_xlfn.XLOOKUP($G150,ScoringTable!$T$2:$T$161,ScoringTable!$R$2:$R$161,,1))</f>
        <v>0</v>
      </c>
      <c r="Q150" s="117">
        <f t="shared" si="10"/>
        <v>0</v>
      </c>
      <c r="R150" s="118">
        <f t="shared" si="11"/>
        <v>0</v>
      </c>
      <c r="S150" s="119">
        <f t="shared" si="12"/>
        <v>0</v>
      </c>
      <c r="T150" s="118">
        <f t="shared" si="13"/>
        <v>0</v>
      </c>
      <c r="U150" s="120">
        <f t="shared" si="14"/>
        <v>0</v>
      </c>
    </row>
    <row r="151" spans="1:21" s="7" customFormat="1" ht="16.05" customHeight="1">
      <c r="A151" s="113" t="s">
        <v>95</v>
      </c>
      <c r="B151" s="114" t="str">
        <f>IF(ISNA(VLOOKUP($F151,Declarations!B$6:C$185,2,FALSE)),"",IF(VLOOKUP($F151,Declarations!B$6:C$185,2,FALSE)="","NOT DECLARED",IF(ISNA(_xlfn.TEXTBEFORE(VLOOKUP($F151,Declarations!B$6:C$185,2,FALSE)," ")),VLOOKUP($F151,Declarations!B$6:C$185,2,FALSE),_xlfn.TEXTBEFORE(VLOOKUP($F151,Declarations!B$6:C$185,2,FALSE)," "))))</f>
        <v/>
      </c>
      <c r="C151" s="114" t="str">
        <f>IF(ISNA(VLOOKUP($F151,Declarations!B$6:C$185,2,FALSE)),"",IF(VLOOKUP($F151,Declarations!B$6:C$185,2,FALSE)="","NOT DECLARED",IF(ISNA(_xlfn.TEXTAFTER(VLOOKUP($F151,Declarations!B$6:C$185,2,FALSE)," ")),VLOOKUP($F151,Declarations!B$6:C$185,2,FALSE),_xlfn.TEXTAFTER(VLOOKUP($F151,Declarations!B$6:C$185,2,FALSE)," "))))</f>
        <v/>
      </c>
      <c r="D151" s="114" t="str">
        <f>IF(ISNA(VLOOKUP($F151,Declarations!$B$6:$F$185,5,FALSE)),"",IF(VLOOKUP($F151,Declarations!$B$6:$F$185,5,FALSE)="","NOT DECLARED",VLOOKUP($F151,Declarations!$B$6:$F$185,5,FALSE)))</f>
        <v/>
      </c>
      <c r="E151" s="112" t="str">
        <f>IF(ISNA(VLOOKUP($F151,Declarations!$B$6:$D$185,3,FALSE)),"",IF(VLOOKUP($F151,Declarations!$B$6:$D$185,3,FALSE)="","NOT DECLARED",VLOOKUP($F151,Declarations!$B$6:$D$185,3,FALSE)&amp;LEFT(VLOOKUP($F151,Declarations!$B$6:$E$185,4,FALSE))))</f>
        <v/>
      </c>
      <c r="F151" s="58"/>
      <c r="G151" s="115">
        <v>0</v>
      </c>
      <c r="H151" s="281"/>
      <c r="I151" s="114" t="str">
        <f>IF(ISNA(VLOOKUP(F151,Declarations!B$6:C$185,2,FALSE)),"",IF(VLOOKUP(F151,Declarations!B$6:C$185,2,FALSE)="","NOT DECLARED",VLOOKUP(F151,Declarations!B$6:C$185,2,FALSE)))</f>
        <v/>
      </c>
      <c r="J151" s="116">
        <f>IF(LOWER(G151)="dnf",1,IF(U151&lt;ScoringTable!C$3,ScoringTable!I$2,VLOOKUP((1000-U151),ScoringTable!H$2:I$95,2)))</f>
        <v>0</v>
      </c>
      <c r="K151" s="112" t="str">
        <f>IF(OR(E151="",G151=""),"",IF(RIGHT(E151,1)="G",_xlfn.XLOOKUP(G151,Data!$D$11:$L$11,Data!$D$9:$L$9,"",1,1),_xlfn.XLOOKUP(G151,Data!$D$4:$L$4,Data!$D$2:$L$2,"",1,1)))</f>
        <v/>
      </c>
      <c r="L151" s="160" t="str" cm="1">
        <f t="array" ref="L151">IFERROR(_xlfn.IFNA(
                      _xlfn.IFS(
                      G151="", "",
                      G151=0, "",
                      AND(E151="U12B",G151&lt;=Data!$M$4), "U12 Boys record",
                      AND(E151="U12G",G151&lt;=Data!$M$11), "U12 Girls record"
                       ),""), "")</f>
        <v/>
      </c>
      <c r="M151" s="18" cm="1">
        <f t="array" ref="M151">_xlfn.IFS(OR($G151="",$G151=0),0, AND(NOT(ISNUMBER($G151)),LOWER($G151)&lt;&gt;"dnf"),"Not a valid time",OR(LOWER($G151)="dnf",$G151&gt;ScoringTable!$N$161),1,RIGHT($E151,1)="B",_xlfn.XLOOKUP($G151,ScoringTable!$N$2:$N$161,ScoringTable!$L$2:$L$161,,1),TRUE,_xlfn.XLOOKUP($G151,ScoringTable!$T$2:$T$161,ScoringTable!$R$2:$R$161,,1))</f>
        <v>0</v>
      </c>
      <c r="Q151" s="117">
        <f t="shared" si="10"/>
        <v>0</v>
      </c>
      <c r="R151" s="118">
        <f t="shared" si="11"/>
        <v>0</v>
      </c>
      <c r="S151" s="119">
        <f t="shared" si="12"/>
        <v>0</v>
      </c>
      <c r="T151" s="118">
        <f t="shared" si="13"/>
        <v>0</v>
      </c>
      <c r="U151" s="120">
        <f t="shared" si="14"/>
        <v>0</v>
      </c>
    </row>
    <row r="152" spans="1:21" s="7" customFormat="1" ht="16.05" customHeight="1">
      <c r="A152" s="113" t="s">
        <v>95</v>
      </c>
      <c r="B152" s="114" t="str">
        <f>IF(ISNA(VLOOKUP($F152,Declarations!B$6:C$185,2,FALSE)),"",IF(VLOOKUP($F152,Declarations!B$6:C$185,2,FALSE)="","NOT DECLARED",IF(ISNA(_xlfn.TEXTBEFORE(VLOOKUP($F152,Declarations!B$6:C$185,2,FALSE)," ")),VLOOKUP($F152,Declarations!B$6:C$185,2,FALSE),_xlfn.TEXTBEFORE(VLOOKUP($F152,Declarations!B$6:C$185,2,FALSE)," "))))</f>
        <v/>
      </c>
      <c r="C152" s="114" t="str">
        <f>IF(ISNA(VLOOKUP($F152,Declarations!B$6:C$185,2,FALSE)),"",IF(VLOOKUP($F152,Declarations!B$6:C$185,2,FALSE)="","NOT DECLARED",IF(ISNA(_xlfn.TEXTAFTER(VLOOKUP($F152,Declarations!B$6:C$185,2,FALSE)," ")),VLOOKUP($F152,Declarations!B$6:C$185,2,FALSE),_xlfn.TEXTAFTER(VLOOKUP($F152,Declarations!B$6:C$185,2,FALSE)," "))))</f>
        <v/>
      </c>
      <c r="D152" s="114" t="str">
        <f>IF(ISNA(VLOOKUP($F152,Declarations!$B$6:$F$185,5,FALSE)),"",IF(VLOOKUP($F152,Declarations!$B$6:$F$185,5,FALSE)="","NOT DECLARED",VLOOKUP($F152,Declarations!$B$6:$F$185,5,FALSE)))</f>
        <v/>
      </c>
      <c r="E152" s="112" t="str">
        <f>IF(ISNA(VLOOKUP($F152,Declarations!$B$6:$D$185,3,FALSE)),"",IF(VLOOKUP($F152,Declarations!$B$6:$D$185,3,FALSE)="","NOT DECLARED",VLOOKUP($F152,Declarations!$B$6:$D$185,3,FALSE)&amp;LEFT(VLOOKUP($F152,Declarations!$B$6:$E$185,4,FALSE))))</f>
        <v/>
      </c>
      <c r="F152" s="58"/>
      <c r="G152" s="115">
        <v>0</v>
      </c>
      <c r="H152" s="281"/>
      <c r="I152" s="114" t="str">
        <f>IF(ISNA(VLOOKUP(F152,Declarations!B$6:C$185,2,FALSE)),"",IF(VLOOKUP(F152,Declarations!B$6:C$185,2,FALSE)="","NOT DECLARED",VLOOKUP(F152,Declarations!B$6:C$185,2,FALSE)))</f>
        <v/>
      </c>
      <c r="J152" s="116">
        <f>IF(LOWER(G152)="dnf",1,IF(U152&lt;ScoringTable!C$3,ScoringTable!I$2,VLOOKUP((1000-U152),ScoringTable!H$2:I$95,2)))</f>
        <v>0</v>
      </c>
      <c r="K152" s="112" t="str">
        <f>IF(OR(E152="",G152=""),"",IF(RIGHT(E152,1)="G",_xlfn.XLOOKUP(G152,Data!$D$11:$L$11,Data!$D$9:$L$9,"",1,1),_xlfn.XLOOKUP(G152,Data!$D$4:$L$4,Data!$D$2:$L$2,"",1,1)))</f>
        <v/>
      </c>
      <c r="L152" s="160" t="str" cm="1">
        <f t="array" ref="L152">IFERROR(_xlfn.IFNA(
                      _xlfn.IFS(
                      G152="", "",
                      G152=0, "",
                      AND(E152="U12B",G152&lt;=Data!$M$4), "U12 Boys record",
                      AND(E152="U12G",G152&lt;=Data!$M$11), "U12 Girls record"
                       ),""), "")</f>
        <v/>
      </c>
      <c r="M152" s="18" cm="1">
        <f t="array" ref="M152">_xlfn.IFS(OR($G152="",$G152=0),0, AND(NOT(ISNUMBER($G152)),LOWER($G152)&lt;&gt;"dnf"),"Not a valid time",OR(LOWER($G152)="dnf",$G152&gt;ScoringTable!$N$161),1,RIGHT($E152,1)="B",_xlfn.XLOOKUP($G152,ScoringTable!$N$2:$N$161,ScoringTable!$L$2:$L$161,,1),TRUE,_xlfn.XLOOKUP($G152,ScoringTable!$T$2:$T$161,ScoringTable!$R$2:$R$161,,1))</f>
        <v>0</v>
      </c>
      <c r="Q152" s="117">
        <f t="shared" si="10"/>
        <v>0</v>
      </c>
      <c r="R152" s="118">
        <f t="shared" si="11"/>
        <v>0</v>
      </c>
      <c r="S152" s="119">
        <f t="shared" si="12"/>
        <v>0</v>
      </c>
      <c r="T152" s="118">
        <f t="shared" si="13"/>
        <v>0</v>
      </c>
      <c r="U152" s="120">
        <f t="shared" si="14"/>
        <v>0</v>
      </c>
    </row>
    <row r="153" spans="1:21" s="7" customFormat="1" ht="16.05" customHeight="1">
      <c r="A153" s="113" t="s">
        <v>95</v>
      </c>
      <c r="B153" s="114" t="str">
        <f>IF(ISNA(VLOOKUP($F153,Declarations!B$6:C$185,2,FALSE)),"",IF(VLOOKUP($F153,Declarations!B$6:C$185,2,FALSE)="","NOT DECLARED",IF(ISNA(_xlfn.TEXTBEFORE(VLOOKUP($F153,Declarations!B$6:C$185,2,FALSE)," ")),VLOOKUP($F153,Declarations!B$6:C$185,2,FALSE),_xlfn.TEXTBEFORE(VLOOKUP($F153,Declarations!B$6:C$185,2,FALSE)," "))))</f>
        <v/>
      </c>
      <c r="C153" s="114" t="str">
        <f>IF(ISNA(VLOOKUP($F153,Declarations!B$6:C$185,2,FALSE)),"",IF(VLOOKUP($F153,Declarations!B$6:C$185,2,FALSE)="","NOT DECLARED",IF(ISNA(_xlfn.TEXTAFTER(VLOOKUP($F153,Declarations!B$6:C$185,2,FALSE)," ")),VLOOKUP($F153,Declarations!B$6:C$185,2,FALSE),_xlfn.TEXTAFTER(VLOOKUP($F153,Declarations!B$6:C$185,2,FALSE)," "))))</f>
        <v/>
      </c>
      <c r="D153" s="114" t="str">
        <f>IF(ISNA(VLOOKUP($F153,Declarations!$B$6:$F$185,5,FALSE)),"",IF(VLOOKUP($F153,Declarations!$B$6:$F$185,5,FALSE)="","NOT DECLARED",VLOOKUP($F153,Declarations!$B$6:$F$185,5,FALSE)))</f>
        <v/>
      </c>
      <c r="E153" s="112" t="str">
        <f>IF(ISNA(VLOOKUP($F153,Declarations!$B$6:$D$185,3,FALSE)),"",IF(VLOOKUP($F153,Declarations!$B$6:$D$185,3,FALSE)="","NOT DECLARED",VLOOKUP($F153,Declarations!$B$6:$D$185,3,FALSE)&amp;LEFT(VLOOKUP($F153,Declarations!$B$6:$E$185,4,FALSE))))</f>
        <v/>
      </c>
      <c r="F153" s="58"/>
      <c r="G153" s="115">
        <v>0</v>
      </c>
      <c r="H153" s="281"/>
      <c r="I153" s="114" t="str">
        <f>IF(ISNA(VLOOKUP(F153,Declarations!B$6:C$185,2,FALSE)),"",IF(VLOOKUP(F153,Declarations!B$6:C$185,2,FALSE)="","NOT DECLARED",VLOOKUP(F153,Declarations!B$6:C$185,2,FALSE)))</f>
        <v/>
      </c>
      <c r="J153" s="116">
        <f>IF(LOWER(G153)="dnf",1,IF(U153&lt;ScoringTable!C$3,ScoringTable!I$2,VLOOKUP((1000-U153),ScoringTable!H$2:I$95,2)))</f>
        <v>0</v>
      </c>
      <c r="K153" s="112" t="str">
        <f>IF(OR(E153="",G153=""),"",IF(RIGHT(E153,1)="G",_xlfn.XLOOKUP(G153,Data!$D$11:$L$11,Data!$D$9:$L$9,"",1,1),_xlfn.XLOOKUP(G153,Data!$D$4:$L$4,Data!$D$2:$L$2,"",1,1)))</f>
        <v/>
      </c>
      <c r="L153" s="160" t="str" cm="1">
        <f t="array" ref="L153">IFERROR(_xlfn.IFNA(
                      _xlfn.IFS(
                      G153="", "",
                      G153=0, "",
                      AND(E153="U12B",G153&lt;=Data!$M$4), "U12 Boys record",
                      AND(E153="U12G",G153&lt;=Data!$M$11), "U12 Girls record"
                       ),""), "")</f>
        <v/>
      </c>
      <c r="M153" s="18" cm="1">
        <f t="array" ref="M153">_xlfn.IFS(OR($G153="",$G153=0),0, AND(NOT(ISNUMBER($G153)),LOWER($G153)&lt;&gt;"dnf"),"Not a valid time",OR(LOWER($G153)="dnf",$G153&gt;ScoringTable!$N$161),1,RIGHT($E153,1)="B",_xlfn.XLOOKUP($G153,ScoringTable!$N$2:$N$161,ScoringTable!$L$2:$L$161,,1),TRUE,_xlfn.XLOOKUP($G153,ScoringTable!$T$2:$T$161,ScoringTable!$R$2:$R$161,,1))</f>
        <v>0</v>
      </c>
      <c r="Q153" s="117">
        <f t="shared" si="10"/>
        <v>0</v>
      </c>
      <c r="R153" s="118">
        <f t="shared" si="11"/>
        <v>0</v>
      </c>
      <c r="S153" s="119">
        <f t="shared" si="12"/>
        <v>0</v>
      </c>
      <c r="T153" s="118">
        <f t="shared" si="13"/>
        <v>0</v>
      </c>
      <c r="U153" s="120">
        <f t="shared" si="14"/>
        <v>0</v>
      </c>
    </row>
    <row r="154" spans="1:21" s="7" customFormat="1" ht="16.05" customHeight="1">
      <c r="A154" s="113" t="s">
        <v>95</v>
      </c>
      <c r="B154" s="114" t="str">
        <f>IF(ISNA(VLOOKUP($F154,Declarations!B$6:C$185,2,FALSE)),"",IF(VLOOKUP($F154,Declarations!B$6:C$185,2,FALSE)="","NOT DECLARED",IF(ISNA(_xlfn.TEXTBEFORE(VLOOKUP($F154,Declarations!B$6:C$185,2,FALSE)," ")),VLOOKUP($F154,Declarations!B$6:C$185,2,FALSE),_xlfn.TEXTBEFORE(VLOOKUP($F154,Declarations!B$6:C$185,2,FALSE)," "))))</f>
        <v/>
      </c>
      <c r="C154" s="114" t="str">
        <f>IF(ISNA(VLOOKUP($F154,Declarations!B$6:C$185,2,FALSE)),"",IF(VLOOKUP($F154,Declarations!B$6:C$185,2,FALSE)="","NOT DECLARED",IF(ISNA(_xlfn.TEXTAFTER(VLOOKUP($F154,Declarations!B$6:C$185,2,FALSE)," ")),VLOOKUP($F154,Declarations!B$6:C$185,2,FALSE),_xlfn.TEXTAFTER(VLOOKUP($F154,Declarations!B$6:C$185,2,FALSE)," "))))</f>
        <v/>
      </c>
      <c r="D154" s="114" t="str">
        <f>IF(ISNA(VLOOKUP($F154,Declarations!$B$6:$F$185,5,FALSE)),"",IF(VLOOKUP($F154,Declarations!$B$6:$F$185,5,FALSE)="","NOT DECLARED",VLOOKUP($F154,Declarations!$B$6:$F$185,5,FALSE)))</f>
        <v/>
      </c>
      <c r="E154" s="112" t="str">
        <f>IF(ISNA(VLOOKUP($F154,Declarations!$B$6:$D$185,3,FALSE)),"",IF(VLOOKUP($F154,Declarations!$B$6:$D$185,3,FALSE)="","NOT DECLARED",VLOOKUP($F154,Declarations!$B$6:$D$185,3,FALSE)&amp;LEFT(VLOOKUP($F154,Declarations!$B$6:$E$185,4,FALSE))))</f>
        <v/>
      </c>
      <c r="F154" s="58"/>
      <c r="G154" s="115">
        <v>0</v>
      </c>
      <c r="H154" s="281"/>
      <c r="I154" s="114" t="str">
        <f>IF(ISNA(VLOOKUP(F154,Declarations!B$6:C$185,2,FALSE)),"",IF(VLOOKUP(F154,Declarations!B$6:C$185,2,FALSE)="","NOT DECLARED",VLOOKUP(F154,Declarations!B$6:C$185,2,FALSE)))</f>
        <v/>
      </c>
      <c r="J154" s="116">
        <f>IF(LOWER(G154)="dnf",1,IF(U154&lt;ScoringTable!C$3,ScoringTable!I$2,VLOOKUP((1000-U154),ScoringTable!H$2:I$95,2)))</f>
        <v>0</v>
      </c>
      <c r="K154" s="112" t="str">
        <f>IF(OR(E154="",G154=""),"",IF(RIGHT(E154,1)="G",_xlfn.XLOOKUP(G154,Data!$D$11:$L$11,Data!$D$9:$L$9,"",1,1),_xlfn.XLOOKUP(G154,Data!$D$4:$L$4,Data!$D$2:$L$2,"",1,1)))</f>
        <v/>
      </c>
      <c r="L154" s="160" t="str" cm="1">
        <f t="array" ref="L154">IFERROR(_xlfn.IFNA(
                      _xlfn.IFS(
                      G154="", "",
                      G154=0, "",
                      AND(E154="U12B",G154&lt;=Data!$M$4), "U12 Boys record",
                      AND(E154="U12G",G154&lt;=Data!$M$11), "U12 Girls record"
                       ),""), "")</f>
        <v/>
      </c>
      <c r="M154" s="18" cm="1">
        <f t="array" ref="M154">_xlfn.IFS(OR($G154="",$G154=0),0, AND(NOT(ISNUMBER($G154)),LOWER($G154)&lt;&gt;"dnf"),"Not a valid time",OR(LOWER($G154)="dnf",$G154&gt;ScoringTable!$N$161),1,RIGHT($E154,1)="B",_xlfn.XLOOKUP($G154,ScoringTable!$N$2:$N$161,ScoringTable!$L$2:$L$161,,1),TRUE,_xlfn.XLOOKUP($G154,ScoringTable!$T$2:$T$161,ScoringTable!$R$2:$R$161,,1))</f>
        <v>0</v>
      </c>
      <c r="Q154" s="117">
        <f t="shared" si="10"/>
        <v>0</v>
      </c>
      <c r="R154" s="118">
        <f t="shared" si="11"/>
        <v>0</v>
      </c>
      <c r="S154" s="119">
        <f t="shared" si="12"/>
        <v>0</v>
      </c>
      <c r="T154" s="118">
        <f t="shared" si="13"/>
        <v>0</v>
      </c>
      <c r="U154" s="120">
        <f t="shared" si="14"/>
        <v>0</v>
      </c>
    </row>
    <row r="155" spans="1:21" s="7" customFormat="1" ht="16.05" customHeight="1">
      <c r="A155" s="113" t="s">
        <v>95</v>
      </c>
      <c r="B155" s="114" t="str">
        <f>IF(ISNA(VLOOKUP($F155,Declarations!B$6:C$185,2,FALSE)),"",IF(VLOOKUP($F155,Declarations!B$6:C$185,2,FALSE)="","NOT DECLARED",IF(ISNA(_xlfn.TEXTBEFORE(VLOOKUP($F155,Declarations!B$6:C$185,2,FALSE)," ")),VLOOKUP($F155,Declarations!B$6:C$185,2,FALSE),_xlfn.TEXTBEFORE(VLOOKUP($F155,Declarations!B$6:C$185,2,FALSE)," "))))</f>
        <v/>
      </c>
      <c r="C155" s="114" t="str">
        <f>IF(ISNA(VLOOKUP($F155,Declarations!B$6:C$185,2,FALSE)),"",IF(VLOOKUP($F155,Declarations!B$6:C$185,2,FALSE)="","NOT DECLARED",IF(ISNA(_xlfn.TEXTAFTER(VLOOKUP($F155,Declarations!B$6:C$185,2,FALSE)," ")),VLOOKUP($F155,Declarations!B$6:C$185,2,FALSE),_xlfn.TEXTAFTER(VLOOKUP($F155,Declarations!B$6:C$185,2,FALSE)," "))))</f>
        <v/>
      </c>
      <c r="D155" s="114" t="str">
        <f>IF(ISNA(VLOOKUP($F155,Declarations!$B$6:$F$185,5,FALSE)),"",IF(VLOOKUP($F155,Declarations!$B$6:$F$185,5,FALSE)="","NOT DECLARED",VLOOKUP($F155,Declarations!$B$6:$F$185,5,FALSE)))</f>
        <v/>
      </c>
      <c r="E155" s="112" t="str">
        <f>IF(ISNA(VLOOKUP($F155,Declarations!$B$6:$D$185,3,FALSE)),"",IF(VLOOKUP($F155,Declarations!$B$6:$D$185,3,FALSE)="","NOT DECLARED",VLOOKUP($F155,Declarations!$B$6:$D$185,3,FALSE)&amp;LEFT(VLOOKUP($F155,Declarations!$B$6:$E$185,4,FALSE))))</f>
        <v/>
      </c>
      <c r="F155" s="58"/>
      <c r="G155" s="115">
        <v>0</v>
      </c>
      <c r="H155" s="281"/>
      <c r="I155" s="114" t="str">
        <f>IF(ISNA(VLOOKUP(F155,Declarations!B$6:C$185,2,FALSE)),"",IF(VLOOKUP(F155,Declarations!B$6:C$185,2,FALSE)="","NOT DECLARED",VLOOKUP(F155,Declarations!B$6:C$185,2,FALSE)))</f>
        <v/>
      </c>
      <c r="J155" s="116">
        <f>IF(LOWER(G155)="dnf",1,IF(U155&lt;ScoringTable!C$3,ScoringTable!I$2,VLOOKUP((1000-U155),ScoringTable!H$2:I$95,2)))</f>
        <v>0</v>
      </c>
      <c r="K155" s="112" t="str">
        <f>IF(OR(E155="",G155=""),"",IF(RIGHT(E155,1)="G",_xlfn.XLOOKUP(G155,Data!$D$11:$L$11,Data!$D$9:$L$9,"",1,1),_xlfn.XLOOKUP(G155,Data!$D$4:$L$4,Data!$D$2:$L$2,"",1,1)))</f>
        <v/>
      </c>
      <c r="L155" s="160" t="str" cm="1">
        <f t="array" ref="L155">IFERROR(_xlfn.IFNA(
                      _xlfn.IFS(
                      G155="", "",
                      G155=0, "",
                      AND(E155="U12B",G155&lt;=Data!$M$4), "U12 Boys record",
                      AND(E155="U12G",G155&lt;=Data!$M$11), "U12 Girls record"
                       ),""), "")</f>
        <v/>
      </c>
      <c r="M155" s="18" cm="1">
        <f t="array" ref="M155">_xlfn.IFS(OR($G155="",$G155=0),0, AND(NOT(ISNUMBER($G155)),LOWER($G155)&lt;&gt;"dnf"),"Not a valid time",OR(LOWER($G155)="dnf",$G155&gt;ScoringTable!$N$161),1,RIGHT($E155,1)="B",_xlfn.XLOOKUP($G155,ScoringTable!$N$2:$N$161,ScoringTable!$L$2:$L$161,,1),TRUE,_xlfn.XLOOKUP($G155,ScoringTable!$T$2:$T$161,ScoringTable!$R$2:$R$161,,1))</f>
        <v>0</v>
      </c>
      <c r="Q155" s="117">
        <f t="shared" si="10"/>
        <v>0</v>
      </c>
      <c r="R155" s="118">
        <f t="shared" si="11"/>
        <v>0</v>
      </c>
      <c r="S155" s="119">
        <f t="shared" si="12"/>
        <v>0</v>
      </c>
      <c r="T155" s="118">
        <f t="shared" si="13"/>
        <v>0</v>
      </c>
      <c r="U155" s="120">
        <f t="shared" si="14"/>
        <v>0</v>
      </c>
    </row>
    <row r="156" spans="1:21" s="7" customFormat="1" ht="16.05" customHeight="1">
      <c r="A156" s="113" t="s">
        <v>95</v>
      </c>
      <c r="B156" s="114" t="str">
        <f>IF(ISNA(VLOOKUP($F156,Declarations!B$6:C$185,2,FALSE)),"",IF(VLOOKUP($F156,Declarations!B$6:C$185,2,FALSE)="","NOT DECLARED",IF(ISNA(_xlfn.TEXTBEFORE(VLOOKUP($F156,Declarations!B$6:C$185,2,FALSE)," ")),VLOOKUP($F156,Declarations!B$6:C$185,2,FALSE),_xlfn.TEXTBEFORE(VLOOKUP($F156,Declarations!B$6:C$185,2,FALSE)," "))))</f>
        <v/>
      </c>
      <c r="C156" s="114" t="str">
        <f>IF(ISNA(VLOOKUP($F156,Declarations!B$6:C$185,2,FALSE)),"",IF(VLOOKUP($F156,Declarations!B$6:C$185,2,FALSE)="","NOT DECLARED",IF(ISNA(_xlfn.TEXTAFTER(VLOOKUP($F156,Declarations!B$6:C$185,2,FALSE)," ")),VLOOKUP($F156,Declarations!B$6:C$185,2,FALSE),_xlfn.TEXTAFTER(VLOOKUP($F156,Declarations!B$6:C$185,2,FALSE)," "))))</f>
        <v/>
      </c>
      <c r="D156" s="114" t="str">
        <f>IF(ISNA(VLOOKUP($F156,Declarations!$B$6:$F$185,5,FALSE)),"",IF(VLOOKUP($F156,Declarations!$B$6:$F$185,5,FALSE)="","NOT DECLARED",VLOOKUP($F156,Declarations!$B$6:$F$185,5,FALSE)))</f>
        <v/>
      </c>
      <c r="E156" s="112" t="str">
        <f>IF(ISNA(VLOOKUP($F156,Declarations!$B$6:$D$185,3,FALSE)),"",IF(VLOOKUP($F156,Declarations!$B$6:$D$185,3,FALSE)="","NOT DECLARED",VLOOKUP($F156,Declarations!$B$6:$D$185,3,FALSE)&amp;LEFT(VLOOKUP($F156,Declarations!$B$6:$E$185,4,FALSE))))</f>
        <v/>
      </c>
      <c r="F156" s="58"/>
      <c r="G156" s="115">
        <v>0</v>
      </c>
      <c r="H156" s="281"/>
      <c r="I156" s="114" t="str">
        <f>IF(ISNA(VLOOKUP(F156,Declarations!B$6:C$185,2,FALSE)),"",IF(VLOOKUP(F156,Declarations!B$6:C$185,2,FALSE)="","NOT DECLARED",VLOOKUP(F156,Declarations!B$6:C$185,2,FALSE)))</f>
        <v/>
      </c>
      <c r="J156" s="116">
        <f>IF(LOWER(G156)="dnf",1,IF(U156&lt;ScoringTable!C$3,ScoringTable!I$2,VLOOKUP((1000-U156),ScoringTable!H$2:I$95,2)))</f>
        <v>0</v>
      </c>
      <c r="K156" s="112" t="str">
        <f>IF(OR(E156="",G156=""),"",IF(RIGHT(E156,1)="G",_xlfn.XLOOKUP(G156,Data!$D$11:$L$11,Data!$D$9:$L$9,"",1,1),_xlfn.XLOOKUP(G156,Data!$D$4:$L$4,Data!$D$2:$L$2,"",1,1)))</f>
        <v/>
      </c>
      <c r="L156" s="160" t="str" cm="1">
        <f t="array" ref="L156">IFERROR(_xlfn.IFNA(
                      _xlfn.IFS(
                      G156="", "",
                      G156=0, "",
                      AND(E156="U12B",G156&lt;=Data!$M$4), "U12 Boys record",
                      AND(E156="U12G",G156&lt;=Data!$M$11), "U12 Girls record"
                       ),""), "")</f>
        <v/>
      </c>
      <c r="M156" s="18" cm="1">
        <f t="array" ref="M156">_xlfn.IFS(OR($G156="",$G156=0),0, AND(NOT(ISNUMBER($G156)),LOWER($G156)&lt;&gt;"dnf"),"Not a valid time",OR(LOWER($G156)="dnf",$G156&gt;ScoringTable!$N$161),1,RIGHT($E156,1)="B",_xlfn.XLOOKUP($G156,ScoringTable!$N$2:$N$161,ScoringTable!$L$2:$L$161,,1),TRUE,_xlfn.XLOOKUP($G156,ScoringTable!$T$2:$T$161,ScoringTable!$R$2:$R$161,,1))</f>
        <v>0</v>
      </c>
      <c r="Q156" s="117">
        <f t="shared" si="10"/>
        <v>0</v>
      </c>
      <c r="R156" s="118">
        <f t="shared" si="11"/>
        <v>0</v>
      </c>
      <c r="S156" s="119">
        <f t="shared" si="12"/>
        <v>0</v>
      </c>
      <c r="T156" s="118">
        <f t="shared" si="13"/>
        <v>0</v>
      </c>
      <c r="U156" s="120">
        <f t="shared" si="14"/>
        <v>0</v>
      </c>
    </row>
    <row r="157" spans="1:21" s="7" customFormat="1" ht="16.05" customHeight="1">
      <c r="A157" s="113" t="s">
        <v>95</v>
      </c>
      <c r="B157" s="114" t="str">
        <f>IF(ISNA(VLOOKUP($F157,Declarations!B$6:C$185,2,FALSE)),"",IF(VLOOKUP($F157,Declarations!B$6:C$185,2,FALSE)="","NOT DECLARED",IF(ISNA(_xlfn.TEXTBEFORE(VLOOKUP($F157,Declarations!B$6:C$185,2,FALSE)," ")),VLOOKUP($F157,Declarations!B$6:C$185,2,FALSE),_xlfn.TEXTBEFORE(VLOOKUP($F157,Declarations!B$6:C$185,2,FALSE)," "))))</f>
        <v/>
      </c>
      <c r="C157" s="114" t="str">
        <f>IF(ISNA(VLOOKUP($F157,Declarations!B$6:C$185,2,FALSE)),"",IF(VLOOKUP($F157,Declarations!B$6:C$185,2,FALSE)="","NOT DECLARED",IF(ISNA(_xlfn.TEXTAFTER(VLOOKUP($F157,Declarations!B$6:C$185,2,FALSE)," ")),VLOOKUP($F157,Declarations!B$6:C$185,2,FALSE),_xlfn.TEXTAFTER(VLOOKUP($F157,Declarations!B$6:C$185,2,FALSE)," "))))</f>
        <v/>
      </c>
      <c r="D157" s="114" t="str">
        <f>IF(ISNA(VLOOKUP($F157,Declarations!$B$6:$F$185,5,FALSE)),"",IF(VLOOKUP($F157,Declarations!$B$6:$F$185,5,FALSE)="","NOT DECLARED",VLOOKUP($F157,Declarations!$B$6:$F$185,5,FALSE)))</f>
        <v/>
      </c>
      <c r="E157" s="112" t="str">
        <f>IF(ISNA(VLOOKUP($F157,Declarations!$B$6:$D$185,3,FALSE)),"",IF(VLOOKUP($F157,Declarations!$B$6:$D$185,3,FALSE)="","NOT DECLARED",VLOOKUP($F157,Declarations!$B$6:$D$185,3,FALSE)&amp;LEFT(VLOOKUP($F157,Declarations!$B$6:$E$185,4,FALSE))))</f>
        <v/>
      </c>
      <c r="F157" s="58"/>
      <c r="G157" s="115">
        <v>0</v>
      </c>
      <c r="H157" s="281"/>
      <c r="I157" s="114" t="str">
        <f>IF(ISNA(VLOOKUP(F157,Declarations!B$6:C$185,2,FALSE)),"",IF(VLOOKUP(F157,Declarations!B$6:C$185,2,FALSE)="","NOT DECLARED",VLOOKUP(F157,Declarations!B$6:C$185,2,FALSE)))</f>
        <v/>
      </c>
      <c r="J157" s="116">
        <f>IF(LOWER(G157)="dnf",1,IF(U157&lt;ScoringTable!C$3,ScoringTable!I$2,VLOOKUP((1000-U157),ScoringTable!H$2:I$95,2)))</f>
        <v>0</v>
      </c>
      <c r="K157" s="112" t="str">
        <f>IF(OR(E157="",G157=""),"",IF(RIGHT(E157,1)="G",_xlfn.XLOOKUP(G157,Data!$D$11:$L$11,Data!$D$9:$L$9,"",1,1),_xlfn.XLOOKUP(G157,Data!$D$4:$L$4,Data!$D$2:$L$2,"",1,1)))</f>
        <v/>
      </c>
      <c r="L157" s="160" t="str" cm="1">
        <f t="array" ref="L157">IFERROR(_xlfn.IFNA(
                      _xlfn.IFS(
                      G157="", "",
                      G157=0, "",
                      AND(E157="U12B",G157&lt;=Data!$M$4), "U12 Boys record",
                      AND(E157="U12G",G157&lt;=Data!$M$11), "U12 Girls record"
                       ),""), "")</f>
        <v/>
      </c>
      <c r="M157" s="18" cm="1">
        <f t="array" ref="M157">_xlfn.IFS(OR($G157="",$G157=0),0, AND(NOT(ISNUMBER($G157)),LOWER($G157)&lt;&gt;"dnf"),"Not a valid time",OR(LOWER($G157)="dnf",$G157&gt;ScoringTable!$N$161),1,RIGHT($E157,1)="B",_xlfn.XLOOKUP($G157,ScoringTable!$N$2:$N$161,ScoringTable!$L$2:$L$161,,1),TRUE,_xlfn.XLOOKUP($G157,ScoringTable!$T$2:$T$161,ScoringTable!$R$2:$R$161,,1))</f>
        <v>0</v>
      </c>
      <c r="Q157" s="117">
        <f t="shared" si="10"/>
        <v>0</v>
      </c>
      <c r="R157" s="118">
        <f t="shared" si="11"/>
        <v>0</v>
      </c>
      <c r="S157" s="119">
        <f t="shared" si="12"/>
        <v>0</v>
      </c>
      <c r="T157" s="118">
        <f t="shared" si="13"/>
        <v>0</v>
      </c>
      <c r="U157" s="120">
        <f t="shared" si="14"/>
        <v>0</v>
      </c>
    </row>
    <row r="158" spans="1:21" s="7" customFormat="1" ht="16.05" customHeight="1">
      <c r="A158" s="113" t="s">
        <v>95</v>
      </c>
      <c r="B158" s="114" t="str">
        <f>IF(ISNA(VLOOKUP($F158,Declarations!B$6:C$185,2,FALSE)),"",IF(VLOOKUP($F158,Declarations!B$6:C$185,2,FALSE)="","NOT DECLARED",IF(ISNA(_xlfn.TEXTBEFORE(VLOOKUP($F158,Declarations!B$6:C$185,2,FALSE)," ")),VLOOKUP($F158,Declarations!B$6:C$185,2,FALSE),_xlfn.TEXTBEFORE(VLOOKUP($F158,Declarations!B$6:C$185,2,FALSE)," "))))</f>
        <v/>
      </c>
      <c r="C158" s="114" t="str">
        <f>IF(ISNA(VLOOKUP($F158,Declarations!B$6:C$185,2,FALSE)),"",IF(VLOOKUP($F158,Declarations!B$6:C$185,2,FALSE)="","NOT DECLARED",IF(ISNA(_xlfn.TEXTAFTER(VLOOKUP($F158,Declarations!B$6:C$185,2,FALSE)," ")),VLOOKUP($F158,Declarations!B$6:C$185,2,FALSE),_xlfn.TEXTAFTER(VLOOKUP($F158,Declarations!B$6:C$185,2,FALSE)," "))))</f>
        <v/>
      </c>
      <c r="D158" s="114" t="str">
        <f>IF(ISNA(VLOOKUP($F158,Declarations!$B$6:$F$185,5,FALSE)),"",IF(VLOOKUP($F158,Declarations!$B$6:$F$185,5,FALSE)="","NOT DECLARED",VLOOKUP($F158,Declarations!$B$6:$F$185,5,FALSE)))</f>
        <v/>
      </c>
      <c r="E158" s="112" t="str">
        <f>IF(ISNA(VLOOKUP($F158,Declarations!$B$6:$D$185,3,FALSE)),"",IF(VLOOKUP($F158,Declarations!$B$6:$D$185,3,FALSE)="","NOT DECLARED",VLOOKUP($F158,Declarations!$B$6:$D$185,3,FALSE)&amp;LEFT(VLOOKUP($F158,Declarations!$B$6:$E$185,4,FALSE))))</f>
        <v/>
      </c>
      <c r="F158" s="58"/>
      <c r="G158" s="115">
        <v>0</v>
      </c>
      <c r="H158" s="281"/>
      <c r="I158" s="114" t="str">
        <f>IF(ISNA(VLOOKUP(F158,Declarations!B$6:C$185,2,FALSE)),"",IF(VLOOKUP(F158,Declarations!B$6:C$185,2,FALSE)="","NOT DECLARED",VLOOKUP(F158,Declarations!B$6:C$185,2,FALSE)))</f>
        <v/>
      </c>
      <c r="J158" s="116">
        <f>IF(LOWER(G158)="dnf",1,IF(U158&lt;ScoringTable!C$3,ScoringTable!I$2,VLOOKUP((1000-U158),ScoringTable!H$2:I$95,2)))</f>
        <v>0</v>
      </c>
      <c r="K158" s="112" t="str">
        <f>IF(OR(E158="",G158=""),"",IF(RIGHT(E158,1)="G",_xlfn.XLOOKUP(G158,Data!$D$11:$L$11,Data!$D$9:$L$9,"",1,1),_xlfn.XLOOKUP(G158,Data!$D$4:$L$4,Data!$D$2:$L$2,"",1,1)))</f>
        <v/>
      </c>
      <c r="L158" s="160" t="str" cm="1">
        <f t="array" ref="L158">IFERROR(_xlfn.IFNA(
                      _xlfn.IFS(
                      G158="", "",
                      G158=0, "",
                      AND(E158="U12B",G158&lt;=Data!$M$4), "U12 Boys record",
                      AND(E158="U12G",G158&lt;=Data!$M$11), "U12 Girls record"
                       ),""), "")</f>
        <v/>
      </c>
      <c r="M158" s="18" cm="1">
        <f t="array" ref="M158">_xlfn.IFS(OR($G158="",$G158=0),0, AND(NOT(ISNUMBER($G158)),LOWER($G158)&lt;&gt;"dnf"),"Not a valid time",OR(LOWER($G158)="dnf",$G158&gt;ScoringTable!$N$161),1,RIGHT($E158,1)="B",_xlfn.XLOOKUP($G158,ScoringTable!$N$2:$N$161,ScoringTable!$L$2:$L$161,,1),TRUE,_xlfn.XLOOKUP($G158,ScoringTable!$T$2:$T$161,ScoringTable!$R$2:$R$161,,1))</f>
        <v>0</v>
      </c>
      <c r="Q158" s="117">
        <f t="shared" si="10"/>
        <v>0</v>
      </c>
      <c r="R158" s="118">
        <f t="shared" si="11"/>
        <v>0</v>
      </c>
      <c r="S158" s="119">
        <f t="shared" si="12"/>
        <v>0</v>
      </c>
      <c r="T158" s="118">
        <f t="shared" si="13"/>
        <v>0</v>
      </c>
      <c r="U158" s="120">
        <f t="shared" si="14"/>
        <v>0</v>
      </c>
    </row>
    <row r="159" spans="1:21" s="7" customFormat="1" ht="16.05" customHeight="1">
      <c r="A159" s="113" t="s">
        <v>95</v>
      </c>
      <c r="B159" s="114" t="str">
        <f>IF(ISNA(VLOOKUP($F159,Declarations!B$6:C$185,2,FALSE)),"",IF(VLOOKUP($F159,Declarations!B$6:C$185,2,FALSE)="","NOT DECLARED",IF(ISNA(_xlfn.TEXTBEFORE(VLOOKUP($F159,Declarations!B$6:C$185,2,FALSE)," ")),VLOOKUP($F159,Declarations!B$6:C$185,2,FALSE),_xlfn.TEXTBEFORE(VLOOKUP($F159,Declarations!B$6:C$185,2,FALSE)," "))))</f>
        <v/>
      </c>
      <c r="C159" s="114" t="str">
        <f>IF(ISNA(VLOOKUP($F159,Declarations!B$6:C$185,2,FALSE)),"",IF(VLOOKUP($F159,Declarations!B$6:C$185,2,FALSE)="","NOT DECLARED",IF(ISNA(_xlfn.TEXTAFTER(VLOOKUP($F159,Declarations!B$6:C$185,2,FALSE)," ")),VLOOKUP($F159,Declarations!B$6:C$185,2,FALSE),_xlfn.TEXTAFTER(VLOOKUP($F159,Declarations!B$6:C$185,2,FALSE)," "))))</f>
        <v/>
      </c>
      <c r="D159" s="114" t="str">
        <f>IF(ISNA(VLOOKUP($F159,Declarations!$B$6:$F$185,5,FALSE)),"",IF(VLOOKUP($F159,Declarations!$B$6:$F$185,5,FALSE)="","NOT DECLARED",VLOOKUP($F159,Declarations!$B$6:$F$185,5,FALSE)))</f>
        <v/>
      </c>
      <c r="E159" s="112" t="str">
        <f>IF(ISNA(VLOOKUP($F159,Declarations!$B$6:$D$185,3,FALSE)),"",IF(VLOOKUP($F159,Declarations!$B$6:$D$185,3,FALSE)="","NOT DECLARED",VLOOKUP($F159,Declarations!$B$6:$D$185,3,FALSE)&amp;LEFT(VLOOKUP($F159,Declarations!$B$6:$E$185,4,FALSE))))</f>
        <v/>
      </c>
      <c r="F159" s="58"/>
      <c r="G159" s="115">
        <v>0</v>
      </c>
      <c r="H159" s="281"/>
      <c r="I159" s="114" t="str">
        <f>IF(ISNA(VLOOKUP(F159,Declarations!B$6:C$185,2,FALSE)),"",IF(VLOOKUP(F159,Declarations!B$6:C$185,2,FALSE)="","NOT DECLARED",VLOOKUP(F159,Declarations!B$6:C$185,2,FALSE)))</f>
        <v/>
      </c>
      <c r="J159" s="116">
        <f>IF(LOWER(G159)="dnf",1,IF(U159&lt;ScoringTable!C$3,ScoringTable!I$2,VLOOKUP((1000-U159),ScoringTable!H$2:I$95,2)))</f>
        <v>0</v>
      </c>
      <c r="K159" s="112" t="str">
        <f>IF(OR(E159="",G159=""),"",IF(RIGHT(E159,1)="G",_xlfn.XLOOKUP(G159,Data!$D$11:$L$11,Data!$D$9:$L$9,"",1,1),_xlfn.XLOOKUP(G159,Data!$D$4:$L$4,Data!$D$2:$L$2,"",1,1)))</f>
        <v/>
      </c>
      <c r="L159" s="160" t="str" cm="1">
        <f t="array" ref="L159">IFERROR(_xlfn.IFNA(
                      _xlfn.IFS(
                      G159="", "",
                      G159=0, "",
                      AND(E159="U12B",G159&lt;=Data!$M$4), "U12 Boys record",
                      AND(E159="U12G",G159&lt;=Data!$M$11), "U12 Girls record"
                       ),""), "")</f>
        <v/>
      </c>
      <c r="M159" s="18" cm="1">
        <f t="array" ref="M159">_xlfn.IFS(OR($G159="",$G159=0),0, AND(NOT(ISNUMBER($G159)),LOWER($G159)&lt;&gt;"dnf"),"Not a valid time",OR(LOWER($G159)="dnf",$G159&gt;ScoringTable!$N$161),1,RIGHT($E159,1)="B",_xlfn.XLOOKUP($G159,ScoringTable!$N$2:$N$161,ScoringTable!$L$2:$L$161,,1),TRUE,_xlfn.XLOOKUP($G159,ScoringTable!$T$2:$T$161,ScoringTable!$R$2:$R$161,,1))</f>
        <v>0</v>
      </c>
      <c r="Q159" s="117">
        <f t="shared" si="10"/>
        <v>0</v>
      </c>
      <c r="R159" s="118">
        <f t="shared" si="11"/>
        <v>0</v>
      </c>
      <c r="S159" s="119">
        <f t="shared" si="12"/>
        <v>0</v>
      </c>
      <c r="T159" s="118">
        <f t="shared" si="13"/>
        <v>0</v>
      </c>
      <c r="U159" s="120">
        <f t="shared" si="14"/>
        <v>0</v>
      </c>
    </row>
    <row r="160" spans="1:21" s="7" customFormat="1" ht="16.05" customHeight="1">
      <c r="A160" s="113" t="s">
        <v>95</v>
      </c>
      <c r="B160" s="114" t="str">
        <f>IF(ISNA(VLOOKUP($F160,Declarations!B$6:C$185,2,FALSE)),"",IF(VLOOKUP($F160,Declarations!B$6:C$185,2,FALSE)="","NOT DECLARED",IF(ISNA(_xlfn.TEXTBEFORE(VLOOKUP($F160,Declarations!B$6:C$185,2,FALSE)," ")),VLOOKUP($F160,Declarations!B$6:C$185,2,FALSE),_xlfn.TEXTBEFORE(VLOOKUP($F160,Declarations!B$6:C$185,2,FALSE)," "))))</f>
        <v/>
      </c>
      <c r="C160" s="114" t="str">
        <f>IF(ISNA(VLOOKUP($F160,Declarations!B$6:C$185,2,FALSE)),"",IF(VLOOKUP($F160,Declarations!B$6:C$185,2,FALSE)="","NOT DECLARED",IF(ISNA(_xlfn.TEXTAFTER(VLOOKUP($F160,Declarations!B$6:C$185,2,FALSE)," ")),VLOOKUP($F160,Declarations!B$6:C$185,2,FALSE),_xlfn.TEXTAFTER(VLOOKUP($F160,Declarations!B$6:C$185,2,FALSE)," "))))</f>
        <v/>
      </c>
      <c r="D160" s="114" t="str">
        <f>IF(ISNA(VLOOKUP($F160,Declarations!$B$6:$F$185,5,FALSE)),"",IF(VLOOKUP($F160,Declarations!$B$6:$F$185,5,FALSE)="","NOT DECLARED",VLOOKUP($F160,Declarations!$B$6:$F$185,5,FALSE)))</f>
        <v/>
      </c>
      <c r="E160" s="112" t="str">
        <f>IF(ISNA(VLOOKUP($F160,Declarations!$B$6:$D$185,3,FALSE)),"",IF(VLOOKUP($F160,Declarations!$B$6:$D$185,3,FALSE)="","NOT DECLARED",VLOOKUP($F160,Declarations!$B$6:$D$185,3,FALSE)&amp;LEFT(VLOOKUP($F160,Declarations!$B$6:$E$185,4,FALSE))))</f>
        <v/>
      </c>
      <c r="F160" s="58"/>
      <c r="G160" s="115">
        <v>0</v>
      </c>
      <c r="H160" s="281"/>
      <c r="I160" s="114" t="str">
        <f>IF(ISNA(VLOOKUP(F160,Declarations!B$6:C$185,2,FALSE)),"",IF(VLOOKUP(F160,Declarations!B$6:C$185,2,FALSE)="","NOT DECLARED",VLOOKUP(F160,Declarations!B$6:C$185,2,FALSE)))</f>
        <v/>
      </c>
      <c r="J160" s="116">
        <f>IF(LOWER(G160)="dnf",1,IF(U160&lt;ScoringTable!C$3,ScoringTable!I$2,VLOOKUP((1000-U160),ScoringTable!H$2:I$95,2)))</f>
        <v>0</v>
      </c>
      <c r="K160" s="112" t="str">
        <f>IF(OR(E160="",G160=""),"",IF(RIGHT(E160,1)="G",_xlfn.XLOOKUP(G160,Data!$D$11:$L$11,Data!$D$9:$L$9,"",1,1),_xlfn.XLOOKUP(G160,Data!$D$4:$L$4,Data!$D$2:$L$2,"",1,1)))</f>
        <v/>
      </c>
      <c r="L160" s="160" t="str" cm="1">
        <f t="array" ref="L160">IFERROR(_xlfn.IFNA(
                      _xlfn.IFS(
                      G160="", "",
                      G160=0, "",
                      AND(E160="U12B",G160&lt;=Data!$M$4), "U12 Boys record",
                      AND(E160="U12G",G160&lt;=Data!$M$11), "U12 Girls record"
                       ),""), "")</f>
        <v/>
      </c>
      <c r="M160" s="18" cm="1">
        <f t="array" ref="M160">_xlfn.IFS(OR($G160="",$G160=0),0, AND(NOT(ISNUMBER($G160)),LOWER($G160)&lt;&gt;"dnf"),"Not a valid time",OR(LOWER($G160)="dnf",$G160&gt;ScoringTable!$N$161),1,RIGHT($E160,1)="B",_xlfn.XLOOKUP($G160,ScoringTable!$N$2:$N$161,ScoringTable!$L$2:$L$161,,1),TRUE,_xlfn.XLOOKUP($G160,ScoringTable!$T$2:$T$161,ScoringTable!$R$2:$R$161,,1))</f>
        <v>0</v>
      </c>
      <c r="Q160" s="117">
        <f t="shared" si="10"/>
        <v>0</v>
      </c>
      <c r="R160" s="118">
        <f t="shared" si="11"/>
        <v>0</v>
      </c>
      <c r="S160" s="119">
        <f t="shared" si="12"/>
        <v>0</v>
      </c>
      <c r="T160" s="118">
        <f t="shared" si="13"/>
        <v>0</v>
      </c>
      <c r="U160" s="120">
        <f t="shared" si="14"/>
        <v>0</v>
      </c>
    </row>
    <row r="161" spans="1:21" s="7" customFormat="1" ht="16.05" customHeight="1">
      <c r="A161" s="113" t="s">
        <v>95</v>
      </c>
      <c r="B161" s="114" t="str">
        <f>IF(ISNA(VLOOKUP($F161,Declarations!B$6:C$185,2,FALSE)),"",IF(VLOOKUP($F161,Declarations!B$6:C$185,2,FALSE)="","NOT DECLARED",IF(ISNA(_xlfn.TEXTBEFORE(VLOOKUP($F161,Declarations!B$6:C$185,2,FALSE)," ")),VLOOKUP($F161,Declarations!B$6:C$185,2,FALSE),_xlfn.TEXTBEFORE(VLOOKUP($F161,Declarations!B$6:C$185,2,FALSE)," "))))</f>
        <v/>
      </c>
      <c r="C161" s="114" t="str">
        <f>IF(ISNA(VLOOKUP($F161,Declarations!B$6:C$185,2,FALSE)),"",IF(VLOOKUP($F161,Declarations!B$6:C$185,2,FALSE)="","NOT DECLARED",IF(ISNA(_xlfn.TEXTAFTER(VLOOKUP($F161,Declarations!B$6:C$185,2,FALSE)," ")),VLOOKUP($F161,Declarations!B$6:C$185,2,FALSE),_xlfn.TEXTAFTER(VLOOKUP($F161,Declarations!B$6:C$185,2,FALSE)," "))))</f>
        <v/>
      </c>
      <c r="D161" s="114" t="str">
        <f>IF(ISNA(VLOOKUP($F161,Declarations!$B$6:$F$185,5,FALSE)),"",IF(VLOOKUP($F161,Declarations!$B$6:$F$185,5,FALSE)="","NOT DECLARED",VLOOKUP($F161,Declarations!$B$6:$F$185,5,FALSE)))</f>
        <v/>
      </c>
      <c r="E161" s="112" t="str">
        <f>IF(ISNA(VLOOKUP($F161,Declarations!$B$6:$D$185,3,FALSE)),"",IF(VLOOKUP($F161,Declarations!$B$6:$D$185,3,FALSE)="","NOT DECLARED",VLOOKUP($F161,Declarations!$B$6:$D$185,3,FALSE)&amp;LEFT(VLOOKUP($F161,Declarations!$B$6:$E$185,4,FALSE))))</f>
        <v/>
      </c>
      <c r="F161" s="58"/>
      <c r="G161" s="115">
        <v>0</v>
      </c>
      <c r="H161" s="281"/>
      <c r="I161" s="114" t="str">
        <f>IF(ISNA(VLOOKUP(F161,Declarations!B$6:C$185,2,FALSE)),"",IF(VLOOKUP(F161,Declarations!B$6:C$185,2,FALSE)="","NOT DECLARED",VLOOKUP(F161,Declarations!B$6:C$185,2,FALSE)))</f>
        <v/>
      </c>
      <c r="J161" s="116">
        <f>IF(LOWER(G161)="dnf",1,IF(U161&lt;ScoringTable!C$3,ScoringTable!I$2,VLOOKUP((1000-U161),ScoringTable!H$2:I$95,2)))</f>
        <v>0</v>
      </c>
      <c r="K161" s="112" t="str">
        <f>IF(OR(E161="",G161=""),"",IF(RIGHT(E161,1)="G",_xlfn.XLOOKUP(G161,Data!$D$11:$L$11,Data!$D$9:$L$9,"",1,1),_xlfn.XLOOKUP(G161,Data!$D$4:$L$4,Data!$D$2:$L$2,"",1,1)))</f>
        <v/>
      </c>
      <c r="L161" s="160" t="str" cm="1">
        <f t="array" ref="L161">IFERROR(_xlfn.IFNA(
                      _xlfn.IFS(
                      G161="", "",
                      G161=0, "",
                      AND(E161="U12B",G161&lt;=Data!$M$4), "U12 Boys record",
                      AND(E161="U12G",G161&lt;=Data!$M$11), "U12 Girls record"
                       ),""), "")</f>
        <v/>
      </c>
      <c r="M161" s="18" cm="1">
        <f t="array" ref="M161">_xlfn.IFS(OR($G161="",$G161=0),0, AND(NOT(ISNUMBER($G161)),LOWER($G161)&lt;&gt;"dnf"),"Not a valid time",OR(LOWER($G161)="dnf",$G161&gt;ScoringTable!$N$161),1,RIGHT($E161,1)="B",_xlfn.XLOOKUP($G161,ScoringTable!$N$2:$N$161,ScoringTable!$L$2:$L$161,,1),TRUE,_xlfn.XLOOKUP($G161,ScoringTable!$T$2:$T$161,ScoringTable!$R$2:$R$161,,1))</f>
        <v>0</v>
      </c>
      <c r="Q161" s="117">
        <f t="shared" si="10"/>
        <v>0</v>
      </c>
      <c r="R161" s="118">
        <f t="shared" si="11"/>
        <v>0</v>
      </c>
      <c r="S161" s="119">
        <f t="shared" si="12"/>
        <v>0</v>
      </c>
      <c r="T161" s="118">
        <f t="shared" si="13"/>
        <v>0</v>
      </c>
      <c r="U161" s="120">
        <f t="shared" si="14"/>
        <v>0</v>
      </c>
    </row>
    <row r="162" spans="1:21" s="7" customFormat="1" ht="16.05" customHeight="1">
      <c r="A162" s="113" t="s">
        <v>95</v>
      </c>
      <c r="B162" s="114" t="str">
        <f>IF(ISNA(VLOOKUP($F162,Declarations!B$6:C$185,2,FALSE)),"",IF(VLOOKUP($F162,Declarations!B$6:C$185,2,FALSE)="","NOT DECLARED",IF(ISNA(_xlfn.TEXTBEFORE(VLOOKUP($F162,Declarations!B$6:C$185,2,FALSE)," ")),VLOOKUP($F162,Declarations!B$6:C$185,2,FALSE),_xlfn.TEXTBEFORE(VLOOKUP($F162,Declarations!B$6:C$185,2,FALSE)," "))))</f>
        <v/>
      </c>
      <c r="C162" s="114" t="str">
        <f>IF(ISNA(VLOOKUP($F162,Declarations!B$6:C$185,2,FALSE)),"",IF(VLOOKUP($F162,Declarations!B$6:C$185,2,FALSE)="","NOT DECLARED",IF(ISNA(_xlfn.TEXTAFTER(VLOOKUP($F162,Declarations!B$6:C$185,2,FALSE)," ")),VLOOKUP($F162,Declarations!B$6:C$185,2,FALSE),_xlfn.TEXTAFTER(VLOOKUP($F162,Declarations!B$6:C$185,2,FALSE)," "))))</f>
        <v/>
      </c>
      <c r="D162" s="114" t="str">
        <f>IF(ISNA(VLOOKUP($F162,Declarations!$B$6:$F$185,5,FALSE)),"",IF(VLOOKUP($F162,Declarations!$B$6:$F$185,5,FALSE)="","NOT DECLARED",VLOOKUP($F162,Declarations!$B$6:$F$185,5,FALSE)))</f>
        <v/>
      </c>
      <c r="E162" s="112" t="str">
        <f>IF(ISNA(VLOOKUP($F162,Declarations!$B$6:$D$185,3,FALSE)),"",IF(VLOOKUP($F162,Declarations!$B$6:$D$185,3,FALSE)="","NOT DECLARED",VLOOKUP($F162,Declarations!$B$6:$D$185,3,FALSE)&amp;LEFT(VLOOKUP($F162,Declarations!$B$6:$E$185,4,FALSE))))</f>
        <v/>
      </c>
      <c r="F162" s="58"/>
      <c r="G162" s="115">
        <v>0</v>
      </c>
      <c r="H162" s="281"/>
      <c r="I162" s="114" t="str">
        <f>IF(ISNA(VLOOKUP(F162,Declarations!B$6:C$185,2,FALSE)),"",IF(VLOOKUP(F162,Declarations!B$6:C$185,2,FALSE)="","NOT DECLARED",VLOOKUP(F162,Declarations!B$6:C$185,2,FALSE)))</f>
        <v/>
      </c>
      <c r="J162" s="116">
        <f>IF(LOWER(G162)="dnf",1,IF(U162&lt;ScoringTable!C$3,ScoringTable!I$2,VLOOKUP((1000-U162),ScoringTable!H$2:I$95,2)))</f>
        <v>0</v>
      </c>
      <c r="K162" s="112" t="str">
        <f>IF(OR(E162="",G162=""),"",IF(RIGHT(E162,1)="G",_xlfn.XLOOKUP(G162,Data!$D$11:$L$11,Data!$D$9:$L$9,"",1,1),_xlfn.XLOOKUP(G162,Data!$D$4:$L$4,Data!$D$2:$L$2,"",1,1)))</f>
        <v/>
      </c>
      <c r="L162" s="160" t="str" cm="1">
        <f t="array" ref="L162">IFERROR(_xlfn.IFNA(
                      _xlfn.IFS(
                      G162="", "",
                      G162=0, "",
                      AND(E162="U12B",G162&lt;=Data!$M$4), "U12 Boys record",
                      AND(E162="U12G",G162&lt;=Data!$M$11), "U12 Girls record"
                       ),""), "")</f>
        <v/>
      </c>
      <c r="M162" s="18" cm="1">
        <f t="array" ref="M162">_xlfn.IFS(OR($G162="",$G162=0),0, AND(NOT(ISNUMBER($G162)),LOWER($G162)&lt;&gt;"dnf"),"Not a valid time",OR(LOWER($G162)="dnf",$G162&gt;ScoringTable!$N$161),1,RIGHT($E162,1)="B",_xlfn.XLOOKUP($G162,ScoringTable!$N$2:$N$161,ScoringTable!$L$2:$L$161,,1),TRUE,_xlfn.XLOOKUP($G162,ScoringTable!$T$2:$T$161,ScoringTable!$R$2:$R$161,,1))</f>
        <v>0</v>
      </c>
      <c r="Q162" s="117">
        <f t="shared" si="10"/>
        <v>0</v>
      </c>
      <c r="R162" s="118">
        <f t="shared" si="11"/>
        <v>0</v>
      </c>
      <c r="S162" s="119">
        <f t="shared" si="12"/>
        <v>0</v>
      </c>
      <c r="T162" s="118">
        <f t="shared" si="13"/>
        <v>0</v>
      </c>
      <c r="U162" s="120">
        <f t="shared" si="14"/>
        <v>0</v>
      </c>
    </row>
    <row r="163" spans="1:21" s="7" customFormat="1" ht="16.05" customHeight="1">
      <c r="A163" s="113" t="s">
        <v>95</v>
      </c>
      <c r="B163" s="114" t="str">
        <f>IF(ISNA(VLOOKUP($F163,Declarations!B$6:C$185,2,FALSE)),"",IF(VLOOKUP($F163,Declarations!B$6:C$185,2,FALSE)="","NOT DECLARED",IF(ISNA(_xlfn.TEXTBEFORE(VLOOKUP($F163,Declarations!B$6:C$185,2,FALSE)," ")),VLOOKUP($F163,Declarations!B$6:C$185,2,FALSE),_xlfn.TEXTBEFORE(VLOOKUP($F163,Declarations!B$6:C$185,2,FALSE)," "))))</f>
        <v/>
      </c>
      <c r="C163" s="114" t="str">
        <f>IF(ISNA(VLOOKUP($F163,Declarations!B$6:C$185,2,FALSE)),"",IF(VLOOKUP($F163,Declarations!B$6:C$185,2,FALSE)="","NOT DECLARED",IF(ISNA(_xlfn.TEXTAFTER(VLOOKUP($F163,Declarations!B$6:C$185,2,FALSE)," ")),VLOOKUP($F163,Declarations!B$6:C$185,2,FALSE),_xlfn.TEXTAFTER(VLOOKUP($F163,Declarations!B$6:C$185,2,FALSE)," "))))</f>
        <v/>
      </c>
      <c r="D163" s="114" t="str">
        <f>IF(ISNA(VLOOKUP($F163,Declarations!$B$6:$F$185,5,FALSE)),"",IF(VLOOKUP($F163,Declarations!$B$6:$F$185,5,FALSE)="","NOT DECLARED",VLOOKUP($F163,Declarations!$B$6:$F$185,5,FALSE)))</f>
        <v/>
      </c>
      <c r="E163" s="112" t="str">
        <f>IF(ISNA(VLOOKUP($F163,Declarations!$B$6:$D$185,3,FALSE)),"",IF(VLOOKUP($F163,Declarations!$B$6:$D$185,3,FALSE)="","NOT DECLARED",VLOOKUP($F163,Declarations!$B$6:$D$185,3,FALSE)&amp;LEFT(VLOOKUP($F163,Declarations!$B$6:$E$185,4,FALSE))))</f>
        <v/>
      </c>
      <c r="F163" s="58"/>
      <c r="G163" s="115">
        <v>0</v>
      </c>
      <c r="H163" s="281"/>
      <c r="I163" s="114" t="str">
        <f>IF(ISNA(VLOOKUP(F163,Declarations!B$6:C$185,2,FALSE)),"",IF(VLOOKUP(F163,Declarations!B$6:C$185,2,FALSE)="","NOT DECLARED",VLOOKUP(F163,Declarations!B$6:C$185,2,FALSE)))</f>
        <v/>
      </c>
      <c r="J163" s="116">
        <f>IF(LOWER(G163)="dnf",1,IF(U163&lt;ScoringTable!C$3,ScoringTable!I$2,VLOOKUP((1000-U163),ScoringTable!H$2:I$95,2)))</f>
        <v>0</v>
      </c>
      <c r="K163" s="112" t="str">
        <f>IF(OR(E163="",G163=""),"",IF(RIGHT(E163,1)="G",_xlfn.XLOOKUP(G163,Data!$D$11:$L$11,Data!$D$9:$L$9,"",1,1),_xlfn.XLOOKUP(G163,Data!$D$4:$L$4,Data!$D$2:$L$2,"",1,1)))</f>
        <v/>
      </c>
      <c r="L163" s="160" t="str" cm="1">
        <f t="array" ref="L163">IFERROR(_xlfn.IFNA(
                      _xlfn.IFS(
                      G163="", "",
                      G163=0, "",
                      AND(E163="U12B",G163&lt;=Data!$M$4), "U12 Boys record",
                      AND(E163="U12G",G163&lt;=Data!$M$11), "U12 Girls record"
                       ),""), "")</f>
        <v/>
      </c>
      <c r="M163" s="18" cm="1">
        <f t="array" ref="M163">_xlfn.IFS(OR($G163="",$G163=0),0, AND(NOT(ISNUMBER($G163)),LOWER($G163)&lt;&gt;"dnf"),"Not a valid time",OR(LOWER($G163)="dnf",$G163&gt;ScoringTable!$N$161),1,RIGHT($E163,1)="B",_xlfn.XLOOKUP($G163,ScoringTable!$N$2:$N$161,ScoringTable!$L$2:$L$161,,1),TRUE,_xlfn.XLOOKUP($G163,ScoringTable!$T$2:$T$161,ScoringTable!$R$2:$R$161,,1))</f>
        <v>0</v>
      </c>
      <c r="Q163" s="117">
        <f t="shared" si="10"/>
        <v>0</v>
      </c>
      <c r="R163" s="118">
        <f t="shared" si="11"/>
        <v>0</v>
      </c>
      <c r="S163" s="119">
        <f t="shared" si="12"/>
        <v>0</v>
      </c>
      <c r="T163" s="118">
        <f t="shared" si="13"/>
        <v>0</v>
      </c>
      <c r="U163" s="120">
        <f t="shared" si="14"/>
        <v>0</v>
      </c>
    </row>
    <row r="164" spans="1:21" s="7" customFormat="1" ht="16.05" customHeight="1">
      <c r="A164" s="113" t="s">
        <v>95</v>
      </c>
      <c r="B164" s="114" t="str">
        <f>IF(ISNA(VLOOKUP($F164,Declarations!B$6:C$185,2,FALSE)),"",IF(VLOOKUP($F164,Declarations!B$6:C$185,2,FALSE)="","NOT DECLARED",IF(ISNA(_xlfn.TEXTBEFORE(VLOOKUP($F164,Declarations!B$6:C$185,2,FALSE)," ")),VLOOKUP($F164,Declarations!B$6:C$185,2,FALSE),_xlfn.TEXTBEFORE(VLOOKUP($F164,Declarations!B$6:C$185,2,FALSE)," "))))</f>
        <v/>
      </c>
      <c r="C164" s="114" t="str">
        <f>IF(ISNA(VLOOKUP($F164,Declarations!B$6:C$185,2,FALSE)),"",IF(VLOOKUP($F164,Declarations!B$6:C$185,2,FALSE)="","NOT DECLARED",IF(ISNA(_xlfn.TEXTAFTER(VLOOKUP($F164,Declarations!B$6:C$185,2,FALSE)," ")),VLOOKUP($F164,Declarations!B$6:C$185,2,FALSE),_xlfn.TEXTAFTER(VLOOKUP($F164,Declarations!B$6:C$185,2,FALSE)," "))))</f>
        <v/>
      </c>
      <c r="D164" s="114" t="str">
        <f>IF(ISNA(VLOOKUP($F164,Declarations!$B$6:$F$185,5,FALSE)),"",IF(VLOOKUP($F164,Declarations!$B$6:$F$185,5,FALSE)="","NOT DECLARED",VLOOKUP($F164,Declarations!$B$6:$F$185,5,FALSE)))</f>
        <v/>
      </c>
      <c r="E164" s="112" t="str">
        <f>IF(ISNA(VLOOKUP($F164,Declarations!$B$6:$D$185,3,FALSE)),"",IF(VLOOKUP($F164,Declarations!$B$6:$D$185,3,FALSE)="","NOT DECLARED",VLOOKUP($F164,Declarations!$B$6:$D$185,3,FALSE)&amp;LEFT(VLOOKUP($F164,Declarations!$B$6:$E$185,4,FALSE))))</f>
        <v/>
      </c>
      <c r="F164" s="58"/>
      <c r="G164" s="115">
        <v>0</v>
      </c>
      <c r="H164" s="281"/>
      <c r="I164" s="114" t="str">
        <f>IF(ISNA(VLOOKUP(F164,Declarations!B$6:C$185,2,FALSE)),"",IF(VLOOKUP(F164,Declarations!B$6:C$185,2,FALSE)="","NOT DECLARED",VLOOKUP(F164,Declarations!B$6:C$185,2,FALSE)))</f>
        <v/>
      </c>
      <c r="J164" s="116">
        <f>IF(LOWER(G164)="dnf",1,IF(U164&lt;ScoringTable!C$3,ScoringTable!I$2,VLOOKUP((1000-U164),ScoringTable!H$2:I$95,2)))</f>
        <v>0</v>
      </c>
      <c r="K164" s="112" t="str">
        <f>IF(OR(E164="",G164=""),"",IF(RIGHT(E164,1)="G",_xlfn.XLOOKUP(G164,Data!$D$11:$L$11,Data!$D$9:$L$9,"",1,1),_xlfn.XLOOKUP(G164,Data!$D$4:$L$4,Data!$D$2:$L$2,"",1,1)))</f>
        <v/>
      </c>
      <c r="L164" s="160" t="str" cm="1">
        <f t="array" ref="L164">IFERROR(_xlfn.IFNA(
                      _xlfn.IFS(
                      G164="", "",
                      G164=0, "",
                      AND(E164="U12B",G164&lt;=Data!$M$4), "U12 Boys record",
                      AND(E164="U12G",G164&lt;=Data!$M$11), "U12 Girls record"
                       ),""), "")</f>
        <v/>
      </c>
      <c r="M164" s="18" cm="1">
        <f t="array" ref="M164">_xlfn.IFS(OR($G164="",$G164=0),0, AND(NOT(ISNUMBER($G164)),LOWER($G164)&lt;&gt;"dnf"),"Not a valid time",OR(LOWER($G164)="dnf",$G164&gt;ScoringTable!$N$161),1,RIGHT($E164,1)="B",_xlfn.XLOOKUP($G164,ScoringTable!$N$2:$N$161,ScoringTable!$L$2:$L$161,,1),TRUE,_xlfn.XLOOKUP($G164,ScoringTable!$T$2:$T$161,ScoringTable!$R$2:$R$161,,1))</f>
        <v>0</v>
      </c>
      <c r="Q164" s="117">
        <f t="shared" si="10"/>
        <v>0</v>
      </c>
      <c r="R164" s="118">
        <f t="shared" si="11"/>
        <v>0</v>
      </c>
      <c r="S164" s="119">
        <f t="shared" si="12"/>
        <v>0</v>
      </c>
      <c r="T164" s="118">
        <f t="shared" si="13"/>
        <v>0</v>
      </c>
      <c r="U164" s="120">
        <f t="shared" si="14"/>
        <v>0</v>
      </c>
    </row>
    <row r="165" spans="1:21" s="7" customFormat="1" ht="16.05" customHeight="1">
      <c r="A165" s="113" t="s">
        <v>95</v>
      </c>
      <c r="B165" s="114" t="str">
        <f>IF(ISNA(VLOOKUP($F165,Declarations!B$6:C$185,2,FALSE)),"",IF(VLOOKUP($F165,Declarations!B$6:C$185,2,FALSE)="","NOT DECLARED",IF(ISNA(_xlfn.TEXTBEFORE(VLOOKUP($F165,Declarations!B$6:C$185,2,FALSE)," ")),VLOOKUP($F165,Declarations!B$6:C$185,2,FALSE),_xlfn.TEXTBEFORE(VLOOKUP($F165,Declarations!B$6:C$185,2,FALSE)," "))))</f>
        <v/>
      </c>
      <c r="C165" s="114" t="str">
        <f>IF(ISNA(VLOOKUP($F165,Declarations!B$6:C$185,2,FALSE)),"",IF(VLOOKUP($F165,Declarations!B$6:C$185,2,FALSE)="","NOT DECLARED",IF(ISNA(_xlfn.TEXTAFTER(VLOOKUP($F165,Declarations!B$6:C$185,2,FALSE)," ")),VLOOKUP($F165,Declarations!B$6:C$185,2,FALSE),_xlfn.TEXTAFTER(VLOOKUP($F165,Declarations!B$6:C$185,2,FALSE)," "))))</f>
        <v/>
      </c>
      <c r="D165" s="114" t="str">
        <f>IF(ISNA(VLOOKUP($F165,Declarations!$B$6:$F$185,5,FALSE)),"",IF(VLOOKUP($F165,Declarations!$B$6:$F$185,5,FALSE)="","NOT DECLARED",VLOOKUP($F165,Declarations!$B$6:$F$185,5,FALSE)))</f>
        <v/>
      </c>
      <c r="E165" s="112" t="str">
        <f>IF(ISNA(VLOOKUP($F165,Declarations!$B$6:$D$185,3,FALSE)),"",IF(VLOOKUP($F165,Declarations!$B$6:$D$185,3,FALSE)="","NOT DECLARED",VLOOKUP($F165,Declarations!$B$6:$D$185,3,FALSE)&amp;LEFT(VLOOKUP($F165,Declarations!$B$6:$E$185,4,FALSE))))</f>
        <v/>
      </c>
      <c r="F165" s="58"/>
      <c r="G165" s="115">
        <v>0</v>
      </c>
      <c r="H165" s="281"/>
      <c r="I165" s="114" t="str">
        <f>IF(ISNA(VLOOKUP(F165,Declarations!B$6:C$185,2,FALSE)),"",IF(VLOOKUP(F165,Declarations!B$6:C$185,2,FALSE)="","NOT DECLARED",VLOOKUP(F165,Declarations!B$6:C$185,2,FALSE)))</f>
        <v/>
      </c>
      <c r="J165" s="116">
        <f>IF(LOWER(G165)="dnf",1,IF(U165&lt;ScoringTable!C$3,ScoringTable!I$2,VLOOKUP((1000-U165),ScoringTable!H$2:I$95,2)))</f>
        <v>0</v>
      </c>
      <c r="K165" s="112" t="str">
        <f>IF(OR(E165="",G165=""),"",IF(RIGHT(E165,1)="G",_xlfn.XLOOKUP(G165,Data!$D$11:$L$11,Data!$D$9:$L$9,"",1,1),_xlfn.XLOOKUP(G165,Data!$D$4:$L$4,Data!$D$2:$L$2,"",1,1)))</f>
        <v/>
      </c>
      <c r="L165" s="160" t="str" cm="1">
        <f t="array" ref="L165">IFERROR(_xlfn.IFNA(
                      _xlfn.IFS(
                      G165="", "",
                      G165=0, "",
                      AND(E165="U12B",G165&lt;=Data!$M$4), "U12 Boys record",
                      AND(E165="U12G",G165&lt;=Data!$M$11), "U12 Girls record"
                       ),""), "")</f>
        <v/>
      </c>
      <c r="M165" s="18" cm="1">
        <f t="array" ref="M165">_xlfn.IFS(OR($G165="",$G165=0),0, AND(NOT(ISNUMBER($G165)),LOWER($G165)&lt;&gt;"dnf"),"Not a valid time",OR(LOWER($G165)="dnf",$G165&gt;ScoringTable!$N$161),1,RIGHT($E165,1)="B",_xlfn.XLOOKUP($G165,ScoringTable!$N$2:$N$161,ScoringTable!$L$2:$L$161,,1),TRUE,_xlfn.XLOOKUP($G165,ScoringTable!$T$2:$T$161,ScoringTable!$R$2:$R$161,,1))</f>
        <v>0</v>
      </c>
      <c r="Q165" s="117">
        <f t="shared" si="10"/>
        <v>0</v>
      </c>
      <c r="R165" s="118">
        <f t="shared" si="11"/>
        <v>0</v>
      </c>
      <c r="S165" s="119">
        <f t="shared" si="12"/>
        <v>0</v>
      </c>
      <c r="T165" s="118">
        <f t="shared" si="13"/>
        <v>0</v>
      </c>
      <c r="U165" s="120">
        <f t="shared" si="14"/>
        <v>0</v>
      </c>
    </row>
    <row r="166" spans="1:21" s="7" customFormat="1" ht="16.05" customHeight="1">
      <c r="A166" s="113" t="s">
        <v>95</v>
      </c>
      <c r="B166" s="114" t="str">
        <f>IF(ISNA(VLOOKUP($F166,Declarations!B$6:C$185,2,FALSE)),"",IF(VLOOKUP($F166,Declarations!B$6:C$185,2,FALSE)="","NOT DECLARED",IF(ISNA(_xlfn.TEXTBEFORE(VLOOKUP($F166,Declarations!B$6:C$185,2,FALSE)," ")),VLOOKUP($F166,Declarations!B$6:C$185,2,FALSE),_xlfn.TEXTBEFORE(VLOOKUP($F166,Declarations!B$6:C$185,2,FALSE)," "))))</f>
        <v/>
      </c>
      <c r="C166" s="114" t="str">
        <f>IF(ISNA(VLOOKUP($F166,Declarations!B$6:C$185,2,FALSE)),"",IF(VLOOKUP($F166,Declarations!B$6:C$185,2,FALSE)="","NOT DECLARED",IF(ISNA(_xlfn.TEXTAFTER(VLOOKUP($F166,Declarations!B$6:C$185,2,FALSE)," ")),VLOOKUP($F166,Declarations!B$6:C$185,2,FALSE),_xlfn.TEXTAFTER(VLOOKUP($F166,Declarations!B$6:C$185,2,FALSE)," "))))</f>
        <v/>
      </c>
      <c r="D166" s="114" t="str">
        <f>IF(ISNA(VLOOKUP($F166,Declarations!$B$6:$F$185,5,FALSE)),"",IF(VLOOKUP($F166,Declarations!$B$6:$F$185,5,FALSE)="","NOT DECLARED",VLOOKUP($F166,Declarations!$B$6:$F$185,5,FALSE)))</f>
        <v/>
      </c>
      <c r="E166" s="112" t="str">
        <f>IF(ISNA(VLOOKUP($F166,Declarations!$B$6:$D$185,3,FALSE)),"",IF(VLOOKUP($F166,Declarations!$B$6:$D$185,3,FALSE)="","NOT DECLARED",VLOOKUP($F166,Declarations!$B$6:$D$185,3,FALSE)&amp;LEFT(VLOOKUP($F166,Declarations!$B$6:$E$185,4,FALSE))))</f>
        <v/>
      </c>
      <c r="F166" s="58"/>
      <c r="G166" s="115">
        <v>0</v>
      </c>
      <c r="H166" s="281"/>
      <c r="I166" s="114" t="str">
        <f>IF(ISNA(VLOOKUP(F166,Declarations!B$6:C$185,2,FALSE)),"",IF(VLOOKUP(F166,Declarations!B$6:C$185,2,FALSE)="","NOT DECLARED",VLOOKUP(F166,Declarations!B$6:C$185,2,FALSE)))</f>
        <v/>
      </c>
      <c r="J166" s="116">
        <f>IF(LOWER(G166)="dnf",1,IF(U166&lt;ScoringTable!C$3,ScoringTable!I$2,VLOOKUP((1000-U166),ScoringTable!H$2:I$95,2)))</f>
        <v>0</v>
      </c>
      <c r="K166" s="112" t="str">
        <f>IF(OR(E166="",G166=""),"",IF(RIGHT(E166,1)="G",_xlfn.XLOOKUP(G166,Data!$D$11:$L$11,Data!$D$9:$L$9,"",1,1),_xlfn.XLOOKUP(G166,Data!$D$4:$L$4,Data!$D$2:$L$2,"",1,1)))</f>
        <v/>
      </c>
      <c r="L166" s="160" t="str" cm="1">
        <f t="array" ref="L166">IFERROR(_xlfn.IFNA(
                      _xlfn.IFS(
                      G166="", "",
                      G166=0, "",
                      AND(E166="U12B",G166&lt;=Data!$M$4), "U12 Boys record",
                      AND(E166="U12G",G166&lt;=Data!$M$11), "U12 Girls record"
                       ),""), "")</f>
        <v/>
      </c>
      <c r="M166" s="18" cm="1">
        <f t="array" ref="M166">_xlfn.IFS(OR($G166="",$G166=0),0, AND(NOT(ISNUMBER($G166)),LOWER($G166)&lt;&gt;"dnf"),"Not a valid time",OR(LOWER($G166)="dnf",$G166&gt;ScoringTable!$N$161),1,RIGHT($E166,1)="B",_xlfn.XLOOKUP($G166,ScoringTable!$N$2:$N$161,ScoringTable!$L$2:$L$161,,1),TRUE,_xlfn.XLOOKUP($G166,ScoringTable!$T$2:$T$161,ScoringTable!$R$2:$R$161,,1))</f>
        <v>0</v>
      </c>
      <c r="Q166" s="117">
        <f t="shared" si="10"/>
        <v>0</v>
      </c>
      <c r="R166" s="118">
        <f t="shared" si="11"/>
        <v>0</v>
      </c>
      <c r="S166" s="119">
        <f t="shared" si="12"/>
        <v>0</v>
      </c>
      <c r="T166" s="118">
        <f t="shared" si="13"/>
        <v>0</v>
      </c>
      <c r="U166" s="120">
        <f t="shared" si="14"/>
        <v>0</v>
      </c>
    </row>
    <row r="167" spans="1:21" s="7" customFormat="1" ht="16.05" customHeight="1">
      <c r="A167" s="113" t="s">
        <v>95</v>
      </c>
      <c r="B167" s="114" t="str">
        <f>IF(ISNA(VLOOKUP($F167,Declarations!B$6:C$185,2,FALSE)),"",IF(VLOOKUP($F167,Declarations!B$6:C$185,2,FALSE)="","NOT DECLARED",IF(ISNA(_xlfn.TEXTBEFORE(VLOOKUP($F167,Declarations!B$6:C$185,2,FALSE)," ")),VLOOKUP($F167,Declarations!B$6:C$185,2,FALSE),_xlfn.TEXTBEFORE(VLOOKUP($F167,Declarations!B$6:C$185,2,FALSE)," "))))</f>
        <v/>
      </c>
      <c r="C167" s="114" t="str">
        <f>IF(ISNA(VLOOKUP($F167,Declarations!B$6:C$185,2,FALSE)),"",IF(VLOOKUP($F167,Declarations!B$6:C$185,2,FALSE)="","NOT DECLARED",IF(ISNA(_xlfn.TEXTAFTER(VLOOKUP($F167,Declarations!B$6:C$185,2,FALSE)," ")),VLOOKUP($F167,Declarations!B$6:C$185,2,FALSE),_xlfn.TEXTAFTER(VLOOKUP($F167,Declarations!B$6:C$185,2,FALSE)," "))))</f>
        <v/>
      </c>
      <c r="D167" s="114" t="str">
        <f>IF(ISNA(VLOOKUP($F167,Declarations!$B$6:$F$185,5,FALSE)),"",IF(VLOOKUP($F167,Declarations!$B$6:$F$185,5,FALSE)="","NOT DECLARED",VLOOKUP($F167,Declarations!$B$6:$F$185,5,FALSE)))</f>
        <v/>
      </c>
      <c r="E167" s="112" t="str">
        <f>IF(ISNA(VLOOKUP($F167,Declarations!$B$6:$D$185,3,FALSE)),"",IF(VLOOKUP($F167,Declarations!$B$6:$D$185,3,FALSE)="","NOT DECLARED",VLOOKUP($F167,Declarations!$B$6:$D$185,3,FALSE)&amp;LEFT(VLOOKUP($F167,Declarations!$B$6:$E$185,4,FALSE))))</f>
        <v/>
      </c>
      <c r="F167" s="58"/>
      <c r="G167" s="115">
        <v>0</v>
      </c>
      <c r="H167" s="281"/>
      <c r="I167" s="114" t="str">
        <f>IF(ISNA(VLOOKUP(F167,Declarations!B$6:C$185,2,FALSE)),"",IF(VLOOKUP(F167,Declarations!B$6:C$185,2,FALSE)="","NOT DECLARED",VLOOKUP(F167,Declarations!B$6:C$185,2,FALSE)))</f>
        <v/>
      </c>
      <c r="J167" s="116">
        <f>IF(LOWER(G167)="dnf",1,IF(U167&lt;ScoringTable!C$3,ScoringTable!I$2,VLOOKUP((1000-U167),ScoringTable!H$2:I$95,2)))</f>
        <v>0</v>
      </c>
      <c r="K167" s="112" t="str">
        <f>IF(OR(E167="",G167=""),"",IF(RIGHT(E167,1)="G",_xlfn.XLOOKUP(G167,Data!$D$11:$L$11,Data!$D$9:$L$9,"",1,1),_xlfn.XLOOKUP(G167,Data!$D$4:$L$4,Data!$D$2:$L$2,"",1,1)))</f>
        <v/>
      </c>
      <c r="L167" s="160" t="str" cm="1">
        <f t="array" ref="L167">IFERROR(_xlfn.IFNA(
                      _xlfn.IFS(
                      G167="", "",
                      G167=0, "",
                      AND(E167="U12B",G167&lt;=Data!$M$4), "U12 Boys record",
                      AND(E167="U12G",G167&lt;=Data!$M$11), "U12 Girls record"
                       ),""), "")</f>
        <v/>
      </c>
      <c r="M167" s="18" cm="1">
        <f t="array" ref="M167">_xlfn.IFS(OR($G167="",$G167=0),0, AND(NOT(ISNUMBER($G167)),LOWER($G167)&lt;&gt;"dnf"),"Not a valid time",OR(LOWER($G167)="dnf",$G167&gt;ScoringTable!$N$161),1,RIGHT($E167,1)="B",_xlfn.XLOOKUP($G167,ScoringTable!$N$2:$N$161,ScoringTable!$L$2:$L$161,,1),TRUE,_xlfn.XLOOKUP($G167,ScoringTable!$T$2:$T$161,ScoringTable!$R$2:$R$161,,1))</f>
        <v>0</v>
      </c>
      <c r="Q167" s="117">
        <f t="shared" si="10"/>
        <v>0</v>
      </c>
      <c r="R167" s="118">
        <f t="shared" si="11"/>
        <v>0</v>
      </c>
      <c r="S167" s="119">
        <f t="shared" si="12"/>
        <v>0</v>
      </c>
      <c r="T167" s="118">
        <f t="shared" si="13"/>
        <v>0</v>
      </c>
      <c r="U167" s="120">
        <f t="shared" si="14"/>
        <v>0</v>
      </c>
    </row>
    <row r="168" spans="1:21" s="7" customFormat="1" ht="16.05" customHeight="1">
      <c r="A168" s="113" t="s">
        <v>95</v>
      </c>
      <c r="B168" s="114" t="str">
        <f>IF(ISNA(VLOOKUP($F168,Declarations!B$6:C$185,2,FALSE)),"",IF(VLOOKUP($F168,Declarations!B$6:C$185,2,FALSE)="","NOT DECLARED",IF(ISNA(_xlfn.TEXTBEFORE(VLOOKUP($F168,Declarations!B$6:C$185,2,FALSE)," ")),VLOOKUP($F168,Declarations!B$6:C$185,2,FALSE),_xlfn.TEXTBEFORE(VLOOKUP($F168,Declarations!B$6:C$185,2,FALSE)," "))))</f>
        <v/>
      </c>
      <c r="C168" s="114" t="str">
        <f>IF(ISNA(VLOOKUP($F168,Declarations!B$6:C$185,2,FALSE)),"",IF(VLOOKUP($F168,Declarations!B$6:C$185,2,FALSE)="","NOT DECLARED",IF(ISNA(_xlfn.TEXTAFTER(VLOOKUP($F168,Declarations!B$6:C$185,2,FALSE)," ")),VLOOKUP($F168,Declarations!B$6:C$185,2,FALSE),_xlfn.TEXTAFTER(VLOOKUP($F168,Declarations!B$6:C$185,2,FALSE)," "))))</f>
        <v/>
      </c>
      <c r="D168" s="114" t="str">
        <f>IF(ISNA(VLOOKUP($F168,Declarations!$B$6:$F$185,5,FALSE)),"",IF(VLOOKUP($F168,Declarations!$B$6:$F$185,5,FALSE)="","NOT DECLARED",VLOOKUP($F168,Declarations!$B$6:$F$185,5,FALSE)))</f>
        <v/>
      </c>
      <c r="E168" s="112" t="str">
        <f>IF(ISNA(VLOOKUP($F168,Declarations!$B$6:$D$185,3,FALSE)),"",IF(VLOOKUP($F168,Declarations!$B$6:$D$185,3,FALSE)="","NOT DECLARED",VLOOKUP($F168,Declarations!$B$6:$D$185,3,FALSE)&amp;LEFT(VLOOKUP($F168,Declarations!$B$6:$E$185,4,FALSE))))</f>
        <v/>
      </c>
      <c r="F168" s="58"/>
      <c r="G168" s="115">
        <v>0</v>
      </c>
      <c r="H168" s="281"/>
      <c r="I168" s="114" t="str">
        <f>IF(ISNA(VLOOKUP(F168,Declarations!B$6:C$185,2,FALSE)),"",IF(VLOOKUP(F168,Declarations!B$6:C$185,2,FALSE)="","NOT DECLARED",VLOOKUP(F168,Declarations!B$6:C$185,2,FALSE)))</f>
        <v/>
      </c>
      <c r="J168" s="116">
        <f>IF(LOWER(G168)="dnf",1,IF(U168&lt;ScoringTable!C$3,ScoringTable!I$2,VLOOKUP((1000-U168),ScoringTable!H$2:I$95,2)))</f>
        <v>0</v>
      </c>
      <c r="K168" s="112" t="str">
        <f>IF(OR(E168="",G168=""),"",IF(RIGHT(E168,1)="G",_xlfn.XLOOKUP(G168,Data!$D$11:$L$11,Data!$D$9:$L$9,"",1,1),_xlfn.XLOOKUP(G168,Data!$D$4:$L$4,Data!$D$2:$L$2,"",1,1)))</f>
        <v/>
      </c>
      <c r="L168" s="160" t="str" cm="1">
        <f t="array" ref="L168">IFERROR(_xlfn.IFNA(
                      _xlfn.IFS(
                      G168="", "",
                      G168=0, "",
                      AND(E168="U12B",G168&lt;=Data!$M$4), "U12 Boys record",
                      AND(E168="U12G",G168&lt;=Data!$M$11), "U12 Girls record"
                       ),""), "")</f>
        <v/>
      </c>
      <c r="M168" s="18" cm="1">
        <f t="array" ref="M168">_xlfn.IFS(OR($G168="",$G168=0),0, AND(NOT(ISNUMBER($G168)),LOWER($G168)&lt;&gt;"dnf"),"Not a valid time",OR(LOWER($G168)="dnf",$G168&gt;ScoringTable!$N$161),1,RIGHT($E168,1)="B",_xlfn.XLOOKUP($G168,ScoringTable!$N$2:$N$161,ScoringTable!$L$2:$L$161,,1),TRUE,_xlfn.XLOOKUP($G168,ScoringTable!$T$2:$T$161,ScoringTable!$R$2:$R$161,,1))</f>
        <v>0</v>
      </c>
      <c r="Q168" s="117">
        <f t="shared" si="10"/>
        <v>0</v>
      </c>
      <c r="R168" s="118">
        <f t="shared" si="11"/>
        <v>0</v>
      </c>
      <c r="S168" s="119">
        <f t="shared" si="12"/>
        <v>0</v>
      </c>
      <c r="T168" s="118">
        <f t="shared" si="13"/>
        <v>0</v>
      </c>
      <c r="U168" s="120">
        <f t="shared" si="14"/>
        <v>0</v>
      </c>
    </row>
    <row r="169" spans="1:21" s="7" customFormat="1" ht="16.05" customHeight="1">
      <c r="A169" s="113" t="s">
        <v>95</v>
      </c>
      <c r="B169" s="114" t="str">
        <f>IF(ISNA(VLOOKUP($F169,Declarations!B$6:C$185,2,FALSE)),"",IF(VLOOKUP($F169,Declarations!B$6:C$185,2,FALSE)="","NOT DECLARED",IF(ISNA(_xlfn.TEXTBEFORE(VLOOKUP($F169,Declarations!B$6:C$185,2,FALSE)," ")),VLOOKUP($F169,Declarations!B$6:C$185,2,FALSE),_xlfn.TEXTBEFORE(VLOOKUP($F169,Declarations!B$6:C$185,2,FALSE)," "))))</f>
        <v/>
      </c>
      <c r="C169" s="114" t="str">
        <f>IF(ISNA(VLOOKUP($F169,Declarations!B$6:C$185,2,FALSE)),"",IF(VLOOKUP($F169,Declarations!B$6:C$185,2,FALSE)="","NOT DECLARED",IF(ISNA(_xlfn.TEXTAFTER(VLOOKUP($F169,Declarations!B$6:C$185,2,FALSE)," ")),VLOOKUP($F169,Declarations!B$6:C$185,2,FALSE),_xlfn.TEXTAFTER(VLOOKUP($F169,Declarations!B$6:C$185,2,FALSE)," "))))</f>
        <v/>
      </c>
      <c r="D169" s="114" t="str">
        <f>IF(ISNA(VLOOKUP($F169,Declarations!$B$6:$F$185,5,FALSE)),"",IF(VLOOKUP($F169,Declarations!$B$6:$F$185,5,FALSE)="","NOT DECLARED",VLOOKUP($F169,Declarations!$B$6:$F$185,5,FALSE)))</f>
        <v/>
      </c>
      <c r="E169" s="112" t="str">
        <f>IF(ISNA(VLOOKUP($F169,Declarations!$B$6:$D$185,3,FALSE)),"",IF(VLOOKUP($F169,Declarations!$B$6:$D$185,3,FALSE)="","NOT DECLARED",VLOOKUP($F169,Declarations!$B$6:$D$185,3,FALSE)&amp;LEFT(VLOOKUP($F169,Declarations!$B$6:$E$185,4,FALSE))))</f>
        <v/>
      </c>
      <c r="F169" s="58"/>
      <c r="G169" s="115">
        <v>0</v>
      </c>
      <c r="H169" s="281"/>
      <c r="I169" s="114" t="str">
        <f>IF(ISNA(VLOOKUP(F169,Declarations!B$6:C$185,2,FALSE)),"",IF(VLOOKUP(F169,Declarations!B$6:C$185,2,FALSE)="","NOT DECLARED",VLOOKUP(F169,Declarations!B$6:C$185,2,FALSE)))</f>
        <v/>
      </c>
      <c r="J169" s="116">
        <f>IF(LOWER(G169)="dnf",1,IF(U169&lt;ScoringTable!C$3,ScoringTable!I$2,VLOOKUP((1000-U169),ScoringTable!H$2:I$95,2)))</f>
        <v>0</v>
      </c>
      <c r="K169" s="112" t="str">
        <f>IF(OR(E169="",G169=""),"",IF(RIGHT(E169,1)="G",_xlfn.XLOOKUP(G169,Data!$D$11:$L$11,Data!$D$9:$L$9,"",1,1),_xlfn.XLOOKUP(G169,Data!$D$4:$L$4,Data!$D$2:$L$2,"",1,1)))</f>
        <v/>
      </c>
      <c r="L169" s="160" t="str" cm="1">
        <f t="array" ref="L169">IFERROR(_xlfn.IFNA(
                      _xlfn.IFS(
                      G169="", "",
                      G169=0, "",
                      AND(E169="U12B",G169&lt;=Data!$M$4), "U12 Boys record",
                      AND(E169="U12G",G169&lt;=Data!$M$11), "U12 Girls record"
                       ),""), "")</f>
        <v/>
      </c>
      <c r="M169" s="18" cm="1">
        <f t="array" ref="M169">_xlfn.IFS(OR($G169="",$G169=0),0, AND(NOT(ISNUMBER($G169)),LOWER($G169)&lt;&gt;"dnf"),"Not a valid time",OR(LOWER($G169)="dnf",$G169&gt;ScoringTable!$N$161),1,RIGHT($E169,1)="B",_xlfn.XLOOKUP($G169,ScoringTable!$N$2:$N$161,ScoringTable!$L$2:$L$161,,1),TRUE,_xlfn.XLOOKUP($G169,ScoringTable!$T$2:$T$161,ScoringTable!$R$2:$R$161,,1))</f>
        <v>0</v>
      </c>
      <c r="Q169" s="117">
        <f t="shared" si="10"/>
        <v>0</v>
      </c>
      <c r="R169" s="118">
        <f t="shared" si="11"/>
        <v>0</v>
      </c>
      <c r="S169" s="119">
        <f t="shared" si="12"/>
        <v>0</v>
      </c>
      <c r="T169" s="118">
        <f t="shared" si="13"/>
        <v>0</v>
      </c>
      <c r="U169" s="120">
        <f t="shared" si="14"/>
        <v>0</v>
      </c>
    </row>
    <row r="170" spans="1:21" s="7" customFormat="1" ht="16.05" customHeight="1">
      <c r="A170" s="113" t="s">
        <v>95</v>
      </c>
      <c r="B170" s="114" t="str">
        <f>IF(ISNA(VLOOKUP($F170,Declarations!B$6:C$185,2,FALSE)),"",IF(VLOOKUP($F170,Declarations!B$6:C$185,2,FALSE)="","NOT DECLARED",IF(ISNA(_xlfn.TEXTBEFORE(VLOOKUP($F170,Declarations!B$6:C$185,2,FALSE)," ")),VLOOKUP($F170,Declarations!B$6:C$185,2,FALSE),_xlfn.TEXTBEFORE(VLOOKUP($F170,Declarations!B$6:C$185,2,FALSE)," "))))</f>
        <v/>
      </c>
      <c r="C170" s="114" t="str">
        <f>IF(ISNA(VLOOKUP($F170,Declarations!B$6:C$185,2,FALSE)),"",IF(VLOOKUP($F170,Declarations!B$6:C$185,2,FALSE)="","NOT DECLARED",IF(ISNA(_xlfn.TEXTAFTER(VLOOKUP($F170,Declarations!B$6:C$185,2,FALSE)," ")),VLOOKUP($F170,Declarations!B$6:C$185,2,FALSE),_xlfn.TEXTAFTER(VLOOKUP($F170,Declarations!B$6:C$185,2,FALSE)," "))))</f>
        <v/>
      </c>
      <c r="D170" s="114" t="str">
        <f>IF(ISNA(VLOOKUP($F170,Declarations!$B$6:$F$185,5,FALSE)),"",IF(VLOOKUP($F170,Declarations!$B$6:$F$185,5,FALSE)="","NOT DECLARED",VLOOKUP($F170,Declarations!$B$6:$F$185,5,FALSE)))</f>
        <v/>
      </c>
      <c r="E170" s="112" t="str">
        <f>IF(ISNA(VLOOKUP($F170,Declarations!$B$6:$D$185,3,FALSE)),"",IF(VLOOKUP($F170,Declarations!$B$6:$D$185,3,FALSE)="","NOT DECLARED",VLOOKUP($F170,Declarations!$B$6:$D$185,3,FALSE)&amp;LEFT(VLOOKUP($F170,Declarations!$B$6:$E$185,4,FALSE))))</f>
        <v/>
      </c>
      <c r="F170" s="58"/>
      <c r="G170" s="115">
        <v>0</v>
      </c>
      <c r="H170" s="281"/>
      <c r="I170" s="114" t="str">
        <f>IF(ISNA(VLOOKUP(F170,Declarations!B$6:C$185,2,FALSE)),"",IF(VLOOKUP(F170,Declarations!B$6:C$185,2,FALSE)="","NOT DECLARED",VLOOKUP(F170,Declarations!B$6:C$185,2,FALSE)))</f>
        <v/>
      </c>
      <c r="J170" s="116">
        <f>IF(LOWER(G170)="dnf",1,IF(U170&lt;ScoringTable!C$3,ScoringTable!I$2,VLOOKUP((1000-U170),ScoringTable!H$2:I$95,2)))</f>
        <v>0</v>
      </c>
      <c r="K170" s="112" t="str">
        <f>IF(OR(E170="",G170=""),"",IF(RIGHT(E170,1)="G",_xlfn.XLOOKUP(G170,Data!$D$11:$L$11,Data!$D$9:$L$9,"",1,1),_xlfn.XLOOKUP(G170,Data!$D$4:$L$4,Data!$D$2:$L$2,"",1,1)))</f>
        <v/>
      </c>
      <c r="L170" s="160" t="str" cm="1">
        <f t="array" ref="L170">IFERROR(_xlfn.IFNA(
                      _xlfn.IFS(
                      G170="", "",
                      G170=0, "",
                      AND(E170="U12B",G170&lt;=Data!$M$4), "U12 Boys record",
                      AND(E170="U12G",G170&lt;=Data!$M$11), "U12 Girls record"
                       ),""), "")</f>
        <v/>
      </c>
      <c r="M170" s="18" cm="1">
        <f t="array" ref="M170">_xlfn.IFS(OR($G170="",$G170=0),0, AND(NOT(ISNUMBER($G170)),LOWER($G170)&lt;&gt;"dnf"),"Not a valid time",OR(LOWER($G170)="dnf",$G170&gt;ScoringTable!$N$161),1,RIGHT($E170,1)="B",_xlfn.XLOOKUP($G170,ScoringTable!$N$2:$N$161,ScoringTable!$L$2:$L$161,,1),TRUE,_xlfn.XLOOKUP($G170,ScoringTable!$T$2:$T$161,ScoringTable!$R$2:$R$161,,1))</f>
        <v>0</v>
      </c>
      <c r="Q170" s="117">
        <f t="shared" si="10"/>
        <v>0</v>
      </c>
      <c r="R170" s="118">
        <f t="shared" si="11"/>
        <v>0</v>
      </c>
      <c r="S170" s="119">
        <f t="shared" si="12"/>
        <v>0</v>
      </c>
      <c r="T170" s="118">
        <f t="shared" si="13"/>
        <v>0</v>
      </c>
      <c r="U170" s="120">
        <f t="shared" si="14"/>
        <v>0</v>
      </c>
    </row>
    <row r="171" spans="1:21" s="7" customFormat="1" ht="16.05" customHeight="1">
      <c r="A171" s="113" t="s">
        <v>95</v>
      </c>
      <c r="B171" s="114" t="str">
        <f>IF(ISNA(VLOOKUP($F171,Declarations!B$6:C$185,2,FALSE)),"",IF(VLOOKUP($F171,Declarations!B$6:C$185,2,FALSE)="","NOT DECLARED",IF(ISNA(_xlfn.TEXTBEFORE(VLOOKUP($F171,Declarations!B$6:C$185,2,FALSE)," ")),VLOOKUP($F171,Declarations!B$6:C$185,2,FALSE),_xlfn.TEXTBEFORE(VLOOKUP($F171,Declarations!B$6:C$185,2,FALSE)," "))))</f>
        <v/>
      </c>
      <c r="C171" s="114" t="str">
        <f>IF(ISNA(VLOOKUP($F171,Declarations!B$6:C$185,2,FALSE)),"",IF(VLOOKUP($F171,Declarations!B$6:C$185,2,FALSE)="","NOT DECLARED",IF(ISNA(_xlfn.TEXTAFTER(VLOOKUP($F171,Declarations!B$6:C$185,2,FALSE)," ")),VLOOKUP($F171,Declarations!B$6:C$185,2,FALSE),_xlfn.TEXTAFTER(VLOOKUP($F171,Declarations!B$6:C$185,2,FALSE)," "))))</f>
        <v/>
      </c>
      <c r="D171" s="114" t="str">
        <f>IF(ISNA(VLOOKUP($F171,Declarations!$B$6:$F$185,5,FALSE)),"",IF(VLOOKUP($F171,Declarations!$B$6:$F$185,5,FALSE)="","NOT DECLARED",VLOOKUP($F171,Declarations!$B$6:$F$185,5,FALSE)))</f>
        <v/>
      </c>
      <c r="E171" s="112" t="str">
        <f>IF(ISNA(VLOOKUP($F171,Declarations!$B$6:$D$185,3,FALSE)),"",IF(VLOOKUP($F171,Declarations!$B$6:$D$185,3,FALSE)="","NOT DECLARED",VLOOKUP($F171,Declarations!$B$6:$D$185,3,FALSE)&amp;LEFT(VLOOKUP($F171,Declarations!$B$6:$E$185,4,FALSE))))</f>
        <v/>
      </c>
      <c r="F171" s="58"/>
      <c r="G171" s="115">
        <v>0</v>
      </c>
      <c r="H171" s="281"/>
      <c r="I171" s="114" t="str">
        <f>IF(ISNA(VLOOKUP(F171,Declarations!B$6:C$185,2,FALSE)),"",IF(VLOOKUP(F171,Declarations!B$6:C$185,2,FALSE)="","NOT DECLARED",VLOOKUP(F171,Declarations!B$6:C$185,2,FALSE)))</f>
        <v/>
      </c>
      <c r="J171" s="116">
        <f>IF(LOWER(G171)="dnf",1,IF(U171&lt;ScoringTable!C$3,ScoringTable!I$2,VLOOKUP((1000-U171),ScoringTable!H$2:I$95,2)))</f>
        <v>0</v>
      </c>
      <c r="K171" s="112" t="str">
        <f>IF(OR(E171="",G171=""),"",IF(RIGHT(E171,1)="G",_xlfn.XLOOKUP(G171,Data!$D$11:$L$11,Data!$D$9:$L$9,"",1,1),_xlfn.XLOOKUP(G171,Data!$D$4:$L$4,Data!$D$2:$L$2,"",1,1)))</f>
        <v/>
      </c>
      <c r="L171" s="160" t="str" cm="1">
        <f t="array" ref="L171">IFERROR(_xlfn.IFNA(
                      _xlfn.IFS(
                      G171="", "",
                      G171=0, "",
                      AND(E171="U12B",G171&lt;=Data!$M$4), "U12 Boys record",
                      AND(E171="U12G",G171&lt;=Data!$M$11), "U12 Girls record"
                       ),""), "")</f>
        <v/>
      </c>
      <c r="M171" s="18" cm="1">
        <f t="array" ref="M171">_xlfn.IFS(OR($G171="",$G171=0),0, AND(NOT(ISNUMBER($G171)),LOWER($G171)&lt;&gt;"dnf"),"Not a valid time",OR(LOWER($G171)="dnf",$G171&gt;ScoringTable!$N$161),1,RIGHT($E171,1)="B",_xlfn.XLOOKUP($G171,ScoringTable!$N$2:$N$161,ScoringTable!$L$2:$L$161,,1),TRUE,_xlfn.XLOOKUP($G171,ScoringTable!$T$2:$T$161,ScoringTable!$R$2:$R$161,,1))</f>
        <v>0</v>
      </c>
      <c r="Q171" s="117">
        <f t="shared" si="10"/>
        <v>0</v>
      </c>
      <c r="R171" s="118">
        <f t="shared" si="11"/>
        <v>0</v>
      </c>
      <c r="S171" s="119">
        <f t="shared" si="12"/>
        <v>0</v>
      </c>
      <c r="T171" s="118">
        <f t="shared" si="13"/>
        <v>0</v>
      </c>
      <c r="U171" s="120">
        <f t="shared" si="14"/>
        <v>0</v>
      </c>
    </row>
    <row r="172" spans="1:21" s="7" customFormat="1" ht="16.05" customHeight="1">
      <c r="A172" s="113" t="s">
        <v>95</v>
      </c>
      <c r="B172" s="114" t="str">
        <f>IF(ISNA(VLOOKUP($F172,Declarations!B$6:C$185,2,FALSE)),"",IF(VLOOKUP($F172,Declarations!B$6:C$185,2,FALSE)="","NOT DECLARED",IF(ISNA(_xlfn.TEXTBEFORE(VLOOKUP($F172,Declarations!B$6:C$185,2,FALSE)," ")),VLOOKUP($F172,Declarations!B$6:C$185,2,FALSE),_xlfn.TEXTBEFORE(VLOOKUP($F172,Declarations!B$6:C$185,2,FALSE)," "))))</f>
        <v/>
      </c>
      <c r="C172" s="114" t="str">
        <f>IF(ISNA(VLOOKUP($F172,Declarations!B$6:C$185,2,FALSE)),"",IF(VLOOKUP($F172,Declarations!B$6:C$185,2,FALSE)="","NOT DECLARED",IF(ISNA(_xlfn.TEXTAFTER(VLOOKUP($F172,Declarations!B$6:C$185,2,FALSE)," ")),VLOOKUP($F172,Declarations!B$6:C$185,2,FALSE),_xlfn.TEXTAFTER(VLOOKUP($F172,Declarations!B$6:C$185,2,FALSE)," "))))</f>
        <v/>
      </c>
      <c r="D172" s="114" t="str">
        <f>IF(ISNA(VLOOKUP($F172,Declarations!$B$6:$F$185,5,FALSE)),"",IF(VLOOKUP($F172,Declarations!$B$6:$F$185,5,FALSE)="","NOT DECLARED",VLOOKUP($F172,Declarations!$B$6:$F$185,5,FALSE)))</f>
        <v/>
      </c>
      <c r="E172" s="112" t="str">
        <f>IF(ISNA(VLOOKUP($F172,Declarations!$B$6:$D$185,3,FALSE)),"",IF(VLOOKUP($F172,Declarations!$B$6:$D$185,3,FALSE)="","NOT DECLARED",VLOOKUP($F172,Declarations!$B$6:$D$185,3,FALSE)&amp;LEFT(VLOOKUP($F172,Declarations!$B$6:$E$185,4,FALSE))))</f>
        <v/>
      </c>
      <c r="F172" s="58"/>
      <c r="G172" s="115">
        <v>0</v>
      </c>
      <c r="H172" s="281"/>
      <c r="I172" s="114" t="str">
        <f>IF(ISNA(VLOOKUP(F172,Declarations!B$6:C$185,2,FALSE)),"",IF(VLOOKUP(F172,Declarations!B$6:C$185,2,FALSE)="","NOT DECLARED",VLOOKUP(F172,Declarations!B$6:C$185,2,FALSE)))</f>
        <v/>
      </c>
      <c r="J172" s="116">
        <f>IF(LOWER(G172)="dnf",1,IF(U172&lt;ScoringTable!C$3,ScoringTable!I$2,VLOOKUP((1000-U172),ScoringTable!H$2:I$95,2)))</f>
        <v>0</v>
      </c>
      <c r="K172" s="112" t="str">
        <f>IF(OR(E172="",G172=""),"",IF(RIGHT(E172,1)="G",_xlfn.XLOOKUP(G172,Data!$D$11:$L$11,Data!$D$9:$L$9,"",1,1),_xlfn.XLOOKUP(G172,Data!$D$4:$L$4,Data!$D$2:$L$2,"",1,1)))</f>
        <v/>
      </c>
      <c r="L172" s="160" t="str" cm="1">
        <f t="array" ref="L172">IFERROR(_xlfn.IFNA(
                      _xlfn.IFS(
                      G172="", "",
                      G172=0, "",
                      AND(E172="U12B",G172&lt;=Data!$M$4), "U12 Boys record",
                      AND(E172="U12G",G172&lt;=Data!$M$11), "U12 Girls record"
                       ),""), "")</f>
        <v/>
      </c>
      <c r="M172" s="18" cm="1">
        <f t="array" ref="M172">_xlfn.IFS(OR($G172="",$G172=0),0, AND(NOT(ISNUMBER($G172)),LOWER($G172)&lt;&gt;"dnf"),"Not a valid time",OR(LOWER($G172)="dnf",$G172&gt;ScoringTable!$N$161),1,RIGHT($E172,1)="B",_xlfn.XLOOKUP($G172,ScoringTable!$N$2:$N$161,ScoringTable!$L$2:$L$161,,1),TRUE,_xlfn.XLOOKUP($G172,ScoringTable!$T$2:$T$161,ScoringTable!$R$2:$R$161,,1))</f>
        <v>0</v>
      </c>
      <c r="Q172" s="117">
        <f t="shared" si="10"/>
        <v>0</v>
      </c>
      <c r="R172" s="118">
        <f t="shared" si="11"/>
        <v>0</v>
      </c>
      <c r="S172" s="119">
        <f t="shared" si="12"/>
        <v>0</v>
      </c>
      <c r="T172" s="118">
        <f t="shared" si="13"/>
        <v>0</v>
      </c>
      <c r="U172" s="120">
        <f t="shared" si="14"/>
        <v>0</v>
      </c>
    </row>
    <row r="173" spans="1:21" s="7" customFormat="1" ht="16.05" customHeight="1">
      <c r="A173" s="113" t="s">
        <v>95</v>
      </c>
      <c r="B173" s="114" t="str">
        <f>IF(ISNA(VLOOKUP($F173,Declarations!B$6:C$185,2,FALSE)),"",IF(VLOOKUP($F173,Declarations!B$6:C$185,2,FALSE)="","NOT DECLARED",IF(ISNA(_xlfn.TEXTBEFORE(VLOOKUP($F173,Declarations!B$6:C$185,2,FALSE)," ")),VLOOKUP($F173,Declarations!B$6:C$185,2,FALSE),_xlfn.TEXTBEFORE(VLOOKUP($F173,Declarations!B$6:C$185,2,FALSE)," "))))</f>
        <v/>
      </c>
      <c r="C173" s="114" t="str">
        <f>IF(ISNA(VLOOKUP($F173,Declarations!B$6:C$185,2,FALSE)),"",IF(VLOOKUP($F173,Declarations!B$6:C$185,2,FALSE)="","NOT DECLARED",IF(ISNA(_xlfn.TEXTAFTER(VLOOKUP($F173,Declarations!B$6:C$185,2,FALSE)," ")),VLOOKUP($F173,Declarations!B$6:C$185,2,FALSE),_xlfn.TEXTAFTER(VLOOKUP($F173,Declarations!B$6:C$185,2,FALSE)," "))))</f>
        <v/>
      </c>
      <c r="D173" s="114" t="str">
        <f>IF(ISNA(VLOOKUP($F173,Declarations!$B$6:$F$185,5,FALSE)),"",IF(VLOOKUP($F173,Declarations!$B$6:$F$185,5,FALSE)="","NOT DECLARED",VLOOKUP($F173,Declarations!$B$6:$F$185,5,FALSE)))</f>
        <v/>
      </c>
      <c r="E173" s="112" t="str">
        <f>IF(ISNA(VLOOKUP($F173,Declarations!$B$6:$D$185,3,FALSE)),"",IF(VLOOKUP($F173,Declarations!$B$6:$D$185,3,FALSE)="","NOT DECLARED",VLOOKUP($F173,Declarations!$B$6:$D$185,3,FALSE)&amp;LEFT(VLOOKUP($F173,Declarations!$B$6:$E$185,4,FALSE))))</f>
        <v/>
      </c>
      <c r="F173" s="58"/>
      <c r="G173" s="115">
        <v>0</v>
      </c>
      <c r="H173" s="281"/>
      <c r="I173" s="114" t="str">
        <f>IF(ISNA(VLOOKUP(F173,Declarations!B$6:C$185,2,FALSE)),"",IF(VLOOKUP(F173,Declarations!B$6:C$185,2,FALSE)="","NOT DECLARED",VLOOKUP(F173,Declarations!B$6:C$185,2,FALSE)))</f>
        <v/>
      </c>
      <c r="J173" s="116">
        <f>IF(LOWER(G173)="dnf",1,IF(U173&lt;ScoringTable!C$3,ScoringTable!I$2,VLOOKUP((1000-U173),ScoringTable!H$2:I$95,2)))</f>
        <v>0</v>
      </c>
      <c r="K173" s="112" t="str">
        <f>IF(OR(E173="",G173=""),"",IF(RIGHT(E173,1)="G",_xlfn.XLOOKUP(G173,Data!$D$11:$L$11,Data!$D$9:$L$9,"",1,1),_xlfn.XLOOKUP(G173,Data!$D$4:$L$4,Data!$D$2:$L$2,"",1,1)))</f>
        <v/>
      </c>
      <c r="L173" s="160" t="str" cm="1">
        <f t="array" ref="L173">IFERROR(_xlfn.IFNA(
                      _xlfn.IFS(
                      G173="", "",
                      G173=0, "",
                      AND(E173="U12B",G173&lt;=Data!$M$4), "U12 Boys record",
                      AND(E173="U12G",G173&lt;=Data!$M$11), "U12 Girls record"
                       ),""), "")</f>
        <v/>
      </c>
      <c r="M173" s="18" cm="1">
        <f t="array" ref="M173">_xlfn.IFS(OR($G173="",$G173=0),0, AND(NOT(ISNUMBER($G173)),LOWER($G173)&lt;&gt;"dnf"),"Not a valid time",OR(LOWER($G173)="dnf",$G173&gt;ScoringTable!$N$161),1,RIGHT($E173,1)="B",_xlfn.XLOOKUP($G173,ScoringTable!$N$2:$N$161,ScoringTable!$L$2:$L$161,,1),TRUE,_xlfn.XLOOKUP($G173,ScoringTable!$T$2:$T$161,ScoringTable!$R$2:$R$161,,1))</f>
        <v>0</v>
      </c>
      <c r="Q173" s="117">
        <f t="shared" si="10"/>
        <v>0</v>
      </c>
      <c r="R173" s="118">
        <f t="shared" si="11"/>
        <v>0</v>
      </c>
      <c r="S173" s="119">
        <f t="shared" si="12"/>
        <v>0</v>
      </c>
      <c r="T173" s="118">
        <f t="shared" si="13"/>
        <v>0</v>
      </c>
      <c r="U173" s="120">
        <f t="shared" si="14"/>
        <v>0</v>
      </c>
    </row>
    <row r="174" spans="1:21" s="7" customFormat="1" ht="16.05" customHeight="1">
      <c r="A174" s="113" t="s">
        <v>95</v>
      </c>
      <c r="B174" s="114" t="str">
        <f>IF(ISNA(VLOOKUP($F174,Declarations!B$6:C$185,2,FALSE)),"",IF(VLOOKUP($F174,Declarations!B$6:C$185,2,FALSE)="","NOT DECLARED",IF(ISNA(_xlfn.TEXTBEFORE(VLOOKUP($F174,Declarations!B$6:C$185,2,FALSE)," ")),VLOOKUP($F174,Declarations!B$6:C$185,2,FALSE),_xlfn.TEXTBEFORE(VLOOKUP($F174,Declarations!B$6:C$185,2,FALSE)," "))))</f>
        <v/>
      </c>
      <c r="C174" s="114" t="str">
        <f>IF(ISNA(VLOOKUP($F174,Declarations!B$6:C$185,2,FALSE)),"",IF(VLOOKUP($F174,Declarations!B$6:C$185,2,FALSE)="","NOT DECLARED",IF(ISNA(_xlfn.TEXTAFTER(VLOOKUP($F174,Declarations!B$6:C$185,2,FALSE)," ")),VLOOKUP($F174,Declarations!B$6:C$185,2,FALSE),_xlfn.TEXTAFTER(VLOOKUP($F174,Declarations!B$6:C$185,2,FALSE)," "))))</f>
        <v/>
      </c>
      <c r="D174" s="114" t="str">
        <f>IF(ISNA(VLOOKUP($F174,Declarations!$B$6:$F$185,5,FALSE)),"",IF(VLOOKUP($F174,Declarations!$B$6:$F$185,5,FALSE)="","NOT DECLARED",VLOOKUP($F174,Declarations!$B$6:$F$185,5,FALSE)))</f>
        <v/>
      </c>
      <c r="E174" s="112" t="str">
        <f>IF(ISNA(VLOOKUP($F174,Declarations!$B$6:$D$185,3,FALSE)),"",IF(VLOOKUP($F174,Declarations!$B$6:$D$185,3,FALSE)="","NOT DECLARED",VLOOKUP($F174,Declarations!$B$6:$D$185,3,FALSE)&amp;LEFT(VLOOKUP($F174,Declarations!$B$6:$E$185,4,FALSE))))</f>
        <v/>
      </c>
      <c r="F174" s="58"/>
      <c r="G174" s="115">
        <v>0</v>
      </c>
      <c r="H174" s="281"/>
      <c r="I174" s="114" t="str">
        <f>IF(ISNA(VLOOKUP(F174,Declarations!B$6:C$185,2,FALSE)),"",IF(VLOOKUP(F174,Declarations!B$6:C$185,2,FALSE)="","NOT DECLARED",VLOOKUP(F174,Declarations!B$6:C$185,2,FALSE)))</f>
        <v/>
      </c>
      <c r="J174" s="116">
        <f>IF(LOWER(G174)="dnf",1,IF(U174&lt;ScoringTable!C$3,ScoringTable!I$2,VLOOKUP((1000-U174),ScoringTable!H$2:I$95,2)))</f>
        <v>0</v>
      </c>
      <c r="K174" s="112" t="str">
        <f>IF(OR(E174="",G174=""),"",IF(RIGHT(E174,1)="G",_xlfn.XLOOKUP(G174,Data!$D$11:$L$11,Data!$D$9:$L$9,"",1,1),_xlfn.XLOOKUP(G174,Data!$D$4:$L$4,Data!$D$2:$L$2,"",1,1)))</f>
        <v/>
      </c>
      <c r="L174" s="160" t="str" cm="1">
        <f t="array" ref="L174">IFERROR(_xlfn.IFNA(
                      _xlfn.IFS(
                      G174="", "",
                      G174=0, "",
                      AND(E174="U12B",G174&lt;=Data!$M$4), "U12 Boys record",
                      AND(E174="U12G",G174&lt;=Data!$M$11), "U12 Girls record"
                       ),""), "")</f>
        <v/>
      </c>
      <c r="M174" s="18" cm="1">
        <f t="array" ref="M174">_xlfn.IFS(OR($G174="",$G174=0),0, AND(NOT(ISNUMBER($G174)),LOWER($G174)&lt;&gt;"dnf"),"Not a valid time",OR(LOWER($G174)="dnf",$G174&gt;ScoringTable!$N$161),1,RIGHT($E174,1)="B",_xlfn.XLOOKUP($G174,ScoringTable!$N$2:$N$161,ScoringTable!$L$2:$L$161,,1),TRUE,_xlfn.XLOOKUP($G174,ScoringTable!$T$2:$T$161,ScoringTable!$R$2:$R$161,,1))</f>
        <v>0</v>
      </c>
      <c r="Q174" s="117">
        <f t="shared" si="10"/>
        <v>0</v>
      </c>
      <c r="R174" s="118">
        <f t="shared" si="11"/>
        <v>0</v>
      </c>
      <c r="S174" s="119">
        <f t="shared" si="12"/>
        <v>0</v>
      </c>
      <c r="T174" s="118">
        <f t="shared" si="13"/>
        <v>0</v>
      </c>
      <c r="U174" s="120">
        <f t="shared" si="14"/>
        <v>0</v>
      </c>
    </row>
    <row r="175" spans="1:21" s="7" customFormat="1" ht="16.05" customHeight="1">
      <c r="A175" s="113" t="s">
        <v>95</v>
      </c>
      <c r="B175" s="114" t="str">
        <f>IF(ISNA(VLOOKUP($F175,Declarations!B$6:C$185,2,FALSE)),"",IF(VLOOKUP($F175,Declarations!B$6:C$185,2,FALSE)="","NOT DECLARED",IF(ISNA(_xlfn.TEXTBEFORE(VLOOKUP($F175,Declarations!B$6:C$185,2,FALSE)," ")),VLOOKUP($F175,Declarations!B$6:C$185,2,FALSE),_xlfn.TEXTBEFORE(VLOOKUP($F175,Declarations!B$6:C$185,2,FALSE)," "))))</f>
        <v/>
      </c>
      <c r="C175" s="114" t="str">
        <f>IF(ISNA(VLOOKUP($F175,Declarations!B$6:C$185,2,FALSE)),"",IF(VLOOKUP($F175,Declarations!B$6:C$185,2,FALSE)="","NOT DECLARED",IF(ISNA(_xlfn.TEXTAFTER(VLOOKUP($F175,Declarations!B$6:C$185,2,FALSE)," ")),VLOOKUP($F175,Declarations!B$6:C$185,2,FALSE),_xlfn.TEXTAFTER(VLOOKUP($F175,Declarations!B$6:C$185,2,FALSE)," "))))</f>
        <v/>
      </c>
      <c r="D175" s="114" t="str">
        <f>IF(ISNA(VLOOKUP($F175,Declarations!$B$6:$F$185,5,FALSE)),"",IF(VLOOKUP($F175,Declarations!$B$6:$F$185,5,FALSE)="","NOT DECLARED",VLOOKUP($F175,Declarations!$B$6:$F$185,5,FALSE)))</f>
        <v/>
      </c>
      <c r="E175" s="112" t="str">
        <f>IF(ISNA(VLOOKUP($F175,Declarations!$B$6:$D$185,3,FALSE)),"",IF(VLOOKUP($F175,Declarations!$B$6:$D$185,3,FALSE)="","NOT DECLARED",VLOOKUP($F175,Declarations!$B$6:$D$185,3,FALSE)&amp;LEFT(VLOOKUP($F175,Declarations!$B$6:$E$185,4,FALSE))))</f>
        <v/>
      </c>
      <c r="F175" s="58"/>
      <c r="G175" s="115">
        <v>0</v>
      </c>
      <c r="H175" s="281"/>
      <c r="I175" s="114" t="str">
        <f>IF(ISNA(VLOOKUP(F175,Declarations!B$6:C$185,2,FALSE)),"",IF(VLOOKUP(F175,Declarations!B$6:C$185,2,FALSE)="","NOT DECLARED",VLOOKUP(F175,Declarations!B$6:C$185,2,FALSE)))</f>
        <v/>
      </c>
      <c r="J175" s="116">
        <f>IF(LOWER(G175)="dnf",1,IF(U175&lt;ScoringTable!C$3,ScoringTable!I$2,VLOOKUP((1000-U175),ScoringTable!H$2:I$95,2)))</f>
        <v>0</v>
      </c>
      <c r="K175" s="112" t="str">
        <f>IF(OR(E175="",G175=""),"",IF(RIGHT(E175,1)="G",_xlfn.XLOOKUP(G175,Data!$D$11:$L$11,Data!$D$9:$L$9,"",1,1),_xlfn.XLOOKUP(G175,Data!$D$4:$L$4,Data!$D$2:$L$2,"",1,1)))</f>
        <v/>
      </c>
      <c r="L175" s="160" t="str" cm="1">
        <f t="array" ref="L175">IFERROR(_xlfn.IFNA(
                      _xlfn.IFS(
                      G175="", "",
                      G175=0, "",
                      AND(E175="U12B",G175&lt;=Data!$M$4), "U12 Boys record",
                      AND(E175="U12G",G175&lt;=Data!$M$11), "U12 Girls record"
                       ),""), "")</f>
        <v/>
      </c>
      <c r="M175" s="18" cm="1">
        <f t="array" ref="M175">_xlfn.IFS(OR($G175="",$G175=0),0, AND(NOT(ISNUMBER($G175)),LOWER($G175)&lt;&gt;"dnf"),"Not a valid time",OR(LOWER($G175)="dnf",$G175&gt;ScoringTable!$N$161),1,RIGHT($E175,1)="B",_xlfn.XLOOKUP($G175,ScoringTable!$N$2:$N$161,ScoringTable!$L$2:$L$161,,1),TRUE,_xlfn.XLOOKUP($G175,ScoringTable!$T$2:$T$161,ScoringTable!$R$2:$R$161,,1))</f>
        <v>0</v>
      </c>
      <c r="Q175" s="117">
        <f t="shared" si="10"/>
        <v>0</v>
      </c>
      <c r="R175" s="118">
        <f t="shared" si="11"/>
        <v>0</v>
      </c>
      <c r="S175" s="119">
        <f t="shared" si="12"/>
        <v>0</v>
      </c>
      <c r="T175" s="118">
        <f t="shared" si="13"/>
        <v>0</v>
      </c>
      <c r="U175" s="120">
        <f t="shared" si="14"/>
        <v>0</v>
      </c>
    </row>
    <row r="176" spans="1:21" s="7" customFormat="1" ht="16.05" customHeight="1">
      <c r="A176" s="113" t="s">
        <v>95</v>
      </c>
      <c r="B176" s="114" t="str">
        <f>IF(ISNA(VLOOKUP($F176,Declarations!B$6:C$185,2,FALSE)),"",IF(VLOOKUP($F176,Declarations!B$6:C$185,2,FALSE)="","NOT DECLARED",IF(ISNA(_xlfn.TEXTBEFORE(VLOOKUP($F176,Declarations!B$6:C$185,2,FALSE)," ")),VLOOKUP($F176,Declarations!B$6:C$185,2,FALSE),_xlfn.TEXTBEFORE(VLOOKUP($F176,Declarations!B$6:C$185,2,FALSE)," "))))</f>
        <v/>
      </c>
      <c r="C176" s="114" t="str">
        <f>IF(ISNA(VLOOKUP($F176,Declarations!B$6:C$185,2,FALSE)),"",IF(VLOOKUP($F176,Declarations!B$6:C$185,2,FALSE)="","NOT DECLARED",IF(ISNA(_xlfn.TEXTAFTER(VLOOKUP($F176,Declarations!B$6:C$185,2,FALSE)," ")),VLOOKUP($F176,Declarations!B$6:C$185,2,FALSE),_xlfn.TEXTAFTER(VLOOKUP($F176,Declarations!B$6:C$185,2,FALSE)," "))))</f>
        <v/>
      </c>
      <c r="D176" s="114" t="str">
        <f>IF(ISNA(VLOOKUP($F176,Declarations!$B$6:$F$185,5,FALSE)),"",IF(VLOOKUP($F176,Declarations!$B$6:$F$185,5,FALSE)="","NOT DECLARED",VLOOKUP($F176,Declarations!$B$6:$F$185,5,FALSE)))</f>
        <v/>
      </c>
      <c r="E176" s="112" t="str">
        <f>IF(ISNA(VLOOKUP($F176,Declarations!$B$6:$D$185,3,FALSE)),"",IF(VLOOKUP($F176,Declarations!$B$6:$D$185,3,FALSE)="","NOT DECLARED",VLOOKUP($F176,Declarations!$B$6:$D$185,3,FALSE)&amp;LEFT(VLOOKUP($F176,Declarations!$B$6:$E$185,4,FALSE))))</f>
        <v/>
      </c>
      <c r="F176" s="58"/>
      <c r="G176" s="115">
        <v>0</v>
      </c>
      <c r="H176" s="281"/>
      <c r="I176" s="114" t="str">
        <f>IF(ISNA(VLOOKUP(F176,Declarations!B$6:C$185,2,FALSE)),"",IF(VLOOKUP(F176,Declarations!B$6:C$185,2,FALSE)="","NOT DECLARED",VLOOKUP(F176,Declarations!B$6:C$185,2,FALSE)))</f>
        <v/>
      </c>
      <c r="J176" s="116">
        <f>IF(LOWER(G176)="dnf",1,IF(U176&lt;ScoringTable!C$3,ScoringTable!I$2,VLOOKUP((1000-U176),ScoringTable!H$2:I$95,2)))</f>
        <v>0</v>
      </c>
      <c r="K176" s="112" t="str">
        <f>IF(OR(E176="",G176=""),"",IF(RIGHT(E176,1)="G",_xlfn.XLOOKUP(G176,Data!$D$11:$L$11,Data!$D$9:$L$9,"",1,1),_xlfn.XLOOKUP(G176,Data!$D$4:$L$4,Data!$D$2:$L$2,"",1,1)))</f>
        <v/>
      </c>
      <c r="L176" s="160" t="str" cm="1">
        <f t="array" ref="L176">IFERROR(_xlfn.IFNA(
                      _xlfn.IFS(
                      G176="", "",
                      G176=0, "",
                      AND(E176="U12B",G176&lt;=Data!$M$4), "U12 Boys record",
                      AND(E176="U12G",G176&lt;=Data!$M$11), "U12 Girls record"
                       ),""), "")</f>
        <v/>
      </c>
      <c r="M176" s="18" cm="1">
        <f t="array" ref="M176">_xlfn.IFS(OR($G176="",$G176=0),0, AND(NOT(ISNUMBER($G176)),LOWER($G176)&lt;&gt;"dnf"),"Not a valid time",OR(LOWER($G176)="dnf",$G176&gt;ScoringTable!$N$161),1,RIGHT($E176,1)="B",_xlfn.XLOOKUP($G176,ScoringTable!$N$2:$N$161,ScoringTable!$L$2:$L$161,,1),TRUE,_xlfn.XLOOKUP($G176,ScoringTable!$T$2:$T$161,ScoringTable!$R$2:$R$161,,1))</f>
        <v>0</v>
      </c>
      <c r="Q176" s="117">
        <f t="shared" si="10"/>
        <v>0</v>
      </c>
      <c r="R176" s="118">
        <f t="shared" si="11"/>
        <v>0</v>
      </c>
      <c r="S176" s="119">
        <f t="shared" si="12"/>
        <v>0</v>
      </c>
      <c r="T176" s="118">
        <f t="shared" si="13"/>
        <v>0</v>
      </c>
      <c r="U176" s="120">
        <f t="shared" si="14"/>
        <v>0</v>
      </c>
    </row>
    <row r="177" spans="1:21" s="7" customFormat="1" ht="16.05" customHeight="1">
      <c r="A177" s="113" t="s">
        <v>95</v>
      </c>
      <c r="B177" s="114" t="str">
        <f>IF(ISNA(VLOOKUP($F177,Declarations!B$6:C$185,2,FALSE)),"",IF(VLOOKUP($F177,Declarations!B$6:C$185,2,FALSE)="","NOT DECLARED",IF(ISNA(_xlfn.TEXTBEFORE(VLOOKUP($F177,Declarations!B$6:C$185,2,FALSE)," ")),VLOOKUP($F177,Declarations!B$6:C$185,2,FALSE),_xlfn.TEXTBEFORE(VLOOKUP($F177,Declarations!B$6:C$185,2,FALSE)," "))))</f>
        <v/>
      </c>
      <c r="C177" s="114" t="str">
        <f>IF(ISNA(VLOOKUP($F177,Declarations!B$6:C$185,2,FALSE)),"",IF(VLOOKUP($F177,Declarations!B$6:C$185,2,FALSE)="","NOT DECLARED",IF(ISNA(_xlfn.TEXTAFTER(VLOOKUP($F177,Declarations!B$6:C$185,2,FALSE)," ")),VLOOKUP($F177,Declarations!B$6:C$185,2,FALSE),_xlfn.TEXTAFTER(VLOOKUP($F177,Declarations!B$6:C$185,2,FALSE)," "))))</f>
        <v/>
      </c>
      <c r="D177" s="114" t="str">
        <f>IF(ISNA(VLOOKUP($F177,Declarations!$B$6:$F$185,5,FALSE)),"",IF(VLOOKUP($F177,Declarations!$B$6:$F$185,5,FALSE)="","NOT DECLARED",VLOOKUP($F177,Declarations!$B$6:$F$185,5,FALSE)))</f>
        <v/>
      </c>
      <c r="E177" s="112" t="str">
        <f>IF(ISNA(VLOOKUP($F177,Declarations!$B$6:$D$185,3,FALSE)),"",IF(VLOOKUP($F177,Declarations!$B$6:$D$185,3,FALSE)="","NOT DECLARED",VLOOKUP($F177,Declarations!$B$6:$D$185,3,FALSE)&amp;LEFT(VLOOKUP($F177,Declarations!$B$6:$E$185,4,FALSE))))</f>
        <v/>
      </c>
      <c r="F177" s="58"/>
      <c r="G177" s="115">
        <v>0</v>
      </c>
      <c r="H177" s="281"/>
      <c r="I177" s="114" t="str">
        <f>IF(ISNA(VLOOKUP(F177,Declarations!B$6:C$185,2,FALSE)),"",IF(VLOOKUP(F177,Declarations!B$6:C$185,2,FALSE)="","NOT DECLARED",VLOOKUP(F177,Declarations!B$6:C$185,2,FALSE)))</f>
        <v/>
      </c>
      <c r="J177" s="116">
        <f>IF(LOWER(G177)="dnf",1,IF(U177&lt;ScoringTable!C$3,ScoringTable!I$2,VLOOKUP((1000-U177),ScoringTable!H$2:I$95,2)))</f>
        <v>0</v>
      </c>
      <c r="K177" s="112" t="str">
        <f>IF(OR(E177="",G177=""),"",IF(RIGHT(E177,1)="G",_xlfn.XLOOKUP(G177,Data!$D$11:$L$11,Data!$D$9:$L$9,"",1,1),_xlfn.XLOOKUP(G177,Data!$D$4:$L$4,Data!$D$2:$L$2,"",1,1)))</f>
        <v/>
      </c>
      <c r="L177" s="160" t="str" cm="1">
        <f t="array" ref="L177">IFERROR(_xlfn.IFNA(
                      _xlfn.IFS(
                      G177="", "",
                      G177=0, "",
                      AND(E177="U12B",G177&lt;=Data!$M$4), "U12 Boys record",
                      AND(E177="U12G",G177&lt;=Data!$M$11), "U12 Girls record"
                       ),""), "")</f>
        <v/>
      </c>
      <c r="M177" s="18" cm="1">
        <f t="array" ref="M177">_xlfn.IFS(OR($G177="",$G177=0),0, AND(NOT(ISNUMBER($G177)),LOWER($G177)&lt;&gt;"dnf"),"Not a valid time",OR(LOWER($G177)="dnf",$G177&gt;ScoringTable!$N$161),1,RIGHT($E177,1)="B",_xlfn.XLOOKUP($G177,ScoringTable!$N$2:$N$161,ScoringTable!$L$2:$L$161,,1),TRUE,_xlfn.XLOOKUP($G177,ScoringTable!$T$2:$T$161,ScoringTable!$R$2:$R$161,,1))</f>
        <v>0</v>
      </c>
      <c r="Q177" s="117">
        <f t="shared" si="10"/>
        <v>0</v>
      </c>
      <c r="R177" s="118">
        <f t="shared" si="11"/>
        <v>0</v>
      </c>
      <c r="S177" s="119">
        <f t="shared" si="12"/>
        <v>0</v>
      </c>
      <c r="T177" s="118">
        <f t="shared" si="13"/>
        <v>0</v>
      </c>
      <c r="U177" s="120">
        <f t="shared" si="14"/>
        <v>0</v>
      </c>
    </row>
    <row r="178" spans="1:21" s="7" customFormat="1" ht="16.05" customHeight="1">
      <c r="A178" s="113" t="s">
        <v>95</v>
      </c>
      <c r="B178" s="114" t="str">
        <f>IF(ISNA(VLOOKUP($F178,Declarations!B$6:C$185,2,FALSE)),"",IF(VLOOKUP($F178,Declarations!B$6:C$185,2,FALSE)="","NOT DECLARED",IF(ISNA(_xlfn.TEXTBEFORE(VLOOKUP($F178,Declarations!B$6:C$185,2,FALSE)," ")),VLOOKUP($F178,Declarations!B$6:C$185,2,FALSE),_xlfn.TEXTBEFORE(VLOOKUP($F178,Declarations!B$6:C$185,2,FALSE)," "))))</f>
        <v/>
      </c>
      <c r="C178" s="114" t="str">
        <f>IF(ISNA(VLOOKUP($F178,Declarations!B$6:C$185,2,FALSE)),"",IF(VLOOKUP($F178,Declarations!B$6:C$185,2,FALSE)="","NOT DECLARED",IF(ISNA(_xlfn.TEXTAFTER(VLOOKUP($F178,Declarations!B$6:C$185,2,FALSE)," ")),VLOOKUP($F178,Declarations!B$6:C$185,2,FALSE),_xlfn.TEXTAFTER(VLOOKUP($F178,Declarations!B$6:C$185,2,FALSE)," "))))</f>
        <v/>
      </c>
      <c r="D178" s="114" t="str">
        <f>IF(ISNA(VLOOKUP($F178,Declarations!$B$6:$F$185,5,FALSE)),"",IF(VLOOKUP($F178,Declarations!$B$6:$F$185,5,FALSE)="","NOT DECLARED",VLOOKUP($F178,Declarations!$B$6:$F$185,5,FALSE)))</f>
        <v/>
      </c>
      <c r="E178" s="112" t="str">
        <f>IF(ISNA(VLOOKUP($F178,Declarations!$B$6:$D$185,3,FALSE)),"",IF(VLOOKUP($F178,Declarations!$B$6:$D$185,3,FALSE)="","NOT DECLARED",VLOOKUP($F178,Declarations!$B$6:$D$185,3,FALSE)&amp;LEFT(VLOOKUP($F178,Declarations!$B$6:$E$185,4,FALSE))))</f>
        <v/>
      </c>
      <c r="F178" s="58"/>
      <c r="G178" s="115">
        <v>0</v>
      </c>
      <c r="H178" s="281"/>
      <c r="I178" s="114" t="str">
        <f>IF(ISNA(VLOOKUP(F178,Declarations!B$6:C$185,2,FALSE)),"",IF(VLOOKUP(F178,Declarations!B$6:C$185,2,FALSE)="","NOT DECLARED",VLOOKUP(F178,Declarations!B$6:C$185,2,FALSE)))</f>
        <v/>
      </c>
      <c r="J178" s="116">
        <f>IF(LOWER(G178)="dnf",1,IF(U178&lt;ScoringTable!C$3,ScoringTable!I$2,VLOOKUP((1000-U178),ScoringTable!H$2:I$95,2)))</f>
        <v>0</v>
      </c>
      <c r="K178" s="112" t="str">
        <f>IF(OR(E178="",G178=""),"",IF(RIGHT(E178,1)="G",_xlfn.XLOOKUP(G178,Data!$D$11:$L$11,Data!$D$9:$L$9,"",1,1),_xlfn.XLOOKUP(G178,Data!$D$4:$L$4,Data!$D$2:$L$2,"",1,1)))</f>
        <v/>
      </c>
      <c r="L178" s="160" t="str" cm="1">
        <f t="array" ref="L178">IFERROR(_xlfn.IFNA(
                      _xlfn.IFS(
                      G178="", "",
                      G178=0, "",
                      AND(E178="U12B",G178&lt;=Data!$M$4), "U12 Boys record",
                      AND(E178="U12G",G178&lt;=Data!$M$11), "U12 Girls record"
                       ),""), "")</f>
        <v/>
      </c>
      <c r="M178" s="18" cm="1">
        <f t="array" ref="M178">_xlfn.IFS(OR($G178="",$G178=0),0, AND(NOT(ISNUMBER($G178)),LOWER($G178)&lt;&gt;"dnf"),"Not a valid time",OR(LOWER($G178)="dnf",$G178&gt;ScoringTable!$N$161),1,RIGHT($E178,1)="B",_xlfn.XLOOKUP($G178,ScoringTable!$N$2:$N$161,ScoringTable!$L$2:$L$161,,1),TRUE,_xlfn.XLOOKUP($G178,ScoringTable!$T$2:$T$161,ScoringTable!$R$2:$R$161,,1))</f>
        <v>0</v>
      </c>
      <c r="Q178" s="117">
        <f t="shared" si="10"/>
        <v>0</v>
      </c>
      <c r="R178" s="118">
        <f t="shared" si="11"/>
        <v>0</v>
      </c>
      <c r="S178" s="119">
        <f t="shared" si="12"/>
        <v>0</v>
      </c>
      <c r="T178" s="118">
        <f t="shared" si="13"/>
        <v>0</v>
      </c>
      <c r="U178" s="120">
        <f t="shared" si="14"/>
        <v>0</v>
      </c>
    </row>
    <row r="179" spans="1:21" s="7" customFormat="1" ht="16.05" customHeight="1">
      <c r="A179" s="113" t="s">
        <v>95</v>
      </c>
      <c r="B179" s="114" t="str">
        <f>IF(ISNA(VLOOKUP($F179,Declarations!B$6:C$185,2,FALSE)),"",IF(VLOOKUP($F179,Declarations!B$6:C$185,2,FALSE)="","NOT DECLARED",IF(ISNA(_xlfn.TEXTBEFORE(VLOOKUP($F179,Declarations!B$6:C$185,2,FALSE)," ")),VLOOKUP($F179,Declarations!B$6:C$185,2,FALSE),_xlfn.TEXTBEFORE(VLOOKUP($F179,Declarations!B$6:C$185,2,FALSE)," "))))</f>
        <v/>
      </c>
      <c r="C179" s="114" t="str">
        <f>IF(ISNA(VLOOKUP($F179,Declarations!B$6:C$185,2,FALSE)),"",IF(VLOOKUP($F179,Declarations!B$6:C$185,2,FALSE)="","NOT DECLARED",IF(ISNA(_xlfn.TEXTAFTER(VLOOKUP($F179,Declarations!B$6:C$185,2,FALSE)," ")),VLOOKUP($F179,Declarations!B$6:C$185,2,FALSE),_xlfn.TEXTAFTER(VLOOKUP($F179,Declarations!B$6:C$185,2,FALSE)," "))))</f>
        <v/>
      </c>
      <c r="D179" s="114" t="str">
        <f>IF(ISNA(VLOOKUP($F179,Declarations!$B$6:$F$185,5,FALSE)),"",IF(VLOOKUP($F179,Declarations!$B$6:$F$185,5,FALSE)="","NOT DECLARED",VLOOKUP($F179,Declarations!$B$6:$F$185,5,FALSE)))</f>
        <v/>
      </c>
      <c r="E179" s="112" t="str">
        <f>IF(ISNA(VLOOKUP($F179,Declarations!$B$6:$D$185,3,FALSE)),"",IF(VLOOKUP($F179,Declarations!$B$6:$D$185,3,FALSE)="","NOT DECLARED",VLOOKUP($F179,Declarations!$B$6:$D$185,3,FALSE)&amp;LEFT(VLOOKUP($F179,Declarations!$B$6:$E$185,4,FALSE))))</f>
        <v/>
      </c>
      <c r="F179" s="58"/>
      <c r="G179" s="115">
        <v>0</v>
      </c>
      <c r="H179" s="281"/>
      <c r="I179" s="114" t="str">
        <f>IF(ISNA(VLOOKUP(F179,Declarations!B$6:C$185,2,FALSE)),"",IF(VLOOKUP(F179,Declarations!B$6:C$185,2,FALSE)="","NOT DECLARED",VLOOKUP(F179,Declarations!B$6:C$185,2,FALSE)))</f>
        <v/>
      </c>
      <c r="J179" s="116">
        <f>IF(LOWER(G179)="dnf",1,IF(U179&lt;ScoringTable!C$3,ScoringTable!I$2,VLOOKUP((1000-U179),ScoringTable!H$2:I$95,2)))</f>
        <v>0</v>
      </c>
      <c r="K179" s="112" t="str">
        <f>IF(OR(E179="",G179=""),"",IF(RIGHT(E179,1)="G",_xlfn.XLOOKUP(G179,Data!$D$11:$L$11,Data!$D$9:$L$9,"",1,1),_xlfn.XLOOKUP(G179,Data!$D$4:$L$4,Data!$D$2:$L$2,"",1,1)))</f>
        <v/>
      </c>
      <c r="L179" s="160" t="str" cm="1">
        <f t="array" ref="L179">IFERROR(_xlfn.IFNA(
                      _xlfn.IFS(
                      G179="", "",
                      G179=0, "",
                      AND(E179="U12B",G179&lt;=Data!$M$4), "U12 Boys record",
                      AND(E179="U12G",G179&lt;=Data!$M$11), "U12 Girls record"
                       ),""), "")</f>
        <v/>
      </c>
      <c r="M179" s="18" cm="1">
        <f t="array" ref="M179">_xlfn.IFS(OR($G179="",$G179=0),0, AND(NOT(ISNUMBER($G179)),LOWER($G179)&lt;&gt;"dnf"),"Not a valid time",OR(LOWER($G179)="dnf",$G179&gt;ScoringTable!$N$161),1,RIGHT($E179,1)="B",_xlfn.XLOOKUP($G179,ScoringTable!$N$2:$N$161,ScoringTable!$L$2:$L$161,,1),TRUE,_xlfn.XLOOKUP($G179,ScoringTable!$T$2:$T$161,ScoringTable!$R$2:$R$161,,1))</f>
        <v>0</v>
      </c>
      <c r="Q179" s="117">
        <f t="shared" si="10"/>
        <v>0</v>
      </c>
      <c r="R179" s="118">
        <f t="shared" si="11"/>
        <v>0</v>
      </c>
      <c r="S179" s="119">
        <f t="shared" si="12"/>
        <v>0</v>
      </c>
      <c r="T179" s="118">
        <f t="shared" si="13"/>
        <v>0</v>
      </c>
      <c r="U179" s="120">
        <f t="shared" si="14"/>
        <v>0</v>
      </c>
    </row>
    <row r="180" spans="1:21" s="7" customFormat="1" ht="16.05" customHeight="1">
      <c r="A180" s="113" t="s">
        <v>95</v>
      </c>
      <c r="B180" s="114" t="str">
        <f>IF(ISNA(VLOOKUP($F180,Declarations!B$6:C$185,2,FALSE)),"",IF(VLOOKUP($F180,Declarations!B$6:C$185,2,FALSE)="","NOT DECLARED",IF(ISNA(_xlfn.TEXTBEFORE(VLOOKUP($F180,Declarations!B$6:C$185,2,FALSE)," ")),VLOOKUP($F180,Declarations!B$6:C$185,2,FALSE),_xlfn.TEXTBEFORE(VLOOKUP($F180,Declarations!B$6:C$185,2,FALSE)," "))))</f>
        <v/>
      </c>
      <c r="C180" s="114" t="str">
        <f>IF(ISNA(VLOOKUP($F180,Declarations!B$6:C$185,2,FALSE)),"",IF(VLOOKUP($F180,Declarations!B$6:C$185,2,FALSE)="","NOT DECLARED",IF(ISNA(_xlfn.TEXTAFTER(VLOOKUP($F180,Declarations!B$6:C$185,2,FALSE)," ")),VLOOKUP($F180,Declarations!B$6:C$185,2,FALSE),_xlfn.TEXTAFTER(VLOOKUP($F180,Declarations!B$6:C$185,2,FALSE)," "))))</f>
        <v/>
      </c>
      <c r="D180" s="114" t="str">
        <f>IF(ISNA(VLOOKUP($F180,Declarations!$B$6:$F$185,5,FALSE)),"",IF(VLOOKUP($F180,Declarations!$B$6:$F$185,5,FALSE)="","NOT DECLARED",VLOOKUP($F180,Declarations!$B$6:$F$185,5,FALSE)))</f>
        <v/>
      </c>
      <c r="E180" s="112" t="str">
        <f>IF(ISNA(VLOOKUP($F180,Declarations!$B$6:$D$185,3,FALSE)),"",IF(VLOOKUP($F180,Declarations!$B$6:$D$185,3,FALSE)="","NOT DECLARED",VLOOKUP($F180,Declarations!$B$6:$D$185,3,FALSE)&amp;LEFT(VLOOKUP($F180,Declarations!$B$6:$E$185,4,FALSE))))</f>
        <v/>
      </c>
      <c r="F180" s="58"/>
      <c r="G180" s="115">
        <v>0</v>
      </c>
      <c r="H180" s="281"/>
      <c r="I180" s="114" t="str">
        <f>IF(ISNA(VLOOKUP(F180,Declarations!B$6:C$185,2,FALSE)),"",IF(VLOOKUP(F180,Declarations!B$6:C$185,2,FALSE)="","NOT DECLARED",VLOOKUP(F180,Declarations!B$6:C$185,2,FALSE)))</f>
        <v/>
      </c>
      <c r="J180" s="116">
        <f>IF(LOWER(G180)="dnf",1,IF(U180&lt;ScoringTable!C$3,ScoringTable!I$2,VLOOKUP((1000-U180),ScoringTable!H$2:I$95,2)))</f>
        <v>0</v>
      </c>
      <c r="K180" s="112" t="str">
        <f>IF(OR(E180="",G180=""),"",IF(RIGHT(E180,1)="G",_xlfn.XLOOKUP(G180,Data!$D$11:$L$11,Data!$D$9:$L$9,"",1,1),_xlfn.XLOOKUP(G180,Data!$D$4:$L$4,Data!$D$2:$L$2,"",1,1)))</f>
        <v/>
      </c>
      <c r="L180" s="160" t="str" cm="1">
        <f t="array" ref="L180">IFERROR(_xlfn.IFNA(
                      _xlfn.IFS(
                      G180="", "",
                      G180=0, "",
                      AND(E180="U12B",G180&lt;=Data!$M$4), "U12 Boys record",
                      AND(E180="U12G",G180&lt;=Data!$M$11), "U12 Girls record"
                       ),""), "")</f>
        <v/>
      </c>
      <c r="M180" s="18" cm="1">
        <f t="array" ref="M180">_xlfn.IFS(OR($G180="",$G180=0),0, AND(NOT(ISNUMBER($G180)),LOWER($G180)&lt;&gt;"dnf"),"Not a valid time",OR(LOWER($G180)="dnf",$G180&gt;ScoringTable!$N$161),1,RIGHT($E180,1)="B",_xlfn.XLOOKUP($G180,ScoringTable!$N$2:$N$161,ScoringTable!$L$2:$L$161,,1),TRUE,_xlfn.XLOOKUP($G180,ScoringTable!$T$2:$T$161,ScoringTable!$R$2:$R$161,,1))</f>
        <v>0</v>
      </c>
      <c r="Q180" s="117">
        <f t="shared" si="10"/>
        <v>0</v>
      </c>
      <c r="R180" s="118">
        <f t="shared" si="11"/>
        <v>0</v>
      </c>
      <c r="S180" s="119">
        <f t="shared" si="12"/>
        <v>0</v>
      </c>
      <c r="T180" s="118">
        <f t="shared" si="13"/>
        <v>0</v>
      </c>
      <c r="U180" s="120">
        <f t="shared" si="14"/>
        <v>0</v>
      </c>
    </row>
    <row r="181" spans="1:21" s="7" customFormat="1" ht="16.05" customHeight="1">
      <c r="A181" s="113" t="s">
        <v>95</v>
      </c>
      <c r="B181" s="114" t="str">
        <f>IF(ISNA(VLOOKUP($F181,Declarations!B$6:C$185,2,FALSE)),"",IF(VLOOKUP($F181,Declarations!B$6:C$185,2,FALSE)="","NOT DECLARED",IF(ISNA(_xlfn.TEXTBEFORE(VLOOKUP($F181,Declarations!B$6:C$185,2,FALSE)," ")),VLOOKUP($F181,Declarations!B$6:C$185,2,FALSE),_xlfn.TEXTBEFORE(VLOOKUP($F181,Declarations!B$6:C$185,2,FALSE)," "))))</f>
        <v/>
      </c>
      <c r="C181" s="114" t="str">
        <f>IF(ISNA(VLOOKUP($F181,Declarations!B$6:C$185,2,FALSE)),"",IF(VLOOKUP($F181,Declarations!B$6:C$185,2,FALSE)="","NOT DECLARED",IF(ISNA(_xlfn.TEXTAFTER(VLOOKUP($F181,Declarations!B$6:C$185,2,FALSE)," ")),VLOOKUP($F181,Declarations!B$6:C$185,2,FALSE),_xlfn.TEXTAFTER(VLOOKUP($F181,Declarations!B$6:C$185,2,FALSE)," "))))</f>
        <v/>
      </c>
      <c r="D181" s="114" t="str">
        <f>IF(ISNA(VLOOKUP($F181,Declarations!$B$6:$F$185,5,FALSE)),"",IF(VLOOKUP($F181,Declarations!$B$6:$F$185,5,FALSE)="","NOT DECLARED",VLOOKUP($F181,Declarations!$B$6:$F$185,5,FALSE)))</f>
        <v/>
      </c>
      <c r="E181" s="112" t="str">
        <f>IF(ISNA(VLOOKUP($F181,Declarations!$B$6:$D$185,3,FALSE)),"",IF(VLOOKUP($F181,Declarations!$B$6:$D$185,3,FALSE)="","NOT DECLARED",VLOOKUP($F181,Declarations!$B$6:$D$185,3,FALSE)&amp;LEFT(VLOOKUP($F181,Declarations!$B$6:$E$185,4,FALSE))))</f>
        <v/>
      </c>
      <c r="F181" s="58"/>
      <c r="G181" s="115">
        <v>0</v>
      </c>
      <c r="H181" s="281"/>
      <c r="I181" s="114" t="str">
        <f>IF(ISNA(VLOOKUP(F181,Declarations!B$6:C$185,2,FALSE)),"",IF(VLOOKUP(F181,Declarations!B$6:C$185,2,FALSE)="","NOT DECLARED",VLOOKUP(F181,Declarations!B$6:C$185,2,FALSE)))</f>
        <v/>
      </c>
      <c r="J181" s="116">
        <f>IF(LOWER(G181)="dnf",1,IF(U181&lt;ScoringTable!C$3,ScoringTable!I$2,VLOOKUP((1000-U181),ScoringTable!H$2:I$95,2)))</f>
        <v>0</v>
      </c>
      <c r="K181" s="112" t="str">
        <f>IF(OR(E181="",G181=""),"",IF(RIGHT(E181,1)="G",_xlfn.XLOOKUP(G181,Data!$D$11:$L$11,Data!$D$9:$L$9,"",1,1),_xlfn.XLOOKUP(G181,Data!$D$4:$L$4,Data!$D$2:$L$2,"",1,1)))</f>
        <v/>
      </c>
      <c r="L181" s="160" t="str" cm="1">
        <f t="array" ref="L181">IFERROR(_xlfn.IFNA(
                      _xlfn.IFS(
                      G181="", "",
                      G181=0, "",
                      AND(E181="U12B",G181&lt;=Data!$M$4), "U12 Boys record",
                      AND(E181="U12G",G181&lt;=Data!$M$11), "U12 Girls record"
                       ),""), "")</f>
        <v/>
      </c>
      <c r="M181" s="18" cm="1">
        <f t="array" ref="M181">_xlfn.IFS(OR($G181="",$G181=0),0, AND(NOT(ISNUMBER($G181)),LOWER($G181)&lt;&gt;"dnf"),"Not a valid time",OR(LOWER($G181)="dnf",$G181&gt;ScoringTable!$N$161),1,RIGHT($E181,1)="B",_xlfn.XLOOKUP($G181,ScoringTable!$N$2:$N$161,ScoringTable!$L$2:$L$161,,1),TRUE,_xlfn.XLOOKUP($G181,ScoringTable!$T$2:$T$161,ScoringTable!$R$2:$R$161,,1))</f>
        <v>0</v>
      </c>
      <c r="Q181" s="117">
        <f t="shared" si="10"/>
        <v>0</v>
      </c>
      <c r="R181" s="118">
        <f t="shared" si="11"/>
        <v>0</v>
      </c>
      <c r="S181" s="119">
        <f t="shared" si="12"/>
        <v>0</v>
      </c>
      <c r="T181" s="118">
        <f t="shared" si="13"/>
        <v>0</v>
      </c>
      <c r="U181" s="120">
        <f t="shared" si="14"/>
        <v>0</v>
      </c>
    </row>
    <row r="182" spans="1:21" s="7" customFormat="1" ht="16.05" customHeight="1">
      <c r="A182" s="113" t="s">
        <v>95</v>
      </c>
      <c r="B182" s="114" t="str">
        <f>IF(ISNA(VLOOKUP($F182,Declarations!B$6:C$185,2,FALSE)),"",IF(VLOOKUP($F182,Declarations!B$6:C$185,2,FALSE)="","NOT DECLARED",IF(ISNA(_xlfn.TEXTBEFORE(VLOOKUP($F182,Declarations!B$6:C$185,2,FALSE)," ")),VLOOKUP($F182,Declarations!B$6:C$185,2,FALSE),_xlfn.TEXTBEFORE(VLOOKUP($F182,Declarations!B$6:C$185,2,FALSE)," "))))</f>
        <v/>
      </c>
      <c r="C182" s="114" t="str">
        <f>IF(ISNA(VLOOKUP($F182,Declarations!B$6:C$185,2,FALSE)),"",IF(VLOOKUP($F182,Declarations!B$6:C$185,2,FALSE)="","NOT DECLARED",IF(ISNA(_xlfn.TEXTAFTER(VLOOKUP($F182,Declarations!B$6:C$185,2,FALSE)," ")),VLOOKUP($F182,Declarations!B$6:C$185,2,FALSE),_xlfn.TEXTAFTER(VLOOKUP($F182,Declarations!B$6:C$185,2,FALSE)," "))))</f>
        <v/>
      </c>
      <c r="D182" s="114" t="str">
        <f>IF(ISNA(VLOOKUP($F182,Declarations!$B$6:$F$185,5,FALSE)),"",IF(VLOOKUP($F182,Declarations!$B$6:$F$185,5,FALSE)="","NOT DECLARED",VLOOKUP($F182,Declarations!$B$6:$F$185,5,FALSE)))</f>
        <v/>
      </c>
      <c r="E182" s="112" t="str">
        <f>IF(ISNA(VLOOKUP($F182,Declarations!$B$6:$D$185,3,FALSE)),"",IF(VLOOKUP($F182,Declarations!$B$6:$D$185,3,FALSE)="","NOT DECLARED",VLOOKUP($F182,Declarations!$B$6:$D$185,3,FALSE)&amp;LEFT(VLOOKUP($F182,Declarations!$B$6:$E$185,4,FALSE))))</f>
        <v/>
      </c>
      <c r="F182" s="58"/>
      <c r="G182" s="115">
        <v>0</v>
      </c>
      <c r="H182" s="281"/>
      <c r="I182" s="114" t="str">
        <f>IF(ISNA(VLOOKUP(F182,Declarations!B$6:C$185,2,FALSE)),"",IF(VLOOKUP(F182,Declarations!B$6:C$185,2,FALSE)="","NOT DECLARED",VLOOKUP(F182,Declarations!B$6:C$185,2,FALSE)))</f>
        <v/>
      </c>
      <c r="J182" s="116">
        <f>IF(LOWER(G182)="dnf",1,IF(U182&lt;ScoringTable!C$3,ScoringTable!I$2,VLOOKUP((1000-U182),ScoringTable!H$2:I$95,2)))</f>
        <v>0</v>
      </c>
      <c r="K182" s="112" t="str">
        <f>IF(OR(E182="",G182=""),"",IF(RIGHT(E182,1)="G",_xlfn.XLOOKUP(G182,Data!$D$11:$L$11,Data!$D$9:$L$9,"",1,1),_xlfn.XLOOKUP(G182,Data!$D$4:$L$4,Data!$D$2:$L$2,"",1,1)))</f>
        <v/>
      </c>
      <c r="L182" s="160" t="str" cm="1">
        <f t="array" ref="L182">IFERROR(_xlfn.IFNA(
                      _xlfn.IFS(
                      G182="", "",
                      G182=0, "",
                      AND(E182="U12B",G182&lt;=Data!$M$4), "U12 Boys record",
                      AND(E182="U12G",G182&lt;=Data!$M$11), "U12 Girls record"
                       ),""), "")</f>
        <v/>
      </c>
      <c r="M182" s="18" cm="1">
        <f t="array" ref="M182">_xlfn.IFS(OR($G182="",$G182=0),0, AND(NOT(ISNUMBER($G182)),LOWER($G182)&lt;&gt;"dnf"),"Not a valid time",OR(LOWER($G182)="dnf",$G182&gt;ScoringTable!$N$161),1,RIGHT($E182,1)="B",_xlfn.XLOOKUP($G182,ScoringTable!$N$2:$N$161,ScoringTable!$L$2:$L$161,,1),TRUE,_xlfn.XLOOKUP($G182,ScoringTable!$T$2:$T$161,ScoringTable!$R$2:$R$161,,1))</f>
        <v>0</v>
      </c>
      <c r="Q182" s="117">
        <f t="shared" si="10"/>
        <v>0</v>
      </c>
      <c r="R182" s="118">
        <f t="shared" si="11"/>
        <v>0</v>
      </c>
      <c r="S182" s="119">
        <f t="shared" si="12"/>
        <v>0</v>
      </c>
      <c r="T182" s="118">
        <f t="shared" si="13"/>
        <v>0</v>
      </c>
      <c r="U182" s="120">
        <f t="shared" si="14"/>
        <v>0</v>
      </c>
    </row>
    <row r="183" spans="1:21" s="7" customFormat="1" ht="16.05" customHeight="1">
      <c r="A183" s="113" t="s">
        <v>95</v>
      </c>
      <c r="B183" s="114" t="str">
        <f>IF(ISNA(VLOOKUP($F183,Declarations!B$6:C$185,2,FALSE)),"",IF(VLOOKUP($F183,Declarations!B$6:C$185,2,FALSE)="","NOT DECLARED",IF(ISNA(_xlfn.TEXTBEFORE(VLOOKUP($F183,Declarations!B$6:C$185,2,FALSE)," ")),VLOOKUP($F183,Declarations!B$6:C$185,2,FALSE),_xlfn.TEXTBEFORE(VLOOKUP($F183,Declarations!B$6:C$185,2,FALSE)," "))))</f>
        <v/>
      </c>
      <c r="C183" s="114" t="str">
        <f>IF(ISNA(VLOOKUP($F183,Declarations!B$6:C$185,2,FALSE)),"",IF(VLOOKUP($F183,Declarations!B$6:C$185,2,FALSE)="","NOT DECLARED",IF(ISNA(_xlfn.TEXTAFTER(VLOOKUP($F183,Declarations!B$6:C$185,2,FALSE)," ")),VLOOKUP($F183,Declarations!B$6:C$185,2,FALSE),_xlfn.TEXTAFTER(VLOOKUP($F183,Declarations!B$6:C$185,2,FALSE)," "))))</f>
        <v/>
      </c>
      <c r="D183" s="114" t="str">
        <f>IF(ISNA(VLOOKUP($F183,Declarations!$B$6:$F$185,5,FALSE)),"",IF(VLOOKUP($F183,Declarations!$B$6:$F$185,5,FALSE)="","NOT DECLARED",VLOOKUP($F183,Declarations!$B$6:$F$185,5,FALSE)))</f>
        <v/>
      </c>
      <c r="E183" s="112" t="str">
        <f>IF(ISNA(VLOOKUP($F183,Declarations!$B$6:$D$185,3,FALSE)),"",IF(VLOOKUP($F183,Declarations!$B$6:$D$185,3,FALSE)="","NOT DECLARED",VLOOKUP($F183,Declarations!$B$6:$D$185,3,FALSE)&amp;LEFT(VLOOKUP($F183,Declarations!$B$6:$E$185,4,FALSE))))</f>
        <v/>
      </c>
      <c r="F183" s="58"/>
      <c r="G183" s="115">
        <v>0</v>
      </c>
      <c r="H183" s="281"/>
      <c r="I183" s="114" t="str">
        <f>IF(ISNA(VLOOKUP(F183,Declarations!B$6:C$185,2,FALSE)),"",IF(VLOOKUP(F183,Declarations!B$6:C$185,2,FALSE)="","NOT DECLARED",VLOOKUP(F183,Declarations!B$6:C$185,2,FALSE)))</f>
        <v/>
      </c>
      <c r="J183" s="116">
        <f>IF(LOWER(G183)="dnf",1,IF(U183&lt;ScoringTable!C$3,ScoringTable!I$2,VLOOKUP((1000-U183),ScoringTable!H$2:I$95,2)))</f>
        <v>0</v>
      </c>
      <c r="K183" s="112" t="str">
        <f>IF(OR(E183="",G183=""),"",IF(RIGHT(E183,1)="G",_xlfn.XLOOKUP(G183,Data!$D$11:$L$11,Data!$D$9:$L$9,"",1,1),_xlfn.XLOOKUP(G183,Data!$D$4:$L$4,Data!$D$2:$L$2,"",1,1)))</f>
        <v/>
      </c>
      <c r="L183" s="160" t="str" cm="1">
        <f t="array" ref="L183">IFERROR(_xlfn.IFNA(
                      _xlfn.IFS(
                      G183="", "",
                      G183=0, "",
                      AND(E183="U12B",G183&lt;=Data!$M$4), "U12 Boys record",
                      AND(E183="U12G",G183&lt;=Data!$M$11), "U12 Girls record"
                       ),""), "")</f>
        <v/>
      </c>
      <c r="M183" s="18" cm="1">
        <f t="array" ref="M183">_xlfn.IFS(OR($G183="",$G183=0),0, AND(NOT(ISNUMBER($G183)),LOWER($G183)&lt;&gt;"dnf"),"Not a valid time",OR(LOWER($G183)="dnf",$G183&gt;ScoringTable!$N$161),1,RIGHT($E183,1)="B",_xlfn.XLOOKUP($G183,ScoringTable!$N$2:$N$161,ScoringTable!$L$2:$L$161,,1),TRUE,_xlfn.XLOOKUP($G183,ScoringTable!$T$2:$T$161,ScoringTable!$R$2:$R$161,,1))</f>
        <v>0</v>
      </c>
      <c r="Q183" s="117">
        <f t="shared" si="10"/>
        <v>0</v>
      </c>
      <c r="R183" s="118">
        <f t="shared" si="11"/>
        <v>0</v>
      </c>
      <c r="S183" s="119">
        <f t="shared" si="12"/>
        <v>0</v>
      </c>
      <c r="T183" s="118">
        <f t="shared" si="13"/>
        <v>0</v>
      </c>
      <c r="U183" s="120">
        <f t="shared" si="14"/>
        <v>0</v>
      </c>
    </row>
    <row r="184" spans="1:21" s="7" customFormat="1" ht="16.05" customHeight="1">
      <c r="A184" s="113" t="s">
        <v>95</v>
      </c>
      <c r="B184" s="114" t="str">
        <f>IF(ISNA(VLOOKUP($F184,Declarations!B$6:C$185,2,FALSE)),"",IF(VLOOKUP($F184,Declarations!B$6:C$185,2,FALSE)="","NOT DECLARED",IF(ISNA(_xlfn.TEXTBEFORE(VLOOKUP($F184,Declarations!B$6:C$185,2,FALSE)," ")),VLOOKUP($F184,Declarations!B$6:C$185,2,FALSE),_xlfn.TEXTBEFORE(VLOOKUP($F184,Declarations!B$6:C$185,2,FALSE)," "))))</f>
        <v/>
      </c>
      <c r="C184" s="114" t="str">
        <f>IF(ISNA(VLOOKUP($F184,Declarations!B$6:C$185,2,FALSE)),"",IF(VLOOKUP($F184,Declarations!B$6:C$185,2,FALSE)="","NOT DECLARED",IF(ISNA(_xlfn.TEXTAFTER(VLOOKUP($F184,Declarations!B$6:C$185,2,FALSE)," ")),VLOOKUP($F184,Declarations!B$6:C$185,2,FALSE),_xlfn.TEXTAFTER(VLOOKUP($F184,Declarations!B$6:C$185,2,FALSE)," "))))</f>
        <v/>
      </c>
      <c r="D184" s="114" t="str">
        <f>IF(ISNA(VLOOKUP($F184,Declarations!$B$6:$F$185,5,FALSE)),"",IF(VLOOKUP($F184,Declarations!$B$6:$F$185,5,FALSE)="","NOT DECLARED",VLOOKUP($F184,Declarations!$B$6:$F$185,5,FALSE)))</f>
        <v/>
      </c>
      <c r="E184" s="112" t="str">
        <f>IF(ISNA(VLOOKUP($F184,Declarations!$B$6:$D$185,3,FALSE)),"",IF(VLOOKUP($F184,Declarations!$B$6:$D$185,3,FALSE)="","NOT DECLARED",VLOOKUP($F184,Declarations!$B$6:$D$185,3,FALSE)&amp;LEFT(VLOOKUP($F184,Declarations!$B$6:$E$185,4,FALSE))))</f>
        <v/>
      </c>
      <c r="F184" s="58"/>
      <c r="G184" s="115">
        <v>0</v>
      </c>
      <c r="H184" s="281"/>
      <c r="I184" s="114" t="str">
        <f>IF(ISNA(VLOOKUP(F184,Declarations!B$6:C$185,2,FALSE)),"",IF(VLOOKUP(F184,Declarations!B$6:C$185,2,FALSE)="","NOT DECLARED",VLOOKUP(F184,Declarations!B$6:C$185,2,FALSE)))</f>
        <v/>
      </c>
      <c r="J184" s="116">
        <f>IF(LOWER(G184)="dnf",1,IF(U184&lt;ScoringTable!C$3,ScoringTable!I$2,VLOOKUP((1000-U184),ScoringTable!H$2:I$95,2)))</f>
        <v>0</v>
      </c>
      <c r="K184" s="112" t="str">
        <f>IF(OR(E184="",G184=""),"",IF(RIGHT(E184,1)="G",_xlfn.XLOOKUP(G184,Data!$D$11:$L$11,Data!$D$9:$L$9,"",1,1),_xlfn.XLOOKUP(G184,Data!$D$4:$L$4,Data!$D$2:$L$2,"",1,1)))</f>
        <v/>
      </c>
      <c r="L184" s="160" t="str" cm="1">
        <f t="array" ref="L184">IFERROR(_xlfn.IFNA(
                      _xlfn.IFS(
                      G184="", "",
                      G184=0, "",
                      AND(E184="U12B",G184&lt;=Data!$M$4), "U12 Boys record",
                      AND(E184="U12G",G184&lt;=Data!$M$11), "U12 Girls record"
                       ),""), "")</f>
        <v/>
      </c>
      <c r="M184" s="18" cm="1">
        <f t="array" ref="M184">_xlfn.IFS(OR($G184="",$G184=0),0, AND(NOT(ISNUMBER($G184)),LOWER($G184)&lt;&gt;"dnf"),"Not a valid time",OR(LOWER($G184)="dnf",$G184&gt;ScoringTable!$N$161),1,RIGHT($E184,1)="B",_xlfn.XLOOKUP($G184,ScoringTable!$N$2:$N$161,ScoringTable!$L$2:$L$161,,1),TRUE,_xlfn.XLOOKUP($G184,ScoringTable!$T$2:$T$161,ScoringTable!$R$2:$R$161,,1))</f>
        <v>0</v>
      </c>
      <c r="Q184" s="117">
        <f t="shared" si="10"/>
        <v>0</v>
      </c>
      <c r="R184" s="118">
        <f t="shared" si="11"/>
        <v>0</v>
      </c>
      <c r="S184" s="119">
        <f t="shared" si="12"/>
        <v>0</v>
      </c>
      <c r="T184" s="118">
        <f t="shared" si="13"/>
        <v>0</v>
      </c>
      <c r="U184" s="120">
        <f t="shared" si="14"/>
        <v>0</v>
      </c>
    </row>
    <row r="185" spans="1:21" s="7" customFormat="1" ht="16.05" customHeight="1">
      <c r="A185" s="113" t="s">
        <v>95</v>
      </c>
      <c r="B185" s="114" t="str">
        <f>IF(ISNA(VLOOKUP($F185,Declarations!B$6:C$185,2,FALSE)),"",IF(VLOOKUP($F185,Declarations!B$6:C$185,2,FALSE)="","NOT DECLARED",IF(ISNA(_xlfn.TEXTBEFORE(VLOOKUP($F185,Declarations!B$6:C$185,2,FALSE)," ")),VLOOKUP($F185,Declarations!B$6:C$185,2,FALSE),_xlfn.TEXTBEFORE(VLOOKUP($F185,Declarations!B$6:C$185,2,FALSE)," "))))</f>
        <v/>
      </c>
      <c r="C185" s="114" t="str">
        <f>IF(ISNA(VLOOKUP($F185,Declarations!B$6:C$185,2,FALSE)),"",IF(VLOOKUP($F185,Declarations!B$6:C$185,2,FALSE)="","NOT DECLARED",IF(ISNA(_xlfn.TEXTAFTER(VLOOKUP($F185,Declarations!B$6:C$185,2,FALSE)," ")),VLOOKUP($F185,Declarations!B$6:C$185,2,FALSE),_xlfn.TEXTAFTER(VLOOKUP($F185,Declarations!B$6:C$185,2,FALSE)," "))))</f>
        <v/>
      </c>
      <c r="D185" s="114" t="str">
        <f>IF(ISNA(VLOOKUP($F185,Declarations!$B$6:$F$185,5,FALSE)),"",IF(VLOOKUP($F185,Declarations!$B$6:$F$185,5,FALSE)="","NOT DECLARED",VLOOKUP($F185,Declarations!$B$6:$F$185,5,FALSE)))</f>
        <v/>
      </c>
      <c r="E185" s="112" t="str">
        <f>IF(ISNA(VLOOKUP($F185,Declarations!$B$6:$D$185,3,FALSE)),"",IF(VLOOKUP($F185,Declarations!$B$6:$D$185,3,FALSE)="","NOT DECLARED",VLOOKUP($F185,Declarations!$B$6:$D$185,3,FALSE)&amp;LEFT(VLOOKUP($F185,Declarations!$B$6:$E$185,4,FALSE))))</f>
        <v/>
      </c>
      <c r="F185" s="58"/>
      <c r="G185" s="115">
        <v>0</v>
      </c>
      <c r="H185" s="281"/>
      <c r="I185" s="114" t="str">
        <f>IF(ISNA(VLOOKUP(F185,Declarations!B$6:C$185,2,FALSE)),"",IF(VLOOKUP(F185,Declarations!B$6:C$185,2,FALSE)="","NOT DECLARED",VLOOKUP(F185,Declarations!B$6:C$185,2,FALSE)))</f>
        <v/>
      </c>
      <c r="J185" s="116">
        <f>IF(LOWER(G185)="dnf",1,IF(U185&lt;ScoringTable!C$3,ScoringTable!I$2,VLOOKUP((1000-U185),ScoringTable!H$2:I$95,2)))</f>
        <v>0</v>
      </c>
      <c r="K185" s="112" t="str">
        <f>IF(OR(E185="",G185=""),"",IF(RIGHT(E185,1)="G",_xlfn.XLOOKUP(G185,Data!$D$11:$L$11,Data!$D$9:$L$9,"",1,1),_xlfn.XLOOKUP(G185,Data!$D$4:$L$4,Data!$D$2:$L$2,"",1,1)))</f>
        <v/>
      </c>
      <c r="L185" s="160" t="str" cm="1">
        <f t="array" ref="L185">IFERROR(_xlfn.IFNA(
                      _xlfn.IFS(
                      G185="", "",
                      G185=0, "",
                      AND(E185="U12B",G185&lt;=Data!$M$4), "U12 Boys record",
                      AND(E185="U12G",G185&lt;=Data!$M$11), "U12 Girls record"
                       ),""), "")</f>
        <v/>
      </c>
      <c r="M185" s="18" cm="1">
        <f t="array" ref="M185">_xlfn.IFS(OR($G185="",$G185=0),0, AND(NOT(ISNUMBER($G185)),LOWER($G185)&lt;&gt;"dnf"),"Not a valid time",OR(LOWER($G185)="dnf",$G185&gt;ScoringTable!$N$161),1,RIGHT($E185,1)="B",_xlfn.XLOOKUP($G185,ScoringTable!$N$2:$N$161,ScoringTable!$L$2:$L$161,,1),TRUE,_xlfn.XLOOKUP($G185,ScoringTable!$T$2:$T$161,ScoringTable!$R$2:$R$161,,1))</f>
        <v>0</v>
      </c>
      <c r="Q185" s="117">
        <f t="shared" si="10"/>
        <v>0</v>
      </c>
      <c r="R185" s="118">
        <f t="shared" si="11"/>
        <v>0</v>
      </c>
      <c r="S185" s="119">
        <f t="shared" si="12"/>
        <v>0</v>
      </c>
      <c r="T185" s="118">
        <f t="shared" si="13"/>
        <v>0</v>
      </c>
      <c r="U185" s="120">
        <f t="shared" si="14"/>
        <v>0</v>
      </c>
    </row>
    <row r="186" spans="1:21" s="7" customFormat="1" ht="16.05" customHeight="1">
      <c r="A186" s="113" t="s">
        <v>95</v>
      </c>
      <c r="B186" s="114" t="str">
        <f>IF(ISNA(VLOOKUP($F186,Declarations!B$6:C$185,2,FALSE)),"",IF(VLOOKUP($F186,Declarations!B$6:C$185,2,FALSE)="","NOT DECLARED",IF(ISNA(_xlfn.TEXTBEFORE(VLOOKUP($F186,Declarations!B$6:C$185,2,FALSE)," ")),VLOOKUP($F186,Declarations!B$6:C$185,2,FALSE),_xlfn.TEXTBEFORE(VLOOKUP($F186,Declarations!B$6:C$185,2,FALSE)," "))))</f>
        <v/>
      </c>
      <c r="C186" s="114" t="str">
        <f>IF(ISNA(VLOOKUP($F186,Declarations!B$6:C$185,2,FALSE)),"",IF(VLOOKUP($F186,Declarations!B$6:C$185,2,FALSE)="","NOT DECLARED",IF(ISNA(_xlfn.TEXTAFTER(VLOOKUP($F186,Declarations!B$6:C$185,2,FALSE)," ")),VLOOKUP($F186,Declarations!B$6:C$185,2,FALSE),_xlfn.TEXTAFTER(VLOOKUP($F186,Declarations!B$6:C$185,2,FALSE)," "))))</f>
        <v/>
      </c>
      <c r="D186" s="114" t="str">
        <f>IF(ISNA(VLOOKUP($F186,Declarations!$B$6:$F$185,5,FALSE)),"",IF(VLOOKUP($F186,Declarations!$B$6:$F$185,5,FALSE)="","NOT DECLARED",VLOOKUP($F186,Declarations!$B$6:$F$185,5,FALSE)))</f>
        <v/>
      </c>
      <c r="E186" s="112" t="str">
        <f>IF(ISNA(VLOOKUP($F186,Declarations!$B$6:$D$185,3,FALSE)),"",IF(VLOOKUP($F186,Declarations!$B$6:$D$185,3,FALSE)="","NOT DECLARED",VLOOKUP($F186,Declarations!$B$6:$D$185,3,FALSE)&amp;LEFT(VLOOKUP($F186,Declarations!$B$6:$E$185,4,FALSE))))</f>
        <v/>
      </c>
      <c r="F186" s="58"/>
      <c r="G186" s="115">
        <v>0</v>
      </c>
      <c r="H186" s="281"/>
      <c r="I186" s="114" t="str">
        <f>IF(ISNA(VLOOKUP(F186,Declarations!B$6:C$185,2,FALSE)),"",IF(VLOOKUP(F186,Declarations!B$6:C$185,2,FALSE)="","NOT DECLARED",VLOOKUP(F186,Declarations!B$6:C$185,2,FALSE)))</f>
        <v/>
      </c>
      <c r="J186" s="116">
        <f>IF(LOWER(G186)="dnf",1,IF(U186&lt;ScoringTable!C$3,ScoringTable!I$2,VLOOKUP((1000-U186),ScoringTable!H$2:I$95,2)))</f>
        <v>0</v>
      </c>
      <c r="K186" s="112" t="str">
        <f>IF(OR(E186="",G186=""),"",IF(RIGHT(E186,1)="G",_xlfn.XLOOKUP(G186,Data!$D$11:$L$11,Data!$D$9:$L$9,"",1,1),_xlfn.XLOOKUP(G186,Data!$D$4:$L$4,Data!$D$2:$L$2,"",1,1)))</f>
        <v/>
      </c>
      <c r="L186" s="160" t="str" cm="1">
        <f t="array" ref="L186">IFERROR(_xlfn.IFNA(
                      _xlfn.IFS(
                      G186="", "",
                      G186=0, "",
                      AND(E186="U12B",G186&lt;=Data!$M$4), "U12 Boys record",
                      AND(E186="U12G",G186&lt;=Data!$M$11), "U12 Girls record"
                       ),""), "")</f>
        <v/>
      </c>
      <c r="M186" s="18" cm="1">
        <f t="array" ref="M186">_xlfn.IFS(OR($G186="",$G186=0),0, AND(NOT(ISNUMBER($G186)),LOWER($G186)&lt;&gt;"dnf"),"Not a valid time",OR(LOWER($G186)="dnf",$G186&gt;ScoringTable!$N$161),1,RIGHT($E186,1)="B",_xlfn.XLOOKUP($G186,ScoringTable!$N$2:$N$161,ScoringTable!$L$2:$L$161,,1),TRUE,_xlfn.XLOOKUP($G186,ScoringTable!$T$2:$T$161,ScoringTable!$R$2:$R$161,,1))</f>
        <v>0</v>
      </c>
      <c r="Q186" s="117">
        <f t="shared" si="10"/>
        <v>0</v>
      </c>
      <c r="R186" s="118">
        <f t="shared" si="11"/>
        <v>0</v>
      </c>
      <c r="S186" s="119">
        <f t="shared" si="12"/>
        <v>0</v>
      </c>
      <c r="T186" s="118">
        <f t="shared" si="13"/>
        <v>0</v>
      </c>
      <c r="U186" s="120">
        <f t="shared" si="14"/>
        <v>0</v>
      </c>
    </row>
    <row r="187" spans="1:21" s="7" customFormat="1" ht="16.05" customHeight="1">
      <c r="A187" s="113" t="s">
        <v>95</v>
      </c>
      <c r="B187" s="114" t="str">
        <f>IF(ISNA(VLOOKUP($F187,Declarations!B$6:C$185,2,FALSE)),"",IF(VLOOKUP($F187,Declarations!B$6:C$185,2,FALSE)="","NOT DECLARED",IF(ISNA(_xlfn.TEXTBEFORE(VLOOKUP($F187,Declarations!B$6:C$185,2,FALSE)," ")),VLOOKUP($F187,Declarations!B$6:C$185,2,FALSE),_xlfn.TEXTBEFORE(VLOOKUP($F187,Declarations!B$6:C$185,2,FALSE)," "))))</f>
        <v/>
      </c>
      <c r="C187" s="114" t="str">
        <f>IF(ISNA(VLOOKUP($F187,Declarations!B$6:C$185,2,FALSE)),"",IF(VLOOKUP($F187,Declarations!B$6:C$185,2,FALSE)="","NOT DECLARED",IF(ISNA(_xlfn.TEXTAFTER(VLOOKUP($F187,Declarations!B$6:C$185,2,FALSE)," ")),VLOOKUP($F187,Declarations!B$6:C$185,2,FALSE),_xlfn.TEXTAFTER(VLOOKUP($F187,Declarations!B$6:C$185,2,FALSE)," "))))</f>
        <v/>
      </c>
      <c r="D187" s="114" t="str">
        <f>IF(ISNA(VLOOKUP($F187,Declarations!$B$6:$F$185,5,FALSE)),"",IF(VLOOKUP($F187,Declarations!$B$6:$F$185,5,FALSE)="","NOT DECLARED",VLOOKUP($F187,Declarations!$B$6:$F$185,5,FALSE)))</f>
        <v/>
      </c>
      <c r="E187" s="112" t="str">
        <f>IF(ISNA(VLOOKUP($F187,Declarations!$B$6:$D$185,3,FALSE)),"",IF(VLOOKUP($F187,Declarations!$B$6:$D$185,3,FALSE)="","NOT DECLARED",VLOOKUP($F187,Declarations!$B$6:$D$185,3,FALSE)&amp;LEFT(VLOOKUP($F187,Declarations!$B$6:$E$185,4,FALSE))))</f>
        <v/>
      </c>
      <c r="F187" s="58"/>
      <c r="G187" s="115">
        <v>0</v>
      </c>
      <c r="H187" s="281"/>
      <c r="I187" s="114" t="str">
        <f>IF(ISNA(VLOOKUP(F187,Declarations!B$6:C$185,2,FALSE)),"",IF(VLOOKUP(F187,Declarations!B$6:C$185,2,FALSE)="","NOT DECLARED",VLOOKUP(F187,Declarations!B$6:C$185,2,FALSE)))</f>
        <v/>
      </c>
      <c r="J187" s="116">
        <f>IF(LOWER(G187)="dnf",1,IF(U187&lt;ScoringTable!C$3,ScoringTable!I$2,VLOOKUP((1000-U187),ScoringTable!H$2:I$95,2)))</f>
        <v>0</v>
      </c>
      <c r="K187" s="112" t="str">
        <f>IF(OR(E187="",G187=""),"",IF(RIGHT(E187,1)="G",_xlfn.XLOOKUP(G187,Data!$D$11:$L$11,Data!$D$9:$L$9,"",1,1),_xlfn.XLOOKUP(G187,Data!$D$4:$L$4,Data!$D$2:$L$2,"",1,1)))</f>
        <v/>
      </c>
      <c r="L187" s="160" t="str" cm="1">
        <f t="array" ref="L187">IFERROR(_xlfn.IFNA(
                      _xlfn.IFS(
                      G187="", "",
                      G187=0, "",
                      AND(E187="U12B",G187&lt;=Data!$M$4), "U12 Boys record",
                      AND(E187="U12G",G187&lt;=Data!$M$11), "U12 Girls record"
                       ),""), "")</f>
        <v/>
      </c>
      <c r="M187" s="18" cm="1">
        <f t="array" ref="M187">_xlfn.IFS(OR($G187="",$G187=0),0, AND(NOT(ISNUMBER($G187)),LOWER($G187)&lt;&gt;"dnf"),"Not a valid time",OR(LOWER($G187)="dnf",$G187&gt;ScoringTable!$N$161),1,RIGHT($E187,1)="B",_xlfn.XLOOKUP($G187,ScoringTable!$N$2:$N$161,ScoringTable!$L$2:$L$161,,1),TRUE,_xlfn.XLOOKUP($G187,ScoringTable!$T$2:$T$161,ScoringTable!$R$2:$R$161,,1))</f>
        <v>0</v>
      </c>
      <c r="Q187" s="117">
        <f t="shared" si="10"/>
        <v>0</v>
      </c>
      <c r="R187" s="118">
        <f t="shared" si="11"/>
        <v>0</v>
      </c>
      <c r="S187" s="119">
        <f t="shared" si="12"/>
        <v>0</v>
      </c>
      <c r="T187" s="118">
        <f t="shared" si="13"/>
        <v>0</v>
      </c>
      <c r="U187" s="120">
        <f t="shared" si="14"/>
        <v>0</v>
      </c>
    </row>
    <row r="188" spans="1:21" s="7" customFormat="1" ht="16.05" customHeight="1">
      <c r="A188" s="113" t="s">
        <v>95</v>
      </c>
      <c r="B188" s="114" t="str">
        <f>IF(ISNA(VLOOKUP($F188,Declarations!B$6:C$185,2,FALSE)),"",IF(VLOOKUP($F188,Declarations!B$6:C$185,2,FALSE)="","NOT DECLARED",IF(ISNA(_xlfn.TEXTBEFORE(VLOOKUP($F188,Declarations!B$6:C$185,2,FALSE)," ")),VLOOKUP($F188,Declarations!B$6:C$185,2,FALSE),_xlfn.TEXTBEFORE(VLOOKUP($F188,Declarations!B$6:C$185,2,FALSE)," "))))</f>
        <v/>
      </c>
      <c r="C188" s="114" t="str">
        <f>IF(ISNA(VLOOKUP($F188,Declarations!B$6:C$185,2,FALSE)),"",IF(VLOOKUP($F188,Declarations!B$6:C$185,2,FALSE)="","NOT DECLARED",IF(ISNA(_xlfn.TEXTAFTER(VLOOKUP($F188,Declarations!B$6:C$185,2,FALSE)," ")),VLOOKUP($F188,Declarations!B$6:C$185,2,FALSE),_xlfn.TEXTAFTER(VLOOKUP($F188,Declarations!B$6:C$185,2,FALSE)," "))))</f>
        <v/>
      </c>
      <c r="D188" s="114" t="str">
        <f>IF(ISNA(VLOOKUP($F188,Declarations!$B$6:$F$185,5,FALSE)),"",IF(VLOOKUP($F188,Declarations!$B$6:$F$185,5,FALSE)="","NOT DECLARED",VLOOKUP($F188,Declarations!$B$6:$F$185,5,FALSE)))</f>
        <v/>
      </c>
      <c r="E188" s="112" t="str">
        <f>IF(ISNA(VLOOKUP($F188,Declarations!$B$6:$D$185,3,FALSE)),"",IF(VLOOKUP($F188,Declarations!$B$6:$D$185,3,FALSE)="","NOT DECLARED",VLOOKUP($F188,Declarations!$B$6:$D$185,3,FALSE)&amp;LEFT(VLOOKUP($F188,Declarations!$B$6:$E$185,4,FALSE))))</f>
        <v/>
      </c>
      <c r="F188" s="58"/>
      <c r="G188" s="115">
        <v>0</v>
      </c>
      <c r="H188" s="281"/>
      <c r="I188" s="114" t="str">
        <f>IF(ISNA(VLOOKUP(F188,Declarations!B$6:C$185,2,FALSE)),"",IF(VLOOKUP(F188,Declarations!B$6:C$185,2,FALSE)="","NOT DECLARED",VLOOKUP(F188,Declarations!B$6:C$185,2,FALSE)))</f>
        <v/>
      </c>
      <c r="J188" s="116">
        <f>IF(LOWER(G188)="dnf",1,IF(U188&lt;ScoringTable!C$3,ScoringTable!I$2,VLOOKUP((1000-U188),ScoringTable!H$2:I$95,2)))</f>
        <v>0</v>
      </c>
      <c r="K188" s="112" t="str">
        <f>IF(OR(E188="",G188=""),"",IF(RIGHT(E188,1)="G",_xlfn.XLOOKUP(G188,Data!$D$11:$L$11,Data!$D$9:$L$9,"",1,1),_xlfn.XLOOKUP(G188,Data!$D$4:$L$4,Data!$D$2:$L$2,"",1,1)))</f>
        <v/>
      </c>
      <c r="L188" s="160" t="str" cm="1">
        <f t="array" ref="L188">IFERROR(_xlfn.IFNA(
                      _xlfn.IFS(
                      G188="", "",
                      G188=0, "",
                      AND(E188="U12B",G188&lt;=Data!$M$4), "U12 Boys record",
                      AND(E188="U12G",G188&lt;=Data!$M$11), "U12 Girls record"
                       ),""), "")</f>
        <v/>
      </c>
      <c r="M188" s="18" cm="1">
        <f t="array" ref="M188">_xlfn.IFS(OR($G188="",$G188=0),0, AND(NOT(ISNUMBER($G188)),LOWER($G188)&lt;&gt;"dnf"),"Not a valid time",OR(LOWER($G188)="dnf",$G188&gt;ScoringTable!$N$161),1,RIGHT($E188,1)="B",_xlfn.XLOOKUP($G188,ScoringTable!$N$2:$N$161,ScoringTable!$L$2:$L$161,,1),TRUE,_xlfn.XLOOKUP($G188,ScoringTable!$T$2:$T$161,ScoringTable!$R$2:$R$161,,1))</f>
        <v>0</v>
      </c>
      <c r="Q188" s="117">
        <f t="shared" si="10"/>
        <v>0</v>
      </c>
      <c r="R188" s="118">
        <f t="shared" si="11"/>
        <v>0</v>
      </c>
      <c r="S188" s="119">
        <f t="shared" si="12"/>
        <v>0</v>
      </c>
      <c r="T188" s="118">
        <f t="shared" si="13"/>
        <v>0</v>
      </c>
      <c r="U188" s="120">
        <f t="shared" si="14"/>
        <v>0</v>
      </c>
    </row>
    <row r="189" spans="1:21" s="7" customFormat="1" ht="16.05" customHeight="1">
      <c r="A189" s="113" t="s">
        <v>95</v>
      </c>
      <c r="B189" s="114" t="str">
        <f>IF(ISNA(VLOOKUP($F189,Declarations!B$6:C$185,2,FALSE)),"",IF(VLOOKUP($F189,Declarations!B$6:C$185,2,FALSE)="","NOT DECLARED",IF(ISNA(_xlfn.TEXTBEFORE(VLOOKUP($F189,Declarations!B$6:C$185,2,FALSE)," ")),VLOOKUP($F189,Declarations!B$6:C$185,2,FALSE),_xlfn.TEXTBEFORE(VLOOKUP($F189,Declarations!B$6:C$185,2,FALSE)," "))))</f>
        <v/>
      </c>
      <c r="C189" s="114" t="str">
        <f>IF(ISNA(VLOOKUP($F189,Declarations!B$6:C$185,2,FALSE)),"",IF(VLOOKUP($F189,Declarations!B$6:C$185,2,FALSE)="","NOT DECLARED",IF(ISNA(_xlfn.TEXTAFTER(VLOOKUP($F189,Declarations!B$6:C$185,2,FALSE)," ")),VLOOKUP($F189,Declarations!B$6:C$185,2,FALSE),_xlfn.TEXTAFTER(VLOOKUP($F189,Declarations!B$6:C$185,2,FALSE)," "))))</f>
        <v/>
      </c>
      <c r="D189" s="114" t="str">
        <f>IF(ISNA(VLOOKUP($F189,Declarations!$B$6:$F$185,5,FALSE)),"",IF(VLOOKUP($F189,Declarations!$B$6:$F$185,5,FALSE)="","NOT DECLARED",VLOOKUP($F189,Declarations!$B$6:$F$185,5,FALSE)))</f>
        <v/>
      </c>
      <c r="E189" s="112" t="str">
        <f>IF(ISNA(VLOOKUP($F189,Declarations!$B$6:$D$185,3,FALSE)),"",IF(VLOOKUP($F189,Declarations!$B$6:$D$185,3,FALSE)="","NOT DECLARED",VLOOKUP($F189,Declarations!$B$6:$D$185,3,FALSE)&amp;LEFT(VLOOKUP($F189,Declarations!$B$6:$E$185,4,FALSE))))</f>
        <v/>
      </c>
      <c r="F189" s="58"/>
      <c r="G189" s="115">
        <v>0</v>
      </c>
      <c r="H189" s="281"/>
      <c r="I189" s="114" t="str">
        <f>IF(ISNA(VLOOKUP(F189,Declarations!B$6:C$185,2,FALSE)),"",IF(VLOOKUP(F189,Declarations!B$6:C$185,2,FALSE)="","NOT DECLARED",VLOOKUP(F189,Declarations!B$6:C$185,2,FALSE)))</f>
        <v/>
      </c>
      <c r="J189" s="116">
        <f>IF(LOWER(G189)="dnf",1,IF(U189&lt;ScoringTable!C$3,ScoringTable!I$2,VLOOKUP((1000-U189),ScoringTable!H$2:I$95,2)))</f>
        <v>0</v>
      </c>
      <c r="K189" s="112" t="str">
        <f>IF(OR(E189="",G189=""),"",IF(RIGHT(E189,1)="G",_xlfn.XLOOKUP(G189,Data!$D$11:$L$11,Data!$D$9:$L$9,"",1,1),_xlfn.XLOOKUP(G189,Data!$D$4:$L$4,Data!$D$2:$L$2,"",1,1)))</f>
        <v/>
      </c>
      <c r="L189" s="160" t="str" cm="1">
        <f t="array" ref="L189">IFERROR(_xlfn.IFNA(
                      _xlfn.IFS(
                      G189="", "",
                      G189=0, "",
                      AND(E189="U12B",G189&lt;=Data!$M$4), "U12 Boys record",
                      AND(E189="U12G",G189&lt;=Data!$M$11), "U12 Girls record"
                       ),""), "")</f>
        <v/>
      </c>
      <c r="M189" s="18" cm="1">
        <f t="array" ref="M189">_xlfn.IFS(OR($G189="",$G189=0),0, AND(NOT(ISNUMBER($G189)),LOWER($G189)&lt;&gt;"dnf"),"Not a valid time",OR(LOWER($G189)="dnf",$G189&gt;ScoringTable!$N$161),1,RIGHT($E189,1)="B",_xlfn.XLOOKUP($G189,ScoringTable!$N$2:$N$161,ScoringTable!$L$2:$L$161,,1),TRUE,_xlfn.XLOOKUP($G189,ScoringTable!$T$2:$T$161,ScoringTable!$R$2:$R$161,,1))</f>
        <v>0</v>
      </c>
      <c r="Q189" s="117">
        <f t="shared" si="10"/>
        <v>0</v>
      </c>
      <c r="R189" s="118">
        <f t="shared" si="11"/>
        <v>0</v>
      </c>
      <c r="S189" s="119">
        <f t="shared" si="12"/>
        <v>0</v>
      </c>
      <c r="T189" s="118">
        <f t="shared" si="13"/>
        <v>0</v>
      </c>
      <c r="U189" s="120">
        <f t="shared" si="14"/>
        <v>0</v>
      </c>
    </row>
    <row r="190" spans="1:21" s="7" customFormat="1" ht="16.05" customHeight="1">
      <c r="A190" s="113" t="s">
        <v>95</v>
      </c>
      <c r="B190" s="114" t="str">
        <f>IF(ISNA(VLOOKUP($F190,Declarations!B$6:C$185,2,FALSE)),"",IF(VLOOKUP($F190,Declarations!B$6:C$185,2,FALSE)="","NOT DECLARED",IF(ISNA(_xlfn.TEXTBEFORE(VLOOKUP($F190,Declarations!B$6:C$185,2,FALSE)," ")),VLOOKUP($F190,Declarations!B$6:C$185,2,FALSE),_xlfn.TEXTBEFORE(VLOOKUP($F190,Declarations!B$6:C$185,2,FALSE)," "))))</f>
        <v/>
      </c>
      <c r="C190" s="114" t="str">
        <f>IF(ISNA(VLOOKUP($F190,Declarations!B$6:C$185,2,FALSE)),"",IF(VLOOKUP($F190,Declarations!B$6:C$185,2,FALSE)="","NOT DECLARED",IF(ISNA(_xlfn.TEXTAFTER(VLOOKUP($F190,Declarations!B$6:C$185,2,FALSE)," ")),VLOOKUP($F190,Declarations!B$6:C$185,2,FALSE),_xlfn.TEXTAFTER(VLOOKUP($F190,Declarations!B$6:C$185,2,FALSE)," "))))</f>
        <v/>
      </c>
      <c r="D190" s="114" t="str">
        <f>IF(ISNA(VLOOKUP($F190,Declarations!$B$6:$F$185,5,FALSE)),"",IF(VLOOKUP($F190,Declarations!$B$6:$F$185,5,FALSE)="","NOT DECLARED",VLOOKUP($F190,Declarations!$B$6:$F$185,5,FALSE)))</f>
        <v/>
      </c>
      <c r="E190" s="112" t="str">
        <f>IF(ISNA(VLOOKUP($F190,Declarations!$B$6:$D$185,3,FALSE)),"",IF(VLOOKUP($F190,Declarations!$B$6:$D$185,3,FALSE)="","NOT DECLARED",VLOOKUP($F190,Declarations!$B$6:$D$185,3,FALSE)&amp;LEFT(VLOOKUP($F190,Declarations!$B$6:$E$185,4,FALSE))))</f>
        <v/>
      </c>
      <c r="F190" s="58"/>
      <c r="G190" s="115">
        <v>0</v>
      </c>
      <c r="H190" s="281"/>
      <c r="I190" s="114" t="str">
        <f>IF(ISNA(VLOOKUP(F190,Declarations!B$6:C$185,2,FALSE)),"",IF(VLOOKUP(F190,Declarations!B$6:C$185,2,FALSE)="","NOT DECLARED",VLOOKUP(F190,Declarations!B$6:C$185,2,FALSE)))</f>
        <v/>
      </c>
      <c r="J190" s="116">
        <f>IF(LOWER(G190)="dnf",1,IF(U190&lt;ScoringTable!C$3,ScoringTable!I$2,VLOOKUP((1000-U190),ScoringTable!H$2:I$95,2)))</f>
        <v>0</v>
      </c>
      <c r="K190" s="112" t="str">
        <f>IF(OR(E190="",G190=""),"",IF(RIGHT(E190,1)="G",_xlfn.XLOOKUP(G190,Data!$D$11:$L$11,Data!$D$9:$L$9,"",1,1),_xlfn.XLOOKUP(G190,Data!$D$4:$L$4,Data!$D$2:$L$2,"",1,1)))</f>
        <v/>
      </c>
      <c r="L190" s="160" t="str" cm="1">
        <f t="array" ref="L190">IFERROR(_xlfn.IFNA(
                      _xlfn.IFS(
                      G190="", "",
                      G190=0, "",
                      AND(E190="U12B",G190&lt;=Data!$M$4), "U12 Boys record",
                      AND(E190="U12G",G190&lt;=Data!$M$11), "U12 Girls record"
                       ),""), "")</f>
        <v/>
      </c>
      <c r="M190" s="18" cm="1">
        <f t="array" ref="M190">_xlfn.IFS(OR($G190="",$G190=0),0, AND(NOT(ISNUMBER($G190)),LOWER($G190)&lt;&gt;"dnf"),"Not a valid time",OR(LOWER($G190)="dnf",$G190&gt;ScoringTable!$N$161),1,RIGHT($E190,1)="B",_xlfn.XLOOKUP($G190,ScoringTable!$N$2:$N$161,ScoringTable!$L$2:$L$161,,1),TRUE,_xlfn.XLOOKUP($G190,ScoringTable!$T$2:$T$161,ScoringTable!$R$2:$R$161,,1))</f>
        <v>0</v>
      </c>
      <c r="Q190" s="117">
        <f t="shared" si="10"/>
        <v>0</v>
      </c>
      <c r="R190" s="118">
        <f t="shared" si="11"/>
        <v>0</v>
      </c>
      <c r="S190" s="119">
        <f t="shared" si="12"/>
        <v>0</v>
      </c>
      <c r="T190" s="118">
        <f t="shared" si="13"/>
        <v>0</v>
      </c>
      <c r="U190" s="120">
        <f t="shared" si="14"/>
        <v>0</v>
      </c>
    </row>
    <row r="191" spans="1:21" s="7" customFormat="1" ht="16.05" customHeight="1">
      <c r="A191" s="113" t="s">
        <v>95</v>
      </c>
      <c r="B191" s="114" t="str">
        <f>IF(ISNA(VLOOKUP($F191,Declarations!B$6:C$185,2,FALSE)),"",IF(VLOOKUP($F191,Declarations!B$6:C$185,2,FALSE)="","NOT DECLARED",IF(ISNA(_xlfn.TEXTBEFORE(VLOOKUP($F191,Declarations!B$6:C$185,2,FALSE)," ")),VLOOKUP($F191,Declarations!B$6:C$185,2,FALSE),_xlfn.TEXTBEFORE(VLOOKUP($F191,Declarations!B$6:C$185,2,FALSE)," "))))</f>
        <v/>
      </c>
      <c r="C191" s="114" t="str">
        <f>IF(ISNA(VLOOKUP($F191,Declarations!B$6:C$185,2,FALSE)),"",IF(VLOOKUP($F191,Declarations!B$6:C$185,2,FALSE)="","NOT DECLARED",IF(ISNA(_xlfn.TEXTAFTER(VLOOKUP($F191,Declarations!B$6:C$185,2,FALSE)," ")),VLOOKUP($F191,Declarations!B$6:C$185,2,FALSE),_xlfn.TEXTAFTER(VLOOKUP($F191,Declarations!B$6:C$185,2,FALSE)," "))))</f>
        <v/>
      </c>
      <c r="D191" s="114" t="str">
        <f>IF(ISNA(VLOOKUP($F191,Declarations!$B$6:$F$185,5,FALSE)),"",IF(VLOOKUP($F191,Declarations!$B$6:$F$185,5,FALSE)="","NOT DECLARED",VLOOKUP($F191,Declarations!$B$6:$F$185,5,FALSE)))</f>
        <v/>
      </c>
      <c r="E191" s="112" t="str">
        <f>IF(ISNA(VLOOKUP($F191,Declarations!$B$6:$D$185,3,FALSE)),"",IF(VLOOKUP($F191,Declarations!$B$6:$D$185,3,FALSE)="","NOT DECLARED",VLOOKUP($F191,Declarations!$B$6:$D$185,3,FALSE)&amp;LEFT(VLOOKUP($F191,Declarations!$B$6:$E$185,4,FALSE))))</f>
        <v/>
      </c>
      <c r="F191" s="58"/>
      <c r="G191" s="115">
        <v>0</v>
      </c>
      <c r="H191" s="281"/>
      <c r="I191" s="114" t="str">
        <f>IF(ISNA(VLOOKUP(F191,Declarations!B$6:C$185,2,FALSE)),"",IF(VLOOKUP(F191,Declarations!B$6:C$185,2,FALSE)="","NOT DECLARED",VLOOKUP(F191,Declarations!B$6:C$185,2,FALSE)))</f>
        <v/>
      </c>
      <c r="J191" s="116">
        <f>IF(LOWER(G191)="dnf",1,IF(U191&lt;ScoringTable!C$3,ScoringTable!I$2,VLOOKUP((1000-U191),ScoringTable!H$2:I$95,2)))</f>
        <v>0</v>
      </c>
      <c r="K191" s="112" t="str">
        <f>IF(OR(E191="",G191=""),"",IF(RIGHT(E191,1)="G",_xlfn.XLOOKUP(G191,Data!$D$11:$L$11,Data!$D$9:$L$9,"",1,1),_xlfn.XLOOKUP(G191,Data!$D$4:$L$4,Data!$D$2:$L$2,"",1,1)))</f>
        <v/>
      </c>
      <c r="L191" s="160" t="str" cm="1">
        <f t="array" ref="L191">IFERROR(_xlfn.IFNA(
                      _xlfn.IFS(
                      G191="", "",
                      G191=0, "",
                      AND(E191="U12B",G191&lt;=Data!$M$4), "U12 Boys record",
                      AND(E191="U12G",G191&lt;=Data!$M$11), "U12 Girls record"
                       ),""), "")</f>
        <v/>
      </c>
      <c r="M191" s="18" cm="1">
        <f t="array" ref="M191">_xlfn.IFS(OR($G191="",$G191=0),0, AND(NOT(ISNUMBER($G191)),LOWER($G191)&lt;&gt;"dnf"),"Not a valid time",OR(LOWER($G191)="dnf",$G191&gt;ScoringTable!$N$161),1,RIGHT($E191,1)="B",_xlfn.XLOOKUP($G191,ScoringTable!$N$2:$N$161,ScoringTable!$L$2:$L$161,,1),TRUE,_xlfn.XLOOKUP($G191,ScoringTable!$T$2:$T$161,ScoringTable!$R$2:$R$161,,1))</f>
        <v>0</v>
      </c>
      <c r="Q191" s="117">
        <f t="shared" si="10"/>
        <v>0</v>
      </c>
      <c r="R191" s="118">
        <f t="shared" si="11"/>
        <v>0</v>
      </c>
      <c r="S191" s="119">
        <f t="shared" si="12"/>
        <v>0</v>
      </c>
      <c r="T191" s="118">
        <f t="shared" si="13"/>
        <v>0</v>
      </c>
      <c r="U191" s="120">
        <f t="shared" si="14"/>
        <v>0</v>
      </c>
    </row>
    <row r="192" spans="1:21" s="7" customFormat="1" ht="16.05" customHeight="1">
      <c r="A192" s="113" t="s">
        <v>95</v>
      </c>
      <c r="B192" s="114" t="str">
        <f>IF(ISNA(VLOOKUP($F192,Declarations!B$6:C$185,2,FALSE)),"",IF(VLOOKUP($F192,Declarations!B$6:C$185,2,FALSE)="","NOT DECLARED",IF(ISNA(_xlfn.TEXTBEFORE(VLOOKUP($F192,Declarations!B$6:C$185,2,FALSE)," ")),VLOOKUP($F192,Declarations!B$6:C$185,2,FALSE),_xlfn.TEXTBEFORE(VLOOKUP($F192,Declarations!B$6:C$185,2,FALSE)," "))))</f>
        <v/>
      </c>
      <c r="C192" s="114" t="str">
        <f>IF(ISNA(VLOOKUP($F192,Declarations!B$6:C$185,2,FALSE)),"",IF(VLOOKUP($F192,Declarations!B$6:C$185,2,FALSE)="","NOT DECLARED",IF(ISNA(_xlfn.TEXTAFTER(VLOOKUP($F192,Declarations!B$6:C$185,2,FALSE)," ")),VLOOKUP($F192,Declarations!B$6:C$185,2,FALSE),_xlfn.TEXTAFTER(VLOOKUP($F192,Declarations!B$6:C$185,2,FALSE)," "))))</f>
        <v/>
      </c>
      <c r="D192" s="114" t="str">
        <f>IF(ISNA(VLOOKUP($F192,Declarations!$B$6:$F$185,5,FALSE)),"",IF(VLOOKUP($F192,Declarations!$B$6:$F$185,5,FALSE)="","NOT DECLARED",VLOOKUP($F192,Declarations!$B$6:$F$185,5,FALSE)))</f>
        <v/>
      </c>
      <c r="E192" s="112" t="str">
        <f>IF(ISNA(VLOOKUP($F192,Declarations!$B$6:$D$185,3,FALSE)),"",IF(VLOOKUP($F192,Declarations!$B$6:$D$185,3,FALSE)="","NOT DECLARED",VLOOKUP($F192,Declarations!$B$6:$D$185,3,FALSE)&amp;LEFT(VLOOKUP($F192,Declarations!$B$6:$E$185,4,FALSE))))</f>
        <v/>
      </c>
      <c r="F192" s="58"/>
      <c r="G192" s="115">
        <v>0</v>
      </c>
      <c r="H192" s="281"/>
      <c r="I192" s="114" t="str">
        <f>IF(ISNA(VLOOKUP(F192,Declarations!B$6:C$185,2,FALSE)),"",IF(VLOOKUP(F192,Declarations!B$6:C$185,2,FALSE)="","NOT DECLARED",VLOOKUP(F192,Declarations!B$6:C$185,2,FALSE)))</f>
        <v/>
      </c>
      <c r="J192" s="116">
        <f>IF(LOWER(G192)="dnf",1,IF(U192&lt;ScoringTable!C$3,ScoringTable!I$2,VLOOKUP((1000-U192),ScoringTable!H$2:I$95,2)))</f>
        <v>0</v>
      </c>
      <c r="K192" s="112" t="str">
        <f>IF(OR(E192="",G192=""),"",IF(RIGHT(E192,1)="G",_xlfn.XLOOKUP(G192,Data!$D$11:$L$11,Data!$D$9:$L$9,"",1,1),_xlfn.XLOOKUP(G192,Data!$D$4:$L$4,Data!$D$2:$L$2,"",1,1)))</f>
        <v/>
      </c>
      <c r="L192" s="160" t="str" cm="1">
        <f t="array" ref="L192">IFERROR(_xlfn.IFNA(
                      _xlfn.IFS(
                      G192="", "",
                      G192=0, "",
                      AND(E192="U12B",G192&lt;=Data!$M$4), "U12 Boys record",
                      AND(E192="U12G",G192&lt;=Data!$M$11), "U12 Girls record"
                       ),""), "")</f>
        <v/>
      </c>
      <c r="M192" s="18" cm="1">
        <f t="array" ref="M192">_xlfn.IFS(OR($G192="",$G192=0),0, AND(NOT(ISNUMBER($G192)),LOWER($G192)&lt;&gt;"dnf"),"Not a valid time",OR(LOWER($G192)="dnf",$G192&gt;ScoringTable!$N$161),1,RIGHT($E192,1)="B",_xlfn.XLOOKUP($G192,ScoringTable!$N$2:$N$161,ScoringTable!$L$2:$L$161,,1),TRUE,_xlfn.XLOOKUP($G192,ScoringTable!$T$2:$T$161,ScoringTable!$R$2:$R$161,,1))</f>
        <v>0</v>
      </c>
      <c r="Q192" s="117">
        <f t="shared" si="10"/>
        <v>0</v>
      </c>
      <c r="R192" s="118">
        <f t="shared" si="11"/>
        <v>0</v>
      </c>
      <c r="S192" s="119">
        <f t="shared" si="12"/>
        <v>0</v>
      </c>
      <c r="T192" s="118">
        <f t="shared" si="13"/>
        <v>0</v>
      </c>
      <c r="U192" s="120">
        <f t="shared" si="14"/>
        <v>0</v>
      </c>
    </row>
    <row r="193" spans="1:21" s="7" customFormat="1" ht="16.05" customHeight="1">
      <c r="A193" s="113" t="s">
        <v>95</v>
      </c>
      <c r="B193" s="114" t="str">
        <f>IF(ISNA(VLOOKUP($F193,Declarations!B$6:C$185,2,FALSE)),"",IF(VLOOKUP($F193,Declarations!B$6:C$185,2,FALSE)="","NOT DECLARED",IF(ISNA(_xlfn.TEXTBEFORE(VLOOKUP($F193,Declarations!B$6:C$185,2,FALSE)," ")),VLOOKUP($F193,Declarations!B$6:C$185,2,FALSE),_xlfn.TEXTBEFORE(VLOOKUP($F193,Declarations!B$6:C$185,2,FALSE)," "))))</f>
        <v/>
      </c>
      <c r="C193" s="114" t="str">
        <f>IF(ISNA(VLOOKUP($F193,Declarations!B$6:C$185,2,FALSE)),"",IF(VLOOKUP($F193,Declarations!B$6:C$185,2,FALSE)="","NOT DECLARED",IF(ISNA(_xlfn.TEXTAFTER(VLOOKUP($F193,Declarations!B$6:C$185,2,FALSE)," ")),VLOOKUP($F193,Declarations!B$6:C$185,2,FALSE),_xlfn.TEXTAFTER(VLOOKUP($F193,Declarations!B$6:C$185,2,FALSE)," "))))</f>
        <v/>
      </c>
      <c r="D193" s="114" t="str">
        <f>IF(ISNA(VLOOKUP($F193,Declarations!$B$6:$F$185,5,FALSE)),"",IF(VLOOKUP($F193,Declarations!$B$6:$F$185,5,FALSE)="","NOT DECLARED",VLOOKUP($F193,Declarations!$B$6:$F$185,5,FALSE)))</f>
        <v/>
      </c>
      <c r="E193" s="112" t="str">
        <f>IF(ISNA(VLOOKUP($F193,Declarations!$B$6:$D$185,3,FALSE)),"",IF(VLOOKUP($F193,Declarations!$B$6:$D$185,3,FALSE)="","NOT DECLARED",VLOOKUP($F193,Declarations!$B$6:$D$185,3,FALSE)&amp;LEFT(VLOOKUP($F193,Declarations!$B$6:$E$185,4,FALSE))))</f>
        <v/>
      </c>
      <c r="F193" s="58"/>
      <c r="G193" s="115">
        <v>0</v>
      </c>
      <c r="H193" s="281"/>
      <c r="I193" s="114" t="str">
        <f>IF(ISNA(VLOOKUP(F193,Declarations!B$6:C$185,2,FALSE)),"",IF(VLOOKUP(F193,Declarations!B$6:C$185,2,FALSE)="","NOT DECLARED",VLOOKUP(F193,Declarations!B$6:C$185,2,FALSE)))</f>
        <v/>
      </c>
      <c r="J193" s="116">
        <f>IF(LOWER(G193)="dnf",1,IF(U193&lt;ScoringTable!C$3,ScoringTable!I$2,VLOOKUP((1000-U193),ScoringTable!H$2:I$95,2)))</f>
        <v>0</v>
      </c>
      <c r="K193" s="112" t="str">
        <f>IF(OR(E193="",G193=""),"",IF(RIGHT(E193,1)="G",_xlfn.XLOOKUP(G193,Data!$D$11:$L$11,Data!$D$9:$L$9,"",1,1),_xlfn.XLOOKUP(G193,Data!$D$4:$L$4,Data!$D$2:$L$2,"",1,1)))</f>
        <v/>
      </c>
      <c r="L193" s="160" t="str" cm="1">
        <f t="array" ref="L193">IFERROR(_xlfn.IFNA(
                      _xlfn.IFS(
                      G193="", "",
                      G193=0, "",
                      AND(E193="U12B",G193&lt;=Data!$M$4), "U12 Boys record",
                      AND(E193="U12G",G193&lt;=Data!$M$11), "U12 Girls record"
                       ),""), "")</f>
        <v/>
      </c>
      <c r="M193" s="18" cm="1">
        <f t="array" ref="M193">_xlfn.IFS(OR($G193="",$G193=0),0, AND(NOT(ISNUMBER($G193)),LOWER($G193)&lt;&gt;"dnf"),"Not a valid time",OR(LOWER($G193)="dnf",$G193&gt;ScoringTable!$N$161),1,RIGHT($E193,1)="B",_xlfn.XLOOKUP($G193,ScoringTable!$N$2:$N$161,ScoringTable!$L$2:$L$161,,1),TRUE,_xlfn.XLOOKUP($G193,ScoringTable!$T$2:$T$161,ScoringTable!$R$2:$R$161,,1))</f>
        <v>0</v>
      </c>
      <c r="Q193" s="117">
        <f t="shared" si="10"/>
        <v>0</v>
      </c>
      <c r="R193" s="118">
        <f t="shared" si="11"/>
        <v>0</v>
      </c>
      <c r="S193" s="119">
        <f t="shared" si="12"/>
        <v>0</v>
      </c>
      <c r="T193" s="118">
        <f t="shared" si="13"/>
        <v>0</v>
      </c>
      <c r="U193" s="120">
        <f t="shared" si="14"/>
        <v>0</v>
      </c>
    </row>
    <row r="194" spans="1:21" s="7" customFormat="1" ht="16.05" customHeight="1">
      <c r="A194" s="113" t="s">
        <v>95</v>
      </c>
      <c r="B194" s="114" t="str">
        <f>IF(ISNA(VLOOKUP($F194,Declarations!B$6:C$185,2,FALSE)),"",IF(VLOOKUP($F194,Declarations!B$6:C$185,2,FALSE)="","NOT DECLARED",IF(ISNA(_xlfn.TEXTBEFORE(VLOOKUP($F194,Declarations!B$6:C$185,2,FALSE)," ")),VLOOKUP($F194,Declarations!B$6:C$185,2,FALSE),_xlfn.TEXTBEFORE(VLOOKUP($F194,Declarations!B$6:C$185,2,FALSE)," "))))</f>
        <v/>
      </c>
      <c r="C194" s="114" t="str">
        <f>IF(ISNA(VLOOKUP($F194,Declarations!B$6:C$185,2,FALSE)),"",IF(VLOOKUP($F194,Declarations!B$6:C$185,2,FALSE)="","NOT DECLARED",IF(ISNA(_xlfn.TEXTAFTER(VLOOKUP($F194,Declarations!B$6:C$185,2,FALSE)," ")),VLOOKUP($F194,Declarations!B$6:C$185,2,FALSE),_xlfn.TEXTAFTER(VLOOKUP($F194,Declarations!B$6:C$185,2,FALSE)," "))))</f>
        <v/>
      </c>
      <c r="D194" s="114" t="str">
        <f>IF(ISNA(VLOOKUP($F194,Declarations!$B$6:$F$185,5,FALSE)),"",IF(VLOOKUP($F194,Declarations!$B$6:$F$185,5,FALSE)="","NOT DECLARED",VLOOKUP($F194,Declarations!$B$6:$F$185,5,FALSE)))</f>
        <v/>
      </c>
      <c r="E194" s="112" t="str">
        <f>IF(ISNA(VLOOKUP($F194,Declarations!$B$6:$D$185,3,FALSE)),"",IF(VLOOKUP($F194,Declarations!$B$6:$D$185,3,FALSE)="","NOT DECLARED",VLOOKUP($F194,Declarations!$B$6:$D$185,3,FALSE)&amp;LEFT(VLOOKUP($F194,Declarations!$B$6:$E$185,4,FALSE))))</f>
        <v/>
      </c>
      <c r="F194" s="58"/>
      <c r="G194" s="115">
        <v>0</v>
      </c>
      <c r="H194" s="281"/>
      <c r="I194" s="114" t="str">
        <f>IF(ISNA(VLOOKUP(F194,Declarations!B$6:C$185,2,FALSE)),"",IF(VLOOKUP(F194,Declarations!B$6:C$185,2,FALSE)="","NOT DECLARED",VLOOKUP(F194,Declarations!B$6:C$185,2,FALSE)))</f>
        <v/>
      </c>
      <c r="J194" s="116">
        <f>IF(LOWER(G194)="dnf",1,IF(U194&lt;ScoringTable!C$3,ScoringTable!I$2,VLOOKUP((1000-U194),ScoringTable!H$2:I$95,2)))</f>
        <v>0</v>
      </c>
      <c r="K194" s="112" t="str">
        <f>IF(OR(E194="",G194=""),"",IF(RIGHT(E194,1)="G",_xlfn.XLOOKUP(G194,Data!$D$11:$L$11,Data!$D$9:$L$9,"",1,1),_xlfn.XLOOKUP(G194,Data!$D$4:$L$4,Data!$D$2:$L$2,"",1,1)))</f>
        <v/>
      </c>
      <c r="L194" s="160" t="str" cm="1">
        <f t="array" ref="L194">IFERROR(_xlfn.IFNA(
                      _xlfn.IFS(
                      G194="", "",
                      G194=0, "",
                      AND(E194="U12B",G194&lt;=Data!$M$4), "U12 Boys record",
                      AND(E194="U12G",G194&lt;=Data!$M$11), "U12 Girls record"
                       ),""), "")</f>
        <v/>
      </c>
      <c r="M194" s="18" cm="1">
        <f t="array" ref="M194">_xlfn.IFS(OR($G194="",$G194=0),0, AND(NOT(ISNUMBER($G194)),LOWER($G194)&lt;&gt;"dnf"),"Not a valid time",OR(LOWER($G194)="dnf",$G194&gt;ScoringTable!$N$161),1,RIGHT($E194,1)="B",_xlfn.XLOOKUP($G194,ScoringTable!$N$2:$N$161,ScoringTable!$L$2:$L$161,,1),TRUE,_xlfn.XLOOKUP($G194,ScoringTable!$T$2:$T$161,ScoringTable!$R$2:$R$161,,1))</f>
        <v>0</v>
      </c>
      <c r="Q194" s="117">
        <f t="shared" si="10"/>
        <v>0</v>
      </c>
      <c r="R194" s="118">
        <f t="shared" si="11"/>
        <v>0</v>
      </c>
      <c r="S194" s="119">
        <f t="shared" si="12"/>
        <v>0</v>
      </c>
      <c r="T194" s="118">
        <f t="shared" si="13"/>
        <v>0</v>
      </c>
      <c r="U194" s="120">
        <f t="shared" si="14"/>
        <v>0</v>
      </c>
    </row>
    <row r="195" spans="1:21" s="7" customFormat="1" ht="16.05" customHeight="1">
      <c r="A195" s="113" t="s">
        <v>95</v>
      </c>
      <c r="B195" s="114" t="str">
        <f>IF(ISNA(VLOOKUP($F195,Declarations!B$6:C$185,2,FALSE)),"",IF(VLOOKUP($F195,Declarations!B$6:C$185,2,FALSE)="","NOT DECLARED",IF(ISNA(_xlfn.TEXTBEFORE(VLOOKUP($F195,Declarations!B$6:C$185,2,FALSE)," ")),VLOOKUP($F195,Declarations!B$6:C$185,2,FALSE),_xlfn.TEXTBEFORE(VLOOKUP($F195,Declarations!B$6:C$185,2,FALSE)," "))))</f>
        <v/>
      </c>
      <c r="C195" s="114" t="str">
        <f>IF(ISNA(VLOOKUP($F195,Declarations!B$6:C$185,2,FALSE)),"",IF(VLOOKUP($F195,Declarations!B$6:C$185,2,FALSE)="","NOT DECLARED",IF(ISNA(_xlfn.TEXTAFTER(VLOOKUP($F195,Declarations!B$6:C$185,2,FALSE)," ")),VLOOKUP($F195,Declarations!B$6:C$185,2,FALSE),_xlfn.TEXTAFTER(VLOOKUP($F195,Declarations!B$6:C$185,2,FALSE)," "))))</f>
        <v/>
      </c>
      <c r="D195" s="114" t="str">
        <f>IF(ISNA(VLOOKUP($F195,Declarations!$B$6:$F$185,5,FALSE)),"",IF(VLOOKUP($F195,Declarations!$B$6:$F$185,5,FALSE)="","NOT DECLARED",VLOOKUP($F195,Declarations!$B$6:$F$185,5,FALSE)))</f>
        <v/>
      </c>
      <c r="E195" s="112" t="str">
        <f>IF(ISNA(VLOOKUP($F195,Declarations!$B$6:$D$185,3,FALSE)),"",IF(VLOOKUP($F195,Declarations!$B$6:$D$185,3,FALSE)="","NOT DECLARED",VLOOKUP($F195,Declarations!$B$6:$D$185,3,FALSE)&amp;LEFT(VLOOKUP($F195,Declarations!$B$6:$E$185,4,FALSE))))</f>
        <v/>
      </c>
      <c r="F195" s="58"/>
      <c r="G195" s="115">
        <v>0</v>
      </c>
      <c r="H195" s="281"/>
      <c r="I195" s="114" t="str">
        <f>IF(ISNA(VLOOKUP(F195,Declarations!B$6:C$185,2,FALSE)),"",IF(VLOOKUP(F195,Declarations!B$6:C$185,2,FALSE)="","NOT DECLARED",VLOOKUP(F195,Declarations!B$6:C$185,2,FALSE)))</f>
        <v/>
      </c>
      <c r="J195" s="116">
        <f>IF(LOWER(G195)="dnf",1,IF(U195&lt;ScoringTable!C$3,ScoringTable!I$2,VLOOKUP((1000-U195),ScoringTable!H$2:I$95,2)))</f>
        <v>0</v>
      </c>
      <c r="K195" s="112" t="str">
        <f>IF(OR(E195="",G195=""),"",IF(RIGHT(E195,1)="G",_xlfn.XLOOKUP(G195,Data!$D$11:$L$11,Data!$D$9:$L$9,"",1,1),_xlfn.XLOOKUP(G195,Data!$D$4:$L$4,Data!$D$2:$L$2,"",1,1)))</f>
        <v/>
      </c>
      <c r="L195" s="160" t="str" cm="1">
        <f t="array" ref="L195">IFERROR(_xlfn.IFNA(
                      _xlfn.IFS(
                      G195="", "",
                      G195=0, "",
                      AND(E195="U12B",G195&lt;=Data!$M$4), "U12 Boys record",
                      AND(E195="U12G",G195&lt;=Data!$M$11), "U12 Girls record"
                       ),""), "")</f>
        <v/>
      </c>
      <c r="M195" s="18" cm="1">
        <f t="array" ref="M195">_xlfn.IFS(OR($G195="",$G195=0),0, AND(NOT(ISNUMBER($G195)),LOWER($G195)&lt;&gt;"dnf"),"Not a valid time",OR(LOWER($G195)="dnf",$G195&gt;ScoringTable!$N$161),1,RIGHT($E195,1)="B",_xlfn.XLOOKUP($G195,ScoringTable!$N$2:$N$161,ScoringTable!$L$2:$L$161,,1),TRUE,_xlfn.XLOOKUP($G195,ScoringTable!$T$2:$T$161,ScoringTable!$R$2:$R$161,,1))</f>
        <v>0</v>
      </c>
      <c r="Q195" s="117">
        <f t="shared" si="10"/>
        <v>0</v>
      </c>
      <c r="R195" s="118">
        <f t="shared" si="11"/>
        <v>0</v>
      </c>
      <c r="S195" s="119">
        <f t="shared" si="12"/>
        <v>0</v>
      </c>
      <c r="T195" s="118">
        <f t="shared" si="13"/>
        <v>0</v>
      </c>
      <c r="U195" s="120">
        <f t="shared" si="14"/>
        <v>0</v>
      </c>
    </row>
    <row r="196" spans="1:21" s="7" customFormat="1" ht="16.05" customHeight="1">
      <c r="A196" s="113" t="s">
        <v>95</v>
      </c>
      <c r="B196" s="114" t="str">
        <f>IF(ISNA(VLOOKUP($F196,Declarations!B$6:C$185,2,FALSE)),"",IF(VLOOKUP($F196,Declarations!B$6:C$185,2,FALSE)="","NOT DECLARED",IF(ISNA(_xlfn.TEXTBEFORE(VLOOKUP($F196,Declarations!B$6:C$185,2,FALSE)," ")),VLOOKUP($F196,Declarations!B$6:C$185,2,FALSE),_xlfn.TEXTBEFORE(VLOOKUP($F196,Declarations!B$6:C$185,2,FALSE)," "))))</f>
        <v/>
      </c>
      <c r="C196" s="114" t="str">
        <f>IF(ISNA(VLOOKUP($F196,Declarations!B$6:C$185,2,FALSE)),"",IF(VLOOKUP($F196,Declarations!B$6:C$185,2,FALSE)="","NOT DECLARED",IF(ISNA(_xlfn.TEXTAFTER(VLOOKUP($F196,Declarations!B$6:C$185,2,FALSE)," ")),VLOOKUP($F196,Declarations!B$6:C$185,2,FALSE),_xlfn.TEXTAFTER(VLOOKUP($F196,Declarations!B$6:C$185,2,FALSE)," "))))</f>
        <v/>
      </c>
      <c r="D196" s="114" t="str">
        <f>IF(ISNA(VLOOKUP($F196,Declarations!$B$6:$F$185,5,FALSE)),"",IF(VLOOKUP($F196,Declarations!$B$6:$F$185,5,FALSE)="","NOT DECLARED",VLOOKUP($F196,Declarations!$B$6:$F$185,5,FALSE)))</f>
        <v/>
      </c>
      <c r="E196" s="112" t="str">
        <f>IF(ISNA(VLOOKUP($F196,Declarations!$B$6:$D$185,3,FALSE)),"",IF(VLOOKUP($F196,Declarations!$B$6:$D$185,3,FALSE)="","NOT DECLARED",VLOOKUP($F196,Declarations!$B$6:$D$185,3,FALSE)&amp;LEFT(VLOOKUP($F196,Declarations!$B$6:$E$185,4,FALSE))))</f>
        <v/>
      </c>
      <c r="F196" s="58"/>
      <c r="G196" s="115">
        <v>0</v>
      </c>
      <c r="H196" s="281"/>
      <c r="I196" s="114" t="str">
        <f>IF(ISNA(VLOOKUP(F196,Declarations!B$6:C$185,2,FALSE)),"",IF(VLOOKUP(F196,Declarations!B$6:C$185,2,FALSE)="","NOT DECLARED",VLOOKUP(F196,Declarations!B$6:C$185,2,FALSE)))</f>
        <v/>
      </c>
      <c r="J196" s="116">
        <f>IF(LOWER(G196)="dnf",1,IF(U196&lt;ScoringTable!C$3,ScoringTable!I$2,VLOOKUP((1000-U196),ScoringTable!H$2:I$95,2)))</f>
        <v>0</v>
      </c>
      <c r="K196" s="112" t="str">
        <f>IF(OR(E196="",G196=""),"",IF(RIGHT(E196,1)="G",_xlfn.XLOOKUP(G196,Data!$D$11:$L$11,Data!$D$9:$L$9,"",1,1),_xlfn.XLOOKUP(G196,Data!$D$4:$L$4,Data!$D$2:$L$2,"",1,1)))</f>
        <v/>
      </c>
      <c r="L196" s="160" t="str" cm="1">
        <f t="array" ref="L196">IFERROR(_xlfn.IFNA(
                      _xlfn.IFS(
                      G196="", "",
                      G196=0, "",
                      AND(E196="U12B",G196&lt;=Data!$M$4), "U12 Boys record",
                      AND(E196="U12G",G196&lt;=Data!$M$11), "U12 Girls record"
                       ),""), "")</f>
        <v/>
      </c>
      <c r="M196" s="18" cm="1">
        <f t="array" ref="M196">_xlfn.IFS(OR($G196="",$G196=0),0, AND(NOT(ISNUMBER($G196)),LOWER($G196)&lt;&gt;"dnf"),"Not a valid time",OR(LOWER($G196)="dnf",$G196&gt;ScoringTable!$N$161),1,RIGHT($E196,1)="B",_xlfn.XLOOKUP($G196,ScoringTable!$N$2:$N$161,ScoringTable!$L$2:$L$161,,1),TRUE,_xlfn.XLOOKUP($G196,ScoringTable!$T$2:$T$161,ScoringTable!$R$2:$R$161,,1))</f>
        <v>0</v>
      </c>
      <c r="Q196" s="117">
        <f t="shared" si="10"/>
        <v>0</v>
      </c>
      <c r="R196" s="118">
        <f t="shared" si="11"/>
        <v>0</v>
      </c>
      <c r="S196" s="119">
        <f t="shared" si="12"/>
        <v>0</v>
      </c>
      <c r="T196" s="118">
        <f t="shared" si="13"/>
        <v>0</v>
      </c>
      <c r="U196" s="120">
        <f t="shared" si="14"/>
        <v>0</v>
      </c>
    </row>
    <row r="197" spans="1:21" s="7" customFormat="1" ht="16.05" customHeight="1">
      <c r="A197" s="113" t="s">
        <v>95</v>
      </c>
      <c r="B197" s="114" t="str">
        <f>IF(ISNA(VLOOKUP($F197,Declarations!B$6:C$185,2,FALSE)),"",IF(VLOOKUP($F197,Declarations!B$6:C$185,2,FALSE)="","NOT DECLARED",IF(ISNA(_xlfn.TEXTBEFORE(VLOOKUP($F197,Declarations!B$6:C$185,2,FALSE)," ")),VLOOKUP($F197,Declarations!B$6:C$185,2,FALSE),_xlfn.TEXTBEFORE(VLOOKUP($F197,Declarations!B$6:C$185,2,FALSE)," "))))</f>
        <v/>
      </c>
      <c r="C197" s="114" t="str">
        <f>IF(ISNA(VLOOKUP($F197,Declarations!B$6:C$185,2,FALSE)),"",IF(VLOOKUP($F197,Declarations!B$6:C$185,2,FALSE)="","NOT DECLARED",IF(ISNA(_xlfn.TEXTAFTER(VLOOKUP($F197,Declarations!B$6:C$185,2,FALSE)," ")),VLOOKUP($F197,Declarations!B$6:C$185,2,FALSE),_xlfn.TEXTAFTER(VLOOKUP($F197,Declarations!B$6:C$185,2,FALSE)," "))))</f>
        <v/>
      </c>
      <c r="D197" s="114" t="str">
        <f>IF(ISNA(VLOOKUP($F197,Declarations!$B$6:$F$185,5,FALSE)),"",IF(VLOOKUP($F197,Declarations!$B$6:$F$185,5,FALSE)="","NOT DECLARED",VLOOKUP($F197,Declarations!$B$6:$F$185,5,FALSE)))</f>
        <v/>
      </c>
      <c r="E197" s="112" t="str">
        <f>IF(ISNA(VLOOKUP($F197,Declarations!$B$6:$D$185,3,FALSE)),"",IF(VLOOKUP($F197,Declarations!$B$6:$D$185,3,FALSE)="","NOT DECLARED",VLOOKUP($F197,Declarations!$B$6:$D$185,3,FALSE)&amp;LEFT(VLOOKUP($F197,Declarations!$B$6:$E$185,4,FALSE))))</f>
        <v/>
      </c>
      <c r="F197" s="58"/>
      <c r="G197" s="115">
        <v>0</v>
      </c>
      <c r="H197" s="281"/>
      <c r="I197" s="114" t="str">
        <f>IF(ISNA(VLOOKUP(F197,Declarations!B$6:C$185,2,FALSE)),"",IF(VLOOKUP(F197,Declarations!B$6:C$185,2,FALSE)="","NOT DECLARED",VLOOKUP(F197,Declarations!B$6:C$185,2,FALSE)))</f>
        <v/>
      </c>
      <c r="J197" s="116">
        <f>IF(LOWER(G197)="dnf",1,IF(U197&lt;ScoringTable!C$3,ScoringTable!I$2,VLOOKUP((1000-U197),ScoringTable!H$2:I$95,2)))</f>
        <v>0</v>
      </c>
      <c r="K197" s="112" t="str">
        <f>IF(OR(E197="",G197=""),"",IF(RIGHT(E197,1)="G",_xlfn.XLOOKUP(G197,Data!$D$11:$L$11,Data!$D$9:$L$9,"",1,1),_xlfn.XLOOKUP(G197,Data!$D$4:$L$4,Data!$D$2:$L$2,"",1,1)))</f>
        <v/>
      </c>
      <c r="L197" s="160" t="str" cm="1">
        <f t="array" ref="L197">IFERROR(_xlfn.IFNA(
                      _xlfn.IFS(
                      G197="", "",
                      G197=0, "",
                      AND(E197="U12B",G197&lt;=Data!$M$4), "U12 Boys record",
                      AND(E197="U12G",G197&lt;=Data!$M$11), "U12 Girls record"
                       ),""), "")</f>
        <v/>
      </c>
      <c r="M197" s="18" cm="1">
        <f t="array" ref="M197">_xlfn.IFS(OR($G197="",$G197=0),0, AND(NOT(ISNUMBER($G197)),LOWER($G197)&lt;&gt;"dnf"),"Not a valid time",OR(LOWER($G197)="dnf",$G197&gt;ScoringTable!$N$161),1,RIGHT($E197,1)="B",_xlfn.XLOOKUP($G197,ScoringTable!$N$2:$N$161,ScoringTable!$L$2:$L$161,,1),TRUE,_xlfn.XLOOKUP($G197,ScoringTable!$T$2:$T$161,ScoringTable!$R$2:$R$161,,1))</f>
        <v>0</v>
      </c>
      <c r="Q197" s="117">
        <f t="shared" si="10"/>
        <v>0</v>
      </c>
      <c r="R197" s="118">
        <f t="shared" si="11"/>
        <v>0</v>
      </c>
      <c r="S197" s="119">
        <f t="shared" si="12"/>
        <v>0</v>
      </c>
      <c r="T197" s="118">
        <f t="shared" si="13"/>
        <v>0</v>
      </c>
      <c r="U197" s="120">
        <f t="shared" si="14"/>
        <v>0</v>
      </c>
    </row>
    <row r="198" spans="1:21" s="7" customFormat="1" ht="16.05" customHeight="1">
      <c r="A198" s="113" t="s">
        <v>95</v>
      </c>
      <c r="B198" s="114" t="str">
        <f>IF(ISNA(VLOOKUP($F198,Declarations!B$6:C$185,2,FALSE)),"",IF(VLOOKUP($F198,Declarations!B$6:C$185,2,FALSE)="","NOT DECLARED",IF(ISNA(_xlfn.TEXTBEFORE(VLOOKUP($F198,Declarations!B$6:C$185,2,FALSE)," ")),VLOOKUP($F198,Declarations!B$6:C$185,2,FALSE),_xlfn.TEXTBEFORE(VLOOKUP($F198,Declarations!B$6:C$185,2,FALSE)," "))))</f>
        <v/>
      </c>
      <c r="C198" s="114" t="str">
        <f>IF(ISNA(VLOOKUP($F198,Declarations!B$6:C$185,2,FALSE)),"",IF(VLOOKUP($F198,Declarations!B$6:C$185,2,FALSE)="","NOT DECLARED",IF(ISNA(_xlfn.TEXTAFTER(VLOOKUP($F198,Declarations!B$6:C$185,2,FALSE)," ")),VLOOKUP($F198,Declarations!B$6:C$185,2,FALSE),_xlfn.TEXTAFTER(VLOOKUP($F198,Declarations!B$6:C$185,2,FALSE)," "))))</f>
        <v/>
      </c>
      <c r="D198" s="114" t="str">
        <f>IF(ISNA(VLOOKUP($F198,Declarations!$B$6:$F$185,5,FALSE)),"",IF(VLOOKUP($F198,Declarations!$B$6:$F$185,5,FALSE)="","NOT DECLARED",VLOOKUP($F198,Declarations!$B$6:$F$185,5,FALSE)))</f>
        <v/>
      </c>
      <c r="E198" s="112" t="str">
        <f>IF(ISNA(VLOOKUP($F198,Declarations!$B$6:$D$185,3,FALSE)),"",IF(VLOOKUP($F198,Declarations!$B$6:$D$185,3,FALSE)="","NOT DECLARED",VLOOKUP($F198,Declarations!$B$6:$D$185,3,FALSE)&amp;LEFT(VLOOKUP($F198,Declarations!$B$6:$E$185,4,FALSE))))</f>
        <v/>
      </c>
      <c r="F198" s="58"/>
      <c r="G198" s="115">
        <v>0</v>
      </c>
      <c r="H198" s="281"/>
      <c r="I198" s="114" t="str">
        <f>IF(ISNA(VLOOKUP(F198,Declarations!B$6:C$185,2,FALSE)),"",IF(VLOOKUP(F198,Declarations!B$6:C$185,2,FALSE)="","NOT DECLARED",VLOOKUP(F198,Declarations!B$6:C$185,2,FALSE)))</f>
        <v/>
      </c>
      <c r="J198" s="116">
        <f>IF(LOWER(G198)="dnf",1,IF(U198&lt;ScoringTable!C$3,ScoringTable!I$2,VLOOKUP((1000-U198),ScoringTable!H$2:I$95,2)))</f>
        <v>0</v>
      </c>
      <c r="K198" s="112" t="str">
        <f>IF(OR(E198="",G198=""),"",IF(RIGHT(E198,1)="G",_xlfn.XLOOKUP(G198,Data!$D$11:$L$11,Data!$D$9:$L$9,"",1,1),_xlfn.XLOOKUP(G198,Data!$D$4:$L$4,Data!$D$2:$L$2,"",1,1)))</f>
        <v/>
      </c>
      <c r="L198" s="160" t="str" cm="1">
        <f t="array" ref="L198">IFERROR(_xlfn.IFNA(
                      _xlfn.IFS(
                      G198="", "",
                      G198=0, "",
                      AND(E198="U12B",G198&lt;=Data!$M$4), "U12 Boys record",
                      AND(E198="U12G",G198&lt;=Data!$M$11), "U12 Girls record"
                       ),""), "")</f>
        <v/>
      </c>
      <c r="M198" s="18" cm="1">
        <f t="array" ref="M198">_xlfn.IFS(OR($G198="",$G198=0),0, AND(NOT(ISNUMBER($G198)),LOWER($G198)&lt;&gt;"dnf"),"Not a valid time",OR(LOWER($G198)="dnf",$G198&gt;ScoringTable!$N$161),1,RIGHT($E198,1)="B",_xlfn.XLOOKUP($G198,ScoringTable!$N$2:$N$161,ScoringTable!$L$2:$L$161,,1),TRUE,_xlfn.XLOOKUP($G198,ScoringTable!$T$2:$T$161,ScoringTable!$R$2:$R$161,,1))</f>
        <v>0</v>
      </c>
      <c r="Q198" s="117">
        <f t="shared" si="10"/>
        <v>0</v>
      </c>
      <c r="R198" s="118">
        <f t="shared" si="11"/>
        <v>0</v>
      </c>
      <c r="S198" s="119">
        <f t="shared" si="12"/>
        <v>0</v>
      </c>
      <c r="T198" s="118">
        <f t="shared" si="13"/>
        <v>0</v>
      </c>
      <c r="U198" s="120">
        <f t="shared" si="14"/>
        <v>0</v>
      </c>
    </row>
    <row r="199" spans="1:21" s="7" customFormat="1" ht="16.05" customHeight="1">
      <c r="A199" s="113" t="s">
        <v>95</v>
      </c>
      <c r="B199" s="114" t="str">
        <f>IF(ISNA(VLOOKUP($F199,Declarations!B$6:C$185,2,FALSE)),"",IF(VLOOKUP($F199,Declarations!B$6:C$185,2,FALSE)="","NOT DECLARED",IF(ISNA(_xlfn.TEXTBEFORE(VLOOKUP($F199,Declarations!B$6:C$185,2,FALSE)," ")),VLOOKUP($F199,Declarations!B$6:C$185,2,FALSE),_xlfn.TEXTBEFORE(VLOOKUP($F199,Declarations!B$6:C$185,2,FALSE)," "))))</f>
        <v/>
      </c>
      <c r="C199" s="114" t="str">
        <f>IF(ISNA(VLOOKUP($F199,Declarations!B$6:C$185,2,FALSE)),"",IF(VLOOKUP($F199,Declarations!B$6:C$185,2,FALSE)="","NOT DECLARED",IF(ISNA(_xlfn.TEXTAFTER(VLOOKUP($F199,Declarations!B$6:C$185,2,FALSE)," ")),VLOOKUP($F199,Declarations!B$6:C$185,2,FALSE),_xlfn.TEXTAFTER(VLOOKUP($F199,Declarations!B$6:C$185,2,FALSE)," "))))</f>
        <v/>
      </c>
      <c r="D199" s="114" t="str">
        <f>IF(ISNA(VLOOKUP($F199,Declarations!$B$6:$F$185,5,FALSE)),"",IF(VLOOKUP($F199,Declarations!$B$6:$F$185,5,FALSE)="","NOT DECLARED",VLOOKUP($F199,Declarations!$B$6:$F$185,5,FALSE)))</f>
        <v/>
      </c>
      <c r="E199" s="112" t="str">
        <f>IF(ISNA(VLOOKUP($F199,Declarations!$B$6:$D$185,3,FALSE)),"",IF(VLOOKUP($F199,Declarations!$B$6:$D$185,3,FALSE)="","NOT DECLARED",VLOOKUP($F199,Declarations!$B$6:$D$185,3,FALSE)&amp;LEFT(VLOOKUP($F199,Declarations!$B$6:$E$185,4,FALSE))))</f>
        <v/>
      </c>
      <c r="F199" s="58"/>
      <c r="G199" s="115">
        <v>0</v>
      </c>
      <c r="H199" s="281"/>
      <c r="I199" s="114" t="str">
        <f>IF(ISNA(VLOOKUP(F199,Declarations!B$6:C$185,2,FALSE)),"",IF(VLOOKUP(F199,Declarations!B$6:C$185,2,FALSE)="","NOT DECLARED",VLOOKUP(F199,Declarations!B$6:C$185,2,FALSE)))</f>
        <v/>
      </c>
      <c r="J199" s="116">
        <f>IF(LOWER(G199)="dnf",1,IF(U199&lt;ScoringTable!C$3,ScoringTable!I$2,VLOOKUP((1000-U199),ScoringTable!H$2:I$95,2)))</f>
        <v>0</v>
      </c>
      <c r="K199" s="112" t="str">
        <f>IF(OR(E199="",G199=""),"",IF(RIGHT(E199,1)="G",_xlfn.XLOOKUP(G199,Data!$D$11:$L$11,Data!$D$9:$L$9,"",1,1),_xlfn.XLOOKUP(G199,Data!$D$4:$L$4,Data!$D$2:$L$2,"",1,1)))</f>
        <v/>
      </c>
      <c r="L199" s="160" t="str" cm="1">
        <f t="array" ref="L199">IFERROR(_xlfn.IFNA(
                      _xlfn.IFS(
                      G199="", "",
                      G199=0, "",
                      AND(E199="U12B",G199&lt;=Data!$M$4), "U12 Boys record",
                      AND(E199="U12G",G199&lt;=Data!$M$11), "U12 Girls record"
                       ),""), "")</f>
        <v/>
      </c>
      <c r="M199" s="18" cm="1">
        <f t="array" ref="M199">_xlfn.IFS(OR($G199="",$G199=0),0, AND(NOT(ISNUMBER($G199)),LOWER($G199)&lt;&gt;"dnf"),"Not a valid time",OR(LOWER($G199)="dnf",$G199&gt;ScoringTable!$N$161),1,RIGHT($E199,1)="B",_xlfn.XLOOKUP($G199,ScoringTable!$N$2:$N$161,ScoringTable!$L$2:$L$161,,1),TRUE,_xlfn.XLOOKUP($G199,ScoringTable!$T$2:$T$161,ScoringTable!$R$2:$R$161,,1))</f>
        <v>0</v>
      </c>
      <c r="Q199" s="117">
        <f t="shared" ref="Q199:Q262" si="15">G199*86400</f>
        <v>0</v>
      </c>
      <c r="R199" s="118">
        <f t="shared" ref="R199:R262" si="16">Q199/60</f>
        <v>0</v>
      </c>
      <c r="S199" s="119">
        <f t="shared" ref="S199:S262" si="17">(ROUNDDOWN(R199,0))</f>
        <v>0</v>
      </c>
      <c r="T199" s="118">
        <f t="shared" ref="T199:T262" si="18">Q199-((S199*60))</f>
        <v>0</v>
      </c>
      <c r="U199" s="120">
        <f t="shared" ref="U199:U262" si="19">+(S199)+(T199/100)</f>
        <v>0</v>
      </c>
    </row>
    <row r="200" spans="1:21" s="7" customFormat="1" ht="16.05" customHeight="1">
      <c r="A200" s="113" t="s">
        <v>95</v>
      </c>
      <c r="B200" s="114" t="str">
        <f>IF(ISNA(VLOOKUP($F200,Declarations!B$6:C$185,2,FALSE)),"",IF(VLOOKUP($F200,Declarations!B$6:C$185,2,FALSE)="","NOT DECLARED",IF(ISNA(_xlfn.TEXTBEFORE(VLOOKUP($F200,Declarations!B$6:C$185,2,FALSE)," ")),VLOOKUP($F200,Declarations!B$6:C$185,2,FALSE),_xlfn.TEXTBEFORE(VLOOKUP($F200,Declarations!B$6:C$185,2,FALSE)," "))))</f>
        <v/>
      </c>
      <c r="C200" s="114" t="str">
        <f>IF(ISNA(VLOOKUP($F200,Declarations!B$6:C$185,2,FALSE)),"",IF(VLOOKUP($F200,Declarations!B$6:C$185,2,FALSE)="","NOT DECLARED",IF(ISNA(_xlfn.TEXTAFTER(VLOOKUP($F200,Declarations!B$6:C$185,2,FALSE)," ")),VLOOKUP($F200,Declarations!B$6:C$185,2,FALSE),_xlfn.TEXTAFTER(VLOOKUP($F200,Declarations!B$6:C$185,2,FALSE)," "))))</f>
        <v/>
      </c>
      <c r="D200" s="114" t="str">
        <f>IF(ISNA(VLOOKUP($F200,Declarations!$B$6:$F$185,5,FALSE)),"",IF(VLOOKUP($F200,Declarations!$B$6:$F$185,5,FALSE)="","NOT DECLARED",VLOOKUP($F200,Declarations!$B$6:$F$185,5,FALSE)))</f>
        <v/>
      </c>
      <c r="E200" s="112" t="str">
        <f>IF(ISNA(VLOOKUP($F200,Declarations!$B$6:$D$185,3,FALSE)),"",IF(VLOOKUP($F200,Declarations!$B$6:$D$185,3,FALSE)="","NOT DECLARED",VLOOKUP($F200,Declarations!$B$6:$D$185,3,FALSE)&amp;LEFT(VLOOKUP($F200,Declarations!$B$6:$E$185,4,FALSE))))</f>
        <v/>
      </c>
      <c r="F200" s="58"/>
      <c r="G200" s="115">
        <v>0</v>
      </c>
      <c r="H200" s="281"/>
      <c r="I200" s="114" t="str">
        <f>IF(ISNA(VLOOKUP(F200,Declarations!B$6:C$185,2,FALSE)),"",IF(VLOOKUP(F200,Declarations!B$6:C$185,2,FALSE)="","NOT DECLARED",VLOOKUP(F200,Declarations!B$6:C$185,2,FALSE)))</f>
        <v/>
      </c>
      <c r="J200" s="116">
        <f>IF(LOWER(G200)="dnf",1,IF(U200&lt;ScoringTable!C$3,ScoringTable!I$2,VLOOKUP((1000-U200),ScoringTable!H$2:I$95,2)))</f>
        <v>0</v>
      </c>
      <c r="K200" s="112" t="str">
        <f>IF(OR(E200="",G200=""),"",IF(RIGHT(E200,1)="G",_xlfn.XLOOKUP(G200,Data!$D$11:$L$11,Data!$D$9:$L$9,"",1,1),_xlfn.XLOOKUP(G200,Data!$D$4:$L$4,Data!$D$2:$L$2,"",1,1)))</f>
        <v/>
      </c>
      <c r="L200" s="160" t="str" cm="1">
        <f t="array" ref="L200">IFERROR(_xlfn.IFNA(
                      _xlfn.IFS(
                      G200="", "",
                      G200=0, "",
                      AND(E200="U12B",G200&lt;=Data!$M$4), "U12 Boys record",
                      AND(E200="U12G",G200&lt;=Data!$M$11), "U12 Girls record"
                       ),""), "")</f>
        <v/>
      </c>
      <c r="M200" s="18" cm="1">
        <f t="array" ref="M200">_xlfn.IFS(OR($G200="",$G200=0),0, AND(NOT(ISNUMBER($G200)),LOWER($G200)&lt;&gt;"dnf"),"Not a valid time",OR(LOWER($G200)="dnf",$G200&gt;ScoringTable!$N$161),1,RIGHT($E200,1)="B",_xlfn.XLOOKUP($G200,ScoringTable!$N$2:$N$161,ScoringTable!$L$2:$L$161,,1),TRUE,_xlfn.XLOOKUP($G200,ScoringTable!$T$2:$T$161,ScoringTable!$R$2:$R$161,,1))</f>
        <v>0</v>
      </c>
      <c r="Q200" s="117">
        <f t="shared" si="15"/>
        <v>0</v>
      </c>
      <c r="R200" s="118">
        <f t="shared" si="16"/>
        <v>0</v>
      </c>
      <c r="S200" s="119">
        <f t="shared" si="17"/>
        <v>0</v>
      </c>
      <c r="T200" s="118">
        <f t="shared" si="18"/>
        <v>0</v>
      </c>
      <c r="U200" s="120">
        <f t="shared" si="19"/>
        <v>0</v>
      </c>
    </row>
    <row r="201" spans="1:21" s="7" customFormat="1" ht="16.05" customHeight="1">
      <c r="A201" s="113" t="s">
        <v>95</v>
      </c>
      <c r="B201" s="114" t="str">
        <f>IF(ISNA(VLOOKUP($F201,Declarations!B$6:C$185,2,FALSE)),"",IF(VLOOKUP($F201,Declarations!B$6:C$185,2,FALSE)="","NOT DECLARED",IF(ISNA(_xlfn.TEXTBEFORE(VLOOKUP($F201,Declarations!B$6:C$185,2,FALSE)," ")),VLOOKUP($F201,Declarations!B$6:C$185,2,FALSE),_xlfn.TEXTBEFORE(VLOOKUP($F201,Declarations!B$6:C$185,2,FALSE)," "))))</f>
        <v/>
      </c>
      <c r="C201" s="114" t="str">
        <f>IF(ISNA(VLOOKUP($F201,Declarations!B$6:C$185,2,FALSE)),"",IF(VLOOKUP($F201,Declarations!B$6:C$185,2,FALSE)="","NOT DECLARED",IF(ISNA(_xlfn.TEXTAFTER(VLOOKUP($F201,Declarations!B$6:C$185,2,FALSE)," ")),VLOOKUP($F201,Declarations!B$6:C$185,2,FALSE),_xlfn.TEXTAFTER(VLOOKUP($F201,Declarations!B$6:C$185,2,FALSE)," "))))</f>
        <v/>
      </c>
      <c r="D201" s="114" t="str">
        <f>IF(ISNA(VLOOKUP($F201,Declarations!$B$6:$F$185,5,FALSE)),"",IF(VLOOKUP($F201,Declarations!$B$6:$F$185,5,FALSE)="","NOT DECLARED",VLOOKUP($F201,Declarations!$B$6:$F$185,5,FALSE)))</f>
        <v/>
      </c>
      <c r="E201" s="112" t="str">
        <f>IF(ISNA(VLOOKUP($F201,Declarations!$B$6:$D$185,3,FALSE)),"",IF(VLOOKUP($F201,Declarations!$B$6:$D$185,3,FALSE)="","NOT DECLARED",VLOOKUP($F201,Declarations!$B$6:$D$185,3,FALSE)&amp;LEFT(VLOOKUP($F201,Declarations!$B$6:$E$185,4,FALSE))))</f>
        <v/>
      </c>
      <c r="F201" s="58"/>
      <c r="G201" s="115">
        <v>0</v>
      </c>
      <c r="H201" s="281"/>
      <c r="I201" s="114" t="str">
        <f>IF(ISNA(VLOOKUP(F201,Declarations!B$6:C$185,2,FALSE)),"",IF(VLOOKUP(F201,Declarations!B$6:C$185,2,FALSE)="","NOT DECLARED",VLOOKUP(F201,Declarations!B$6:C$185,2,FALSE)))</f>
        <v/>
      </c>
      <c r="J201" s="116">
        <f>IF(LOWER(G201)="dnf",1,IF(U201&lt;ScoringTable!C$3,ScoringTable!I$2,VLOOKUP((1000-U201),ScoringTable!H$2:I$95,2)))</f>
        <v>0</v>
      </c>
      <c r="K201" s="112" t="str">
        <f>IF(OR(E201="",G201=""),"",IF(RIGHT(E201,1)="G",_xlfn.XLOOKUP(G201,Data!$D$11:$L$11,Data!$D$9:$L$9,"",1,1),_xlfn.XLOOKUP(G201,Data!$D$4:$L$4,Data!$D$2:$L$2,"",1,1)))</f>
        <v/>
      </c>
      <c r="L201" s="160" t="str" cm="1">
        <f t="array" ref="L201">IFERROR(_xlfn.IFNA(
                      _xlfn.IFS(
                      G201="", "",
                      G201=0, "",
                      AND(E201="U12B",G201&lt;=Data!$M$4), "U12 Boys record",
                      AND(E201="U12G",G201&lt;=Data!$M$11), "U12 Girls record"
                       ),""), "")</f>
        <v/>
      </c>
      <c r="M201" s="18" cm="1">
        <f t="array" ref="M201">_xlfn.IFS(OR($G201="",$G201=0),0, AND(NOT(ISNUMBER($G201)),LOWER($G201)&lt;&gt;"dnf"),"Not a valid time",OR(LOWER($G201)="dnf",$G201&gt;ScoringTable!$N$161),1,RIGHT($E201,1)="B",_xlfn.XLOOKUP($G201,ScoringTable!$N$2:$N$161,ScoringTable!$L$2:$L$161,,1),TRUE,_xlfn.XLOOKUP($G201,ScoringTable!$T$2:$T$161,ScoringTable!$R$2:$R$161,,1))</f>
        <v>0</v>
      </c>
      <c r="Q201" s="117">
        <f t="shared" si="15"/>
        <v>0</v>
      </c>
      <c r="R201" s="118">
        <f t="shared" si="16"/>
        <v>0</v>
      </c>
      <c r="S201" s="119">
        <f t="shared" si="17"/>
        <v>0</v>
      </c>
      <c r="T201" s="118">
        <f t="shared" si="18"/>
        <v>0</v>
      </c>
      <c r="U201" s="120">
        <f t="shared" si="19"/>
        <v>0</v>
      </c>
    </row>
    <row r="202" spans="1:21" s="7" customFormat="1" ht="16.05" customHeight="1">
      <c r="A202" s="113" t="s">
        <v>95</v>
      </c>
      <c r="B202" s="114" t="str">
        <f>IF(ISNA(VLOOKUP($F202,Declarations!B$6:C$185,2,FALSE)),"",IF(VLOOKUP($F202,Declarations!B$6:C$185,2,FALSE)="","NOT DECLARED",IF(ISNA(_xlfn.TEXTBEFORE(VLOOKUP($F202,Declarations!B$6:C$185,2,FALSE)," ")),VLOOKUP($F202,Declarations!B$6:C$185,2,FALSE),_xlfn.TEXTBEFORE(VLOOKUP($F202,Declarations!B$6:C$185,2,FALSE)," "))))</f>
        <v/>
      </c>
      <c r="C202" s="114" t="str">
        <f>IF(ISNA(VLOOKUP($F202,Declarations!B$6:C$185,2,FALSE)),"",IF(VLOOKUP($F202,Declarations!B$6:C$185,2,FALSE)="","NOT DECLARED",IF(ISNA(_xlfn.TEXTAFTER(VLOOKUP($F202,Declarations!B$6:C$185,2,FALSE)," ")),VLOOKUP($F202,Declarations!B$6:C$185,2,FALSE),_xlfn.TEXTAFTER(VLOOKUP($F202,Declarations!B$6:C$185,2,FALSE)," "))))</f>
        <v/>
      </c>
      <c r="D202" s="114" t="str">
        <f>IF(ISNA(VLOOKUP($F202,Declarations!$B$6:$F$185,5,FALSE)),"",IF(VLOOKUP($F202,Declarations!$B$6:$F$185,5,FALSE)="","NOT DECLARED",VLOOKUP($F202,Declarations!$B$6:$F$185,5,FALSE)))</f>
        <v/>
      </c>
      <c r="E202" s="112" t="str">
        <f>IF(ISNA(VLOOKUP($F202,Declarations!$B$6:$D$185,3,FALSE)),"",IF(VLOOKUP($F202,Declarations!$B$6:$D$185,3,FALSE)="","NOT DECLARED",VLOOKUP($F202,Declarations!$B$6:$D$185,3,FALSE)&amp;LEFT(VLOOKUP($F202,Declarations!$B$6:$E$185,4,FALSE))))</f>
        <v/>
      </c>
      <c r="F202" s="58"/>
      <c r="G202" s="115">
        <v>0</v>
      </c>
      <c r="H202" s="281"/>
      <c r="I202" s="114" t="str">
        <f>IF(ISNA(VLOOKUP(F202,Declarations!B$6:C$185,2,FALSE)),"",IF(VLOOKUP(F202,Declarations!B$6:C$185,2,FALSE)="","NOT DECLARED",VLOOKUP(F202,Declarations!B$6:C$185,2,FALSE)))</f>
        <v/>
      </c>
      <c r="J202" s="116">
        <f>IF(LOWER(G202)="dnf",1,IF(U202&lt;ScoringTable!C$3,ScoringTable!I$2,VLOOKUP((1000-U202),ScoringTable!H$2:I$95,2)))</f>
        <v>0</v>
      </c>
      <c r="K202" s="112" t="str">
        <f>IF(OR(E202="",G202=""),"",IF(RIGHT(E202,1)="G",_xlfn.XLOOKUP(G202,Data!$D$11:$L$11,Data!$D$9:$L$9,"",1,1),_xlfn.XLOOKUP(G202,Data!$D$4:$L$4,Data!$D$2:$L$2,"",1,1)))</f>
        <v/>
      </c>
      <c r="L202" s="160" t="str" cm="1">
        <f t="array" ref="L202">IFERROR(_xlfn.IFNA(
                      _xlfn.IFS(
                      G202="", "",
                      G202=0, "",
                      AND(E202="U12B",G202&lt;=Data!$M$4), "U12 Boys record",
                      AND(E202="U12G",G202&lt;=Data!$M$11), "U12 Girls record"
                       ),""), "")</f>
        <v/>
      </c>
      <c r="M202" s="18" cm="1">
        <f t="array" ref="M202">_xlfn.IFS(OR($G202="",$G202=0),0, AND(NOT(ISNUMBER($G202)),LOWER($G202)&lt;&gt;"dnf"),"Not a valid time",OR(LOWER($G202)="dnf",$G202&gt;ScoringTable!$N$161),1,RIGHT($E202,1)="B",_xlfn.XLOOKUP($G202,ScoringTable!$N$2:$N$161,ScoringTable!$L$2:$L$161,,1),TRUE,_xlfn.XLOOKUP($G202,ScoringTable!$T$2:$T$161,ScoringTable!$R$2:$R$161,,1))</f>
        <v>0</v>
      </c>
      <c r="Q202" s="117">
        <f t="shared" si="15"/>
        <v>0</v>
      </c>
      <c r="R202" s="118">
        <f t="shared" si="16"/>
        <v>0</v>
      </c>
      <c r="S202" s="119">
        <f t="shared" si="17"/>
        <v>0</v>
      </c>
      <c r="T202" s="118">
        <f t="shared" si="18"/>
        <v>0</v>
      </c>
      <c r="U202" s="120">
        <f t="shared" si="19"/>
        <v>0</v>
      </c>
    </row>
    <row r="203" spans="1:21" s="7" customFormat="1" ht="16.05" customHeight="1">
      <c r="A203" s="113" t="s">
        <v>95</v>
      </c>
      <c r="B203" s="114" t="str">
        <f>IF(ISNA(VLOOKUP($F203,Declarations!B$6:C$185,2,FALSE)),"",IF(VLOOKUP($F203,Declarations!B$6:C$185,2,FALSE)="","NOT DECLARED",IF(ISNA(_xlfn.TEXTBEFORE(VLOOKUP($F203,Declarations!B$6:C$185,2,FALSE)," ")),VLOOKUP($F203,Declarations!B$6:C$185,2,FALSE),_xlfn.TEXTBEFORE(VLOOKUP($F203,Declarations!B$6:C$185,2,FALSE)," "))))</f>
        <v/>
      </c>
      <c r="C203" s="114" t="str">
        <f>IF(ISNA(VLOOKUP($F203,Declarations!B$6:C$185,2,FALSE)),"",IF(VLOOKUP($F203,Declarations!B$6:C$185,2,FALSE)="","NOT DECLARED",IF(ISNA(_xlfn.TEXTAFTER(VLOOKUP($F203,Declarations!B$6:C$185,2,FALSE)," ")),VLOOKUP($F203,Declarations!B$6:C$185,2,FALSE),_xlfn.TEXTAFTER(VLOOKUP($F203,Declarations!B$6:C$185,2,FALSE)," "))))</f>
        <v/>
      </c>
      <c r="D203" s="114" t="str">
        <f>IF(ISNA(VLOOKUP($F203,Declarations!$B$6:$F$185,5,FALSE)),"",IF(VLOOKUP($F203,Declarations!$B$6:$F$185,5,FALSE)="","NOT DECLARED",VLOOKUP($F203,Declarations!$B$6:$F$185,5,FALSE)))</f>
        <v/>
      </c>
      <c r="E203" s="112" t="str">
        <f>IF(ISNA(VLOOKUP($F203,Declarations!$B$6:$D$185,3,FALSE)),"",IF(VLOOKUP($F203,Declarations!$B$6:$D$185,3,FALSE)="","NOT DECLARED",VLOOKUP($F203,Declarations!$B$6:$D$185,3,FALSE)&amp;LEFT(VLOOKUP($F203,Declarations!$B$6:$E$185,4,FALSE))))</f>
        <v/>
      </c>
      <c r="F203" s="58"/>
      <c r="G203" s="115">
        <v>0</v>
      </c>
      <c r="H203" s="281"/>
      <c r="I203" s="114" t="str">
        <f>IF(ISNA(VLOOKUP(F203,Declarations!B$6:C$185,2,FALSE)),"",IF(VLOOKUP(F203,Declarations!B$6:C$185,2,FALSE)="","NOT DECLARED",VLOOKUP(F203,Declarations!B$6:C$185,2,FALSE)))</f>
        <v/>
      </c>
      <c r="J203" s="116">
        <f>IF(LOWER(G203)="dnf",1,IF(U203&lt;ScoringTable!C$3,ScoringTable!I$2,VLOOKUP((1000-U203),ScoringTable!H$2:I$95,2)))</f>
        <v>0</v>
      </c>
      <c r="K203" s="112" t="str">
        <f>IF(OR(E203="",G203=""),"",IF(RIGHT(E203,1)="G",_xlfn.XLOOKUP(G203,Data!$D$11:$L$11,Data!$D$9:$L$9,"",1,1),_xlfn.XLOOKUP(G203,Data!$D$4:$L$4,Data!$D$2:$L$2,"",1,1)))</f>
        <v/>
      </c>
      <c r="L203" s="160" t="str" cm="1">
        <f t="array" ref="L203">IFERROR(_xlfn.IFNA(
                      _xlfn.IFS(
                      G203="", "",
                      G203=0, "",
                      AND(E203="U12B",G203&lt;=Data!$M$4), "U12 Boys record",
                      AND(E203="U12G",G203&lt;=Data!$M$11), "U12 Girls record"
                       ),""), "")</f>
        <v/>
      </c>
      <c r="M203" s="18" cm="1">
        <f t="array" ref="M203">_xlfn.IFS(OR($G203="",$G203=0),0, AND(NOT(ISNUMBER($G203)),LOWER($G203)&lt;&gt;"dnf"),"Not a valid time",OR(LOWER($G203)="dnf",$G203&gt;ScoringTable!$N$161),1,RIGHT($E203,1)="B",_xlfn.XLOOKUP($G203,ScoringTable!$N$2:$N$161,ScoringTable!$L$2:$L$161,,1),TRUE,_xlfn.XLOOKUP($G203,ScoringTable!$T$2:$T$161,ScoringTable!$R$2:$R$161,,1))</f>
        <v>0</v>
      </c>
      <c r="Q203" s="117">
        <f t="shared" si="15"/>
        <v>0</v>
      </c>
      <c r="R203" s="118">
        <f t="shared" si="16"/>
        <v>0</v>
      </c>
      <c r="S203" s="119">
        <f t="shared" si="17"/>
        <v>0</v>
      </c>
      <c r="T203" s="118">
        <f t="shared" si="18"/>
        <v>0</v>
      </c>
      <c r="U203" s="120">
        <f t="shared" si="19"/>
        <v>0</v>
      </c>
    </row>
    <row r="204" spans="1:21" s="7" customFormat="1" ht="16.05" customHeight="1">
      <c r="A204" s="113" t="s">
        <v>95</v>
      </c>
      <c r="B204" s="114" t="str">
        <f>IF(ISNA(VLOOKUP($F204,Declarations!B$6:C$185,2,FALSE)),"",IF(VLOOKUP($F204,Declarations!B$6:C$185,2,FALSE)="","NOT DECLARED",IF(ISNA(_xlfn.TEXTBEFORE(VLOOKUP($F204,Declarations!B$6:C$185,2,FALSE)," ")),VLOOKUP($F204,Declarations!B$6:C$185,2,FALSE),_xlfn.TEXTBEFORE(VLOOKUP($F204,Declarations!B$6:C$185,2,FALSE)," "))))</f>
        <v/>
      </c>
      <c r="C204" s="114" t="str">
        <f>IF(ISNA(VLOOKUP($F204,Declarations!B$6:C$185,2,FALSE)),"",IF(VLOOKUP($F204,Declarations!B$6:C$185,2,FALSE)="","NOT DECLARED",IF(ISNA(_xlfn.TEXTAFTER(VLOOKUP($F204,Declarations!B$6:C$185,2,FALSE)," ")),VLOOKUP($F204,Declarations!B$6:C$185,2,FALSE),_xlfn.TEXTAFTER(VLOOKUP($F204,Declarations!B$6:C$185,2,FALSE)," "))))</f>
        <v/>
      </c>
      <c r="D204" s="114" t="str">
        <f>IF(ISNA(VLOOKUP($F204,Declarations!$B$6:$F$185,5,FALSE)),"",IF(VLOOKUP($F204,Declarations!$B$6:$F$185,5,FALSE)="","NOT DECLARED",VLOOKUP($F204,Declarations!$B$6:$F$185,5,FALSE)))</f>
        <v/>
      </c>
      <c r="E204" s="112" t="str">
        <f>IF(ISNA(VLOOKUP($F204,Declarations!$B$6:$D$185,3,FALSE)),"",IF(VLOOKUP($F204,Declarations!$B$6:$D$185,3,FALSE)="","NOT DECLARED",VLOOKUP($F204,Declarations!$B$6:$D$185,3,FALSE)&amp;LEFT(VLOOKUP($F204,Declarations!$B$6:$E$185,4,FALSE))))</f>
        <v/>
      </c>
      <c r="F204" s="58"/>
      <c r="G204" s="115">
        <v>0</v>
      </c>
      <c r="H204" s="281"/>
      <c r="I204" s="114" t="str">
        <f>IF(ISNA(VLOOKUP(F204,Declarations!B$6:C$185,2,FALSE)),"",IF(VLOOKUP(F204,Declarations!B$6:C$185,2,FALSE)="","NOT DECLARED",VLOOKUP(F204,Declarations!B$6:C$185,2,FALSE)))</f>
        <v/>
      </c>
      <c r="J204" s="116">
        <f>IF(LOWER(G204)="dnf",1,IF(U204&lt;ScoringTable!C$3,ScoringTable!I$2,VLOOKUP((1000-U204),ScoringTable!H$2:I$95,2)))</f>
        <v>0</v>
      </c>
      <c r="K204" s="112" t="str">
        <f>IF(OR(E204="",G204=""),"",IF(RIGHT(E204,1)="G",_xlfn.XLOOKUP(G204,Data!$D$11:$L$11,Data!$D$9:$L$9,"",1,1),_xlfn.XLOOKUP(G204,Data!$D$4:$L$4,Data!$D$2:$L$2,"",1,1)))</f>
        <v/>
      </c>
      <c r="L204" s="160" t="str" cm="1">
        <f t="array" ref="L204">IFERROR(_xlfn.IFNA(
                      _xlfn.IFS(
                      G204="", "",
                      G204=0, "",
                      AND(E204="U12B",G204&lt;=Data!$M$4), "U12 Boys record",
                      AND(E204="U12G",G204&lt;=Data!$M$11), "U12 Girls record"
                       ),""), "")</f>
        <v/>
      </c>
      <c r="M204" s="18" cm="1">
        <f t="array" ref="M204">_xlfn.IFS(OR($G204="",$G204=0),0, AND(NOT(ISNUMBER($G204)),LOWER($G204)&lt;&gt;"dnf"),"Not a valid time",OR(LOWER($G204)="dnf",$G204&gt;ScoringTable!$N$161),1,RIGHT($E204,1)="B",_xlfn.XLOOKUP($G204,ScoringTable!$N$2:$N$161,ScoringTable!$L$2:$L$161,,1),TRUE,_xlfn.XLOOKUP($G204,ScoringTable!$T$2:$T$161,ScoringTable!$R$2:$R$161,,1))</f>
        <v>0</v>
      </c>
      <c r="Q204" s="117">
        <f t="shared" si="15"/>
        <v>0</v>
      </c>
      <c r="R204" s="118">
        <f t="shared" si="16"/>
        <v>0</v>
      </c>
      <c r="S204" s="119">
        <f t="shared" si="17"/>
        <v>0</v>
      </c>
      <c r="T204" s="118">
        <f t="shared" si="18"/>
        <v>0</v>
      </c>
      <c r="U204" s="120">
        <f t="shared" si="19"/>
        <v>0</v>
      </c>
    </row>
    <row r="205" spans="1:21" s="7" customFormat="1" ht="16.05" customHeight="1">
      <c r="A205" s="113" t="s">
        <v>95</v>
      </c>
      <c r="B205" s="114" t="str">
        <f>IF(ISNA(VLOOKUP($F205,Declarations!B$6:C$185,2,FALSE)),"",IF(VLOOKUP($F205,Declarations!B$6:C$185,2,FALSE)="","NOT DECLARED",IF(ISNA(_xlfn.TEXTBEFORE(VLOOKUP($F205,Declarations!B$6:C$185,2,FALSE)," ")),VLOOKUP($F205,Declarations!B$6:C$185,2,FALSE),_xlfn.TEXTBEFORE(VLOOKUP($F205,Declarations!B$6:C$185,2,FALSE)," "))))</f>
        <v/>
      </c>
      <c r="C205" s="114" t="str">
        <f>IF(ISNA(VLOOKUP($F205,Declarations!B$6:C$185,2,FALSE)),"",IF(VLOOKUP($F205,Declarations!B$6:C$185,2,FALSE)="","NOT DECLARED",IF(ISNA(_xlfn.TEXTAFTER(VLOOKUP($F205,Declarations!B$6:C$185,2,FALSE)," ")),VLOOKUP($F205,Declarations!B$6:C$185,2,FALSE),_xlfn.TEXTAFTER(VLOOKUP($F205,Declarations!B$6:C$185,2,FALSE)," "))))</f>
        <v/>
      </c>
      <c r="D205" s="114" t="str">
        <f>IF(ISNA(VLOOKUP($F205,Declarations!$B$6:$F$185,5,FALSE)),"",IF(VLOOKUP($F205,Declarations!$B$6:$F$185,5,FALSE)="","NOT DECLARED",VLOOKUP($F205,Declarations!$B$6:$F$185,5,FALSE)))</f>
        <v/>
      </c>
      <c r="E205" s="112" t="str">
        <f>IF(ISNA(VLOOKUP($F205,Declarations!$B$6:$D$185,3,FALSE)),"",IF(VLOOKUP($F205,Declarations!$B$6:$D$185,3,FALSE)="","NOT DECLARED",VLOOKUP($F205,Declarations!$B$6:$D$185,3,FALSE)&amp;LEFT(VLOOKUP($F205,Declarations!$B$6:$E$185,4,FALSE))))</f>
        <v/>
      </c>
      <c r="F205" s="58"/>
      <c r="G205" s="115">
        <v>0</v>
      </c>
      <c r="H205" s="281"/>
      <c r="I205" s="114" t="str">
        <f>IF(ISNA(VLOOKUP(F205,Declarations!B$6:C$185,2,FALSE)),"",IF(VLOOKUP(F205,Declarations!B$6:C$185,2,FALSE)="","NOT DECLARED",VLOOKUP(F205,Declarations!B$6:C$185,2,FALSE)))</f>
        <v/>
      </c>
      <c r="J205" s="116">
        <f>IF(LOWER(G205)="dnf",1,IF(U205&lt;ScoringTable!C$3,ScoringTable!I$2,VLOOKUP((1000-U205),ScoringTable!H$2:I$95,2)))</f>
        <v>0</v>
      </c>
      <c r="K205" s="112" t="str">
        <f>IF(OR(E205="",G205=""),"",IF(RIGHT(E205,1)="G",_xlfn.XLOOKUP(G205,Data!$D$11:$L$11,Data!$D$9:$L$9,"",1,1),_xlfn.XLOOKUP(G205,Data!$D$4:$L$4,Data!$D$2:$L$2,"",1,1)))</f>
        <v/>
      </c>
      <c r="L205" s="160" t="str" cm="1">
        <f t="array" ref="L205">IFERROR(_xlfn.IFNA(
                      _xlfn.IFS(
                      G205="", "",
                      G205=0, "",
                      AND(E205="U12B",G205&lt;=Data!$M$4), "U12 Boys record",
                      AND(E205="U12G",G205&lt;=Data!$M$11), "U12 Girls record"
                       ),""), "")</f>
        <v/>
      </c>
      <c r="M205" s="18" cm="1">
        <f t="array" ref="M205">_xlfn.IFS(OR($G205="",$G205=0),0, AND(NOT(ISNUMBER($G205)),LOWER($G205)&lt;&gt;"dnf"),"Not a valid time",OR(LOWER($G205)="dnf",$G205&gt;ScoringTable!$N$161),1,RIGHT($E205,1)="B",_xlfn.XLOOKUP($G205,ScoringTable!$N$2:$N$161,ScoringTable!$L$2:$L$161,,1),TRUE,_xlfn.XLOOKUP($G205,ScoringTable!$T$2:$T$161,ScoringTable!$R$2:$R$161,,1))</f>
        <v>0</v>
      </c>
      <c r="Q205" s="117">
        <f t="shared" si="15"/>
        <v>0</v>
      </c>
      <c r="R205" s="118">
        <f t="shared" si="16"/>
        <v>0</v>
      </c>
      <c r="S205" s="119">
        <f t="shared" si="17"/>
        <v>0</v>
      </c>
      <c r="T205" s="118">
        <f t="shared" si="18"/>
        <v>0</v>
      </c>
      <c r="U205" s="120">
        <f t="shared" si="19"/>
        <v>0</v>
      </c>
    </row>
    <row r="206" spans="1:21" s="7" customFormat="1" ht="16.05" customHeight="1">
      <c r="A206" s="113" t="s">
        <v>95</v>
      </c>
      <c r="B206" s="114" t="str">
        <f>IF(ISNA(VLOOKUP($F206,Declarations!B$6:C$185,2,FALSE)),"",IF(VLOOKUP($F206,Declarations!B$6:C$185,2,FALSE)="","NOT DECLARED",IF(ISNA(_xlfn.TEXTBEFORE(VLOOKUP($F206,Declarations!B$6:C$185,2,FALSE)," ")),VLOOKUP($F206,Declarations!B$6:C$185,2,FALSE),_xlfn.TEXTBEFORE(VLOOKUP($F206,Declarations!B$6:C$185,2,FALSE)," "))))</f>
        <v/>
      </c>
      <c r="C206" s="114" t="str">
        <f>IF(ISNA(VLOOKUP($F206,Declarations!B$6:C$185,2,FALSE)),"",IF(VLOOKUP($F206,Declarations!B$6:C$185,2,FALSE)="","NOT DECLARED",IF(ISNA(_xlfn.TEXTAFTER(VLOOKUP($F206,Declarations!B$6:C$185,2,FALSE)," ")),VLOOKUP($F206,Declarations!B$6:C$185,2,FALSE),_xlfn.TEXTAFTER(VLOOKUP($F206,Declarations!B$6:C$185,2,FALSE)," "))))</f>
        <v/>
      </c>
      <c r="D206" s="114" t="str">
        <f>IF(ISNA(VLOOKUP($F206,Declarations!$B$6:$F$185,5,FALSE)),"",IF(VLOOKUP($F206,Declarations!$B$6:$F$185,5,FALSE)="","NOT DECLARED",VLOOKUP($F206,Declarations!$B$6:$F$185,5,FALSE)))</f>
        <v/>
      </c>
      <c r="E206" s="112" t="str">
        <f>IF(ISNA(VLOOKUP($F206,Declarations!$B$6:$D$185,3,FALSE)),"",IF(VLOOKUP($F206,Declarations!$B$6:$D$185,3,FALSE)="","NOT DECLARED",VLOOKUP($F206,Declarations!$B$6:$D$185,3,FALSE)&amp;LEFT(VLOOKUP($F206,Declarations!$B$6:$E$185,4,FALSE))))</f>
        <v/>
      </c>
      <c r="F206" s="58"/>
      <c r="G206" s="115">
        <v>0</v>
      </c>
      <c r="H206" s="281"/>
      <c r="I206" s="114" t="str">
        <f>IF(ISNA(VLOOKUP(F206,Declarations!B$6:C$185,2,FALSE)),"",IF(VLOOKUP(F206,Declarations!B$6:C$185,2,FALSE)="","NOT DECLARED",VLOOKUP(F206,Declarations!B$6:C$185,2,FALSE)))</f>
        <v/>
      </c>
      <c r="J206" s="116">
        <f>IF(LOWER(G206)="dnf",1,IF(U206&lt;ScoringTable!C$3,ScoringTable!I$2,VLOOKUP((1000-U206),ScoringTable!H$2:I$95,2)))</f>
        <v>0</v>
      </c>
      <c r="K206" s="112" t="str">
        <f>IF(OR(E206="",G206=""),"",IF(RIGHT(E206,1)="G",_xlfn.XLOOKUP(G206,Data!$D$11:$L$11,Data!$D$9:$L$9,"",1,1),_xlfn.XLOOKUP(G206,Data!$D$4:$L$4,Data!$D$2:$L$2,"",1,1)))</f>
        <v/>
      </c>
      <c r="L206" s="160" t="str" cm="1">
        <f t="array" ref="L206">IFERROR(_xlfn.IFNA(
                      _xlfn.IFS(
                      G206="", "",
                      G206=0, "",
                      AND(E206="U12B",G206&lt;=Data!$M$4), "U12 Boys record",
                      AND(E206="U12G",G206&lt;=Data!$M$11), "U12 Girls record"
                       ),""), "")</f>
        <v/>
      </c>
      <c r="M206" s="18" cm="1">
        <f t="array" ref="M206">_xlfn.IFS(OR($G206="",$G206=0),0, AND(NOT(ISNUMBER($G206)),LOWER($G206)&lt;&gt;"dnf"),"Not a valid time",OR(LOWER($G206)="dnf",$G206&gt;ScoringTable!$N$161),1,RIGHT($E206,1)="B",_xlfn.XLOOKUP($G206,ScoringTable!$N$2:$N$161,ScoringTable!$L$2:$L$161,,1),TRUE,_xlfn.XLOOKUP($G206,ScoringTable!$T$2:$T$161,ScoringTable!$R$2:$R$161,,1))</f>
        <v>0</v>
      </c>
      <c r="Q206" s="117">
        <f t="shared" si="15"/>
        <v>0</v>
      </c>
      <c r="R206" s="118">
        <f t="shared" si="16"/>
        <v>0</v>
      </c>
      <c r="S206" s="119">
        <f t="shared" si="17"/>
        <v>0</v>
      </c>
      <c r="T206" s="118">
        <f t="shared" si="18"/>
        <v>0</v>
      </c>
      <c r="U206" s="120">
        <f t="shared" si="19"/>
        <v>0</v>
      </c>
    </row>
    <row r="207" spans="1:21" s="7" customFormat="1" ht="16.05" customHeight="1">
      <c r="A207" s="113" t="s">
        <v>95</v>
      </c>
      <c r="B207" s="114" t="str">
        <f>IF(ISNA(VLOOKUP($F207,Declarations!B$6:C$185,2,FALSE)),"",IF(VLOOKUP($F207,Declarations!B$6:C$185,2,FALSE)="","NOT DECLARED",IF(ISNA(_xlfn.TEXTBEFORE(VLOOKUP($F207,Declarations!B$6:C$185,2,FALSE)," ")),VLOOKUP($F207,Declarations!B$6:C$185,2,FALSE),_xlfn.TEXTBEFORE(VLOOKUP($F207,Declarations!B$6:C$185,2,FALSE)," "))))</f>
        <v/>
      </c>
      <c r="C207" s="114" t="str">
        <f>IF(ISNA(VLOOKUP($F207,Declarations!B$6:C$185,2,FALSE)),"",IF(VLOOKUP($F207,Declarations!B$6:C$185,2,FALSE)="","NOT DECLARED",IF(ISNA(_xlfn.TEXTAFTER(VLOOKUP($F207,Declarations!B$6:C$185,2,FALSE)," ")),VLOOKUP($F207,Declarations!B$6:C$185,2,FALSE),_xlfn.TEXTAFTER(VLOOKUP($F207,Declarations!B$6:C$185,2,FALSE)," "))))</f>
        <v/>
      </c>
      <c r="D207" s="114" t="str">
        <f>IF(ISNA(VLOOKUP($F207,Declarations!$B$6:$F$185,5,FALSE)),"",IF(VLOOKUP($F207,Declarations!$B$6:$F$185,5,FALSE)="","NOT DECLARED",VLOOKUP($F207,Declarations!$B$6:$F$185,5,FALSE)))</f>
        <v/>
      </c>
      <c r="E207" s="112" t="str">
        <f>IF(ISNA(VLOOKUP($F207,Declarations!$B$6:$D$185,3,FALSE)),"",IF(VLOOKUP($F207,Declarations!$B$6:$D$185,3,FALSE)="","NOT DECLARED",VLOOKUP($F207,Declarations!$B$6:$D$185,3,FALSE)&amp;LEFT(VLOOKUP($F207,Declarations!$B$6:$E$185,4,FALSE))))</f>
        <v/>
      </c>
      <c r="F207" s="58"/>
      <c r="G207" s="115">
        <v>0</v>
      </c>
      <c r="H207" s="281"/>
      <c r="I207" s="114" t="str">
        <f>IF(ISNA(VLOOKUP(F207,Declarations!B$6:C$185,2,FALSE)),"",IF(VLOOKUP(F207,Declarations!B$6:C$185,2,FALSE)="","NOT DECLARED",VLOOKUP(F207,Declarations!B$6:C$185,2,FALSE)))</f>
        <v/>
      </c>
      <c r="J207" s="116">
        <f>IF(LOWER(G207)="dnf",1,IF(U207&lt;ScoringTable!C$3,ScoringTable!I$2,VLOOKUP((1000-U207),ScoringTable!H$2:I$95,2)))</f>
        <v>0</v>
      </c>
      <c r="K207" s="112" t="str">
        <f>IF(OR(E207="",G207=""),"",IF(RIGHT(E207,1)="G",_xlfn.XLOOKUP(G207,Data!$D$11:$L$11,Data!$D$9:$L$9,"",1,1),_xlfn.XLOOKUP(G207,Data!$D$4:$L$4,Data!$D$2:$L$2,"",1,1)))</f>
        <v/>
      </c>
      <c r="L207" s="160" t="str" cm="1">
        <f t="array" ref="L207">IFERROR(_xlfn.IFNA(
                      _xlfn.IFS(
                      G207="", "",
                      G207=0, "",
                      AND(E207="U12B",G207&lt;=Data!$M$4), "U12 Boys record",
                      AND(E207="U12G",G207&lt;=Data!$M$11), "U12 Girls record"
                       ),""), "")</f>
        <v/>
      </c>
      <c r="M207" s="18" cm="1">
        <f t="array" ref="M207">_xlfn.IFS(OR($G207="",$G207=0),0, AND(NOT(ISNUMBER($G207)),LOWER($G207)&lt;&gt;"dnf"),"Not a valid time",OR(LOWER($G207)="dnf",$G207&gt;ScoringTable!$N$161),1,RIGHT($E207,1)="B",_xlfn.XLOOKUP($G207,ScoringTable!$N$2:$N$161,ScoringTable!$L$2:$L$161,,1),TRUE,_xlfn.XLOOKUP($G207,ScoringTable!$T$2:$T$161,ScoringTable!$R$2:$R$161,,1))</f>
        <v>0</v>
      </c>
      <c r="Q207" s="117">
        <f t="shared" si="15"/>
        <v>0</v>
      </c>
      <c r="R207" s="118">
        <f t="shared" si="16"/>
        <v>0</v>
      </c>
      <c r="S207" s="119">
        <f t="shared" si="17"/>
        <v>0</v>
      </c>
      <c r="T207" s="118">
        <f t="shared" si="18"/>
        <v>0</v>
      </c>
      <c r="U207" s="120">
        <f t="shared" si="19"/>
        <v>0</v>
      </c>
    </row>
    <row r="208" spans="1:21" s="7" customFormat="1" ht="16.05" customHeight="1">
      <c r="A208" s="113" t="s">
        <v>95</v>
      </c>
      <c r="B208" s="114" t="str">
        <f>IF(ISNA(VLOOKUP($F208,Declarations!B$6:C$185,2,FALSE)),"",IF(VLOOKUP($F208,Declarations!B$6:C$185,2,FALSE)="","NOT DECLARED",IF(ISNA(_xlfn.TEXTBEFORE(VLOOKUP($F208,Declarations!B$6:C$185,2,FALSE)," ")),VLOOKUP($F208,Declarations!B$6:C$185,2,FALSE),_xlfn.TEXTBEFORE(VLOOKUP($F208,Declarations!B$6:C$185,2,FALSE)," "))))</f>
        <v/>
      </c>
      <c r="C208" s="114" t="str">
        <f>IF(ISNA(VLOOKUP($F208,Declarations!B$6:C$185,2,FALSE)),"",IF(VLOOKUP($F208,Declarations!B$6:C$185,2,FALSE)="","NOT DECLARED",IF(ISNA(_xlfn.TEXTAFTER(VLOOKUP($F208,Declarations!B$6:C$185,2,FALSE)," ")),VLOOKUP($F208,Declarations!B$6:C$185,2,FALSE),_xlfn.TEXTAFTER(VLOOKUP($F208,Declarations!B$6:C$185,2,FALSE)," "))))</f>
        <v/>
      </c>
      <c r="D208" s="114" t="str">
        <f>IF(ISNA(VLOOKUP($F208,Declarations!$B$6:$F$185,5,FALSE)),"",IF(VLOOKUP($F208,Declarations!$B$6:$F$185,5,FALSE)="","NOT DECLARED",VLOOKUP($F208,Declarations!$B$6:$F$185,5,FALSE)))</f>
        <v/>
      </c>
      <c r="E208" s="112" t="str">
        <f>IF(ISNA(VLOOKUP($F208,Declarations!$B$6:$D$185,3,FALSE)),"",IF(VLOOKUP($F208,Declarations!$B$6:$D$185,3,FALSE)="","NOT DECLARED",VLOOKUP($F208,Declarations!$B$6:$D$185,3,FALSE)&amp;LEFT(VLOOKUP($F208,Declarations!$B$6:$E$185,4,FALSE))))</f>
        <v/>
      </c>
      <c r="F208" s="58"/>
      <c r="G208" s="115">
        <v>0</v>
      </c>
      <c r="H208" s="281"/>
      <c r="I208" s="114" t="str">
        <f>IF(ISNA(VLOOKUP(F208,Declarations!B$6:C$185,2,FALSE)),"",IF(VLOOKUP(F208,Declarations!B$6:C$185,2,FALSE)="","NOT DECLARED",VLOOKUP(F208,Declarations!B$6:C$185,2,FALSE)))</f>
        <v/>
      </c>
      <c r="J208" s="116">
        <f>IF(LOWER(G208)="dnf",1,IF(U208&lt;ScoringTable!C$3,ScoringTable!I$2,VLOOKUP((1000-U208),ScoringTable!H$2:I$95,2)))</f>
        <v>0</v>
      </c>
      <c r="K208" s="112" t="str">
        <f>IF(OR(E208="",G208=""),"",IF(RIGHT(E208,1)="G",_xlfn.XLOOKUP(G208,Data!$D$11:$L$11,Data!$D$9:$L$9,"",1,1),_xlfn.XLOOKUP(G208,Data!$D$4:$L$4,Data!$D$2:$L$2,"",1,1)))</f>
        <v/>
      </c>
      <c r="L208" s="160" t="str" cm="1">
        <f t="array" ref="L208">IFERROR(_xlfn.IFNA(
                      _xlfn.IFS(
                      G208="", "",
                      G208=0, "",
                      AND(E208="U12B",G208&lt;=Data!$M$4), "U12 Boys record",
                      AND(E208="U12G",G208&lt;=Data!$M$11), "U12 Girls record"
                       ),""), "")</f>
        <v/>
      </c>
      <c r="M208" s="18" cm="1">
        <f t="array" ref="M208">_xlfn.IFS(OR($G208="",$G208=0),0, AND(NOT(ISNUMBER($G208)),LOWER($G208)&lt;&gt;"dnf"),"Not a valid time",OR(LOWER($G208)="dnf",$G208&gt;ScoringTable!$N$161),1,RIGHT($E208,1)="B",_xlfn.XLOOKUP($G208,ScoringTable!$N$2:$N$161,ScoringTable!$L$2:$L$161,,1),TRUE,_xlfn.XLOOKUP($G208,ScoringTable!$T$2:$T$161,ScoringTable!$R$2:$R$161,,1))</f>
        <v>0</v>
      </c>
      <c r="Q208" s="117">
        <f t="shared" si="15"/>
        <v>0</v>
      </c>
      <c r="R208" s="118">
        <f t="shared" si="16"/>
        <v>0</v>
      </c>
      <c r="S208" s="119">
        <f t="shared" si="17"/>
        <v>0</v>
      </c>
      <c r="T208" s="118">
        <f t="shared" si="18"/>
        <v>0</v>
      </c>
      <c r="U208" s="120">
        <f t="shared" si="19"/>
        <v>0</v>
      </c>
    </row>
    <row r="209" spans="1:21" s="7" customFormat="1" ht="16.05" customHeight="1">
      <c r="A209" s="113" t="s">
        <v>95</v>
      </c>
      <c r="B209" s="114" t="str">
        <f>IF(ISNA(VLOOKUP($F209,Declarations!B$6:C$185,2,FALSE)),"",IF(VLOOKUP($F209,Declarations!B$6:C$185,2,FALSE)="","NOT DECLARED",IF(ISNA(_xlfn.TEXTBEFORE(VLOOKUP($F209,Declarations!B$6:C$185,2,FALSE)," ")),VLOOKUP($F209,Declarations!B$6:C$185,2,FALSE),_xlfn.TEXTBEFORE(VLOOKUP($F209,Declarations!B$6:C$185,2,FALSE)," "))))</f>
        <v/>
      </c>
      <c r="C209" s="114" t="str">
        <f>IF(ISNA(VLOOKUP($F209,Declarations!B$6:C$185,2,FALSE)),"",IF(VLOOKUP($F209,Declarations!B$6:C$185,2,FALSE)="","NOT DECLARED",IF(ISNA(_xlfn.TEXTAFTER(VLOOKUP($F209,Declarations!B$6:C$185,2,FALSE)," ")),VLOOKUP($F209,Declarations!B$6:C$185,2,FALSE),_xlfn.TEXTAFTER(VLOOKUP($F209,Declarations!B$6:C$185,2,FALSE)," "))))</f>
        <v/>
      </c>
      <c r="D209" s="114" t="str">
        <f>IF(ISNA(VLOOKUP($F209,Declarations!$B$6:$F$185,5,FALSE)),"",IF(VLOOKUP($F209,Declarations!$B$6:$F$185,5,FALSE)="","NOT DECLARED",VLOOKUP($F209,Declarations!$B$6:$F$185,5,FALSE)))</f>
        <v/>
      </c>
      <c r="E209" s="112" t="str">
        <f>IF(ISNA(VLOOKUP($F209,Declarations!$B$6:$D$185,3,FALSE)),"",IF(VLOOKUP($F209,Declarations!$B$6:$D$185,3,FALSE)="","NOT DECLARED",VLOOKUP($F209,Declarations!$B$6:$D$185,3,FALSE)&amp;LEFT(VLOOKUP($F209,Declarations!$B$6:$E$185,4,FALSE))))</f>
        <v/>
      </c>
      <c r="F209" s="58"/>
      <c r="G209" s="115">
        <v>0</v>
      </c>
      <c r="H209" s="281"/>
      <c r="I209" s="114" t="str">
        <f>IF(ISNA(VLOOKUP(F209,Declarations!B$6:C$185,2,FALSE)),"",IF(VLOOKUP(F209,Declarations!B$6:C$185,2,FALSE)="","NOT DECLARED",VLOOKUP(F209,Declarations!B$6:C$185,2,FALSE)))</f>
        <v/>
      </c>
      <c r="J209" s="116">
        <f>IF(LOWER(G209)="dnf",1,IF(U209&lt;ScoringTable!C$3,ScoringTable!I$2,VLOOKUP((1000-U209),ScoringTable!H$2:I$95,2)))</f>
        <v>0</v>
      </c>
      <c r="K209" s="112" t="str">
        <f>IF(OR(E209="",G209=""),"",IF(RIGHT(E209,1)="G",_xlfn.XLOOKUP(G209,Data!$D$11:$L$11,Data!$D$9:$L$9,"",1,1),_xlfn.XLOOKUP(G209,Data!$D$4:$L$4,Data!$D$2:$L$2,"",1,1)))</f>
        <v/>
      </c>
      <c r="L209" s="160" t="str" cm="1">
        <f t="array" ref="L209">IFERROR(_xlfn.IFNA(
                      _xlfn.IFS(
                      G209="", "",
                      G209=0, "",
                      AND(E209="U12B",G209&lt;=Data!$M$4), "U12 Boys record",
                      AND(E209="U12G",G209&lt;=Data!$M$11), "U12 Girls record"
                       ),""), "")</f>
        <v/>
      </c>
      <c r="M209" s="18" cm="1">
        <f t="array" ref="M209">_xlfn.IFS(OR($G209="",$G209=0),0, AND(NOT(ISNUMBER($G209)),LOWER($G209)&lt;&gt;"dnf"),"Not a valid time",OR(LOWER($G209)="dnf",$G209&gt;ScoringTable!$N$161),1,RIGHT($E209,1)="B",_xlfn.XLOOKUP($G209,ScoringTable!$N$2:$N$161,ScoringTable!$L$2:$L$161,,1),TRUE,_xlfn.XLOOKUP($G209,ScoringTable!$T$2:$T$161,ScoringTable!$R$2:$R$161,,1))</f>
        <v>0</v>
      </c>
      <c r="Q209" s="117">
        <f t="shared" si="15"/>
        <v>0</v>
      </c>
      <c r="R209" s="118">
        <f t="shared" si="16"/>
        <v>0</v>
      </c>
      <c r="S209" s="119">
        <f t="shared" si="17"/>
        <v>0</v>
      </c>
      <c r="T209" s="118">
        <f t="shared" si="18"/>
        <v>0</v>
      </c>
      <c r="U209" s="120">
        <f t="shared" si="19"/>
        <v>0</v>
      </c>
    </row>
    <row r="210" spans="1:21" s="7" customFormat="1" ht="16.05" customHeight="1">
      <c r="A210" s="113" t="s">
        <v>95</v>
      </c>
      <c r="B210" s="114" t="str">
        <f>IF(ISNA(VLOOKUP($F210,Declarations!B$6:C$185,2,FALSE)),"",IF(VLOOKUP($F210,Declarations!B$6:C$185,2,FALSE)="","NOT DECLARED",IF(ISNA(_xlfn.TEXTBEFORE(VLOOKUP($F210,Declarations!B$6:C$185,2,FALSE)," ")),VLOOKUP($F210,Declarations!B$6:C$185,2,FALSE),_xlfn.TEXTBEFORE(VLOOKUP($F210,Declarations!B$6:C$185,2,FALSE)," "))))</f>
        <v/>
      </c>
      <c r="C210" s="114" t="str">
        <f>IF(ISNA(VLOOKUP($F210,Declarations!B$6:C$185,2,FALSE)),"",IF(VLOOKUP($F210,Declarations!B$6:C$185,2,FALSE)="","NOT DECLARED",IF(ISNA(_xlfn.TEXTAFTER(VLOOKUP($F210,Declarations!B$6:C$185,2,FALSE)," ")),VLOOKUP($F210,Declarations!B$6:C$185,2,FALSE),_xlfn.TEXTAFTER(VLOOKUP($F210,Declarations!B$6:C$185,2,FALSE)," "))))</f>
        <v/>
      </c>
      <c r="D210" s="114" t="str">
        <f>IF(ISNA(VLOOKUP($F210,Declarations!$B$6:$F$185,5,FALSE)),"",IF(VLOOKUP($F210,Declarations!$B$6:$F$185,5,FALSE)="","NOT DECLARED",VLOOKUP($F210,Declarations!$B$6:$F$185,5,FALSE)))</f>
        <v/>
      </c>
      <c r="E210" s="112" t="str">
        <f>IF(ISNA(VLOOKUP($F210,Declarations!$B$6:$D$185,3,FALSE)),"",IF(VLOOKUP($F210,Declarations!$B$6:$D$185,3,FALSE)="","NOT DECLARED",VLOOKUP($F210,Declarations!$B$6:$D$185,3,FALSE)&amp;LEFT(VLOOKUP($F210,Declarations!$B$6:$E$185,4,FALSE))))</f>
        <v/>
      </c>
      <c r="F210" s="58"/>
      <c r="G210" s="115">
        <v>0</v>
      </c>
      <c r="H210" s="281"/>
      <c r="I210" s="114" t="str">
        <f>IF(ISNA(VLOOKUP(F210,Declarations!B$6:C$185,2,FALSE)),"",IF(VLOOKUP(F210,Declarations!B$6:C$185,2,FALSE)="","NOT DECLARED",VLOOKUP(F210,Declarations!B$6:C$185,2,FALSE)))</f>
        <v/>
      </c>
      <c r="J210" s="116">
        <f>IF(LOWER(G210)="dnf",1,IF(U210&lt;ScoringTable!C$3,ScoringTable!I$2,VLOOKUP((1000-U210),ScoringTable!H$2:I$95,2)))</f>
        <v>0</v>
      </c>
      <c r="K210" s="112" t="str">
        <f>IF(OR(E210="",G210=""),"",IF(RIGHT(E210,1)="G",_xlfn.XLOOKUP(G210,Data!$D$11:$L$11,Data!$D$9:$L$9,"",1,1),_xlfn.XLOOKUP(G210,Data!$D$4:$L$4,Data!$D$2:$L$2,"",1,1)))</f>
        <v/>
      </c>
      <c r="L210" s="160" t="str" cm="1">
        <f t="array" ref="L210">IFERROR(_xlfn.IFNA(
                      _xlfn.IFS(
                      G210="", "",
                      G210=0, "",
                      AND(E210="U12B",G210&lt;=Data!$M$4), "U12 Boys record",
                      AND(E210="U12G",G210&lt;=Data!$M$11), "U12 Girls record"
                       ),""), "")</f>
        <v/>
      </c>
      <c r="M210" s="18" cm="1">
        <f t="array" ref="M210">_xlfn.IFS(OR($G210="",$G210=0),0, AND(NOT(ISNUMBER($G210)),LOWER($G210)&lt;&gt;"dnf"),"Not a valid time",OR(LOWER($G210)="dnf",$G210&gt;ScoringTable!$N$161),1,RIGHT($E210,1)="B",_xlfn.XLOOKUP($G210,ScoringTable!$N$2:$N$161,ScoringTable!$L$2:$L$161,,1),TRUE,_xlfn.XLOOKUP($G210,ScoringTable!$T$2:$T$161,ScoringTable!$R$2:$R$161,,1))</f>
        <v>0</v>
      </c>
      <c r="Q210" s="117">
        <f t="shared" si="15"/>
        <v>0</v>
      </c>
      <c r="R210" s="118">
        <f t="shared" si="16"/>
        <v>0</v>
      </c>
      <c r="S210" s="119">
        <f t="shared" si="17"/>
        <v>0</v>
      </c>
      <c r="T210" s="118">
        <f t="shared" si="18"/>
        <v>0</v>
      </c>
      <c r="U210" s="120">
        <f t="shared" si="19"/>
        <v>0</v>
      </c>
    </row>
    <row r="211" spans="1:21" s="7" customFormat="1" ht="16.05" customHeight="1">
      <c r="A211" s="113" t="s">
        <v>95</v>
      </c>
      <c r="B211" s="114" t="str">
        <f>IF(ISNA(VLOOKUP($F211,Declarations!B$6:C$185,2,FALSE)),"",IF(VLOOKUP($F211,Declarations!B$6:C$185,2,FALSE)="","NOT DECLARED",IF(ISNA(_xlfn.TEXTBEFORE(VLOOKUP($F211,Declarations!B$6:C$185,2,FALSE)," ")),VLOOKUP($F211,Declarations!B$6:C$185,2,FALSE),_xlfn.TEXTBEFORE(VLOOKUP($F211,Declarations!B$6:C$185,2,FALSE)," "))))</f>
        <v/>
      </c>
      <c r="C211" s="114" t="str">
        <f>IF(ISNA(VLOOKUP($F211,Declarations!B$6:C$185,2,FALSE)),"",IF(VLOOKUP($F211,Declarations!B$6:C$185,2,FALSE)="","NOT DECLARED",IF(ISNA(_xlfn.TEXTAFTER(VLOOKUP($F211,Declarations!B$6:C$185,2,FALSE)," ")),VLOOKUP($F211,Declarations!B$6:C$185,2,FALSE),_xlfn.TEXTAFTER(VLOOKUP($F211,Declarations!B$6:C$185,2,FALSE)," "))))</f>
        <v/>
      </c>
      <c r="D211" s="114" t="str">
        <f>IF(ISNA(VLOOKUP($F211,Declarations!$B$6:$F$185,5,FALSE)),"",IF(VLOOKUP($F211,Declarations!$B$6:$F$185,5,FALSE)="","NOT DECLARED",VLOOKUP($F211,Declarations!$B$6:$F$185,5,FALSE)))</f>
        <v/>
      </c>
      <c r="E211" s="112" t="str">
        <f>IF(ISNA(VLOOKUP($F211,Declarations!$B$6:$D$185,3,FALSE)),"",IF(VLOOKUP($F211,Declarations!$B$6:$D$185,3,FALSE)="","NOT DECLARED",VLOOKUP($F211,Declarations!$B$6:$D$185,3,FALSE)&amp;LEFT(VLOOKUP($F211,Declarations!$B$6:$E$185,4,FALSE))))</f>
        <v/>
      </c>
      <c r="F211" s="58"/>
      <c r="G211" s="115">
        <v>0</v>
      </c>
      <c r="H211" s="281"/>
      <c r="I211" s="114" t="str">
        <f>IF(ISNA(VLOOKUP(F211,Declarations!B$6:C$185,2,FALSE)),"",IF(VLOOKUP(F211,Declarations!B$6:C$185,2,FALSE)="","NOT DECLARED",VLOOKUP(F211,Declarations!B$6:C$185,2,FALSE)))</f>
        <v/>
      </c>
      <c r="J211" s="116">
        <f>IF(LOWER(G211)="dnf",1,IF(U211&lt;ScoringTable!C$3,ScoringTable!I$2,VLOOKUP((1000-U211),ScoringTable!H$2:I$95,2)))</f>
        <v>0</v>
      </c>
      <c r="K211" s="112" t="str">
        <f>IF(OR(E211="",G211=""),"",IF(RIGHT(E211,1)="G",_xlfn.XLOOKUP(G211,Data!$D$11:$L$11,Data!$D$9:$L$9,"",1,1),_xlfn.XLOOKUP(G211,Data!$D$4:$L$4,Data!$D$2:$L$2,"",1,1)))</f>
        <v/>
      </c>
      <c r="L211" s="160" t="str" cm="1">
        <f t="array" ref="L211">IFERROR(_xlfn.IFNA(
                      _xlfn.IFS(
                      G211="", "",
                      G211=0, "",
                      AND(E211="U12B",G211&lt;=Data!$M$4), "U12 Boys record",
                      AND(E211="U12G",G211&lt;=Data!$M$11), "U12 Girls record"
                       ),""), "")</f>
        <v/>
      </c>
      <c r="M211" s="18" cm="1">
        <f t="array" ref="M211">_xlfn.IFS(OR($G211="",$G211=0),0, AND(NOT(ISNUMBER($G211)),LOWER($G211)&lt;&gt;"dnf"),"Not a valid time",OR(LOWER($G211)="dnf",$G211&gt;ScoringTable!$N$161),1,RIGHT($E211,1)="B",_xlfn.XLOOKUP($G211,ScoringTable!$N$2:$N$161,ScoringTable!$L$2:$L$161,,1),TRUE,_xlfn.XLOOKUP($G211,ScoringTable!$T$2:$T$161,ScoringTable!$R$2:$R$161,,1))</f>
        <v>0</v>
      </c>
      <c r="Q211" s="117">
        <f t="shared" si="15"/>
        <v>0</v>
      </c>
      <c r="R211" s="118">
        <f t="shared" si="16"/>
        <v>0</v>
      </c>
      <c r="S211" s="119">
        <f t="shared" si="17"/>
        <v>0</v>
      </c>
      <c r="T211" s="118">
        <f t="shared" si="18"/>
        <v>0</v>
      </c>
      <c r="U211" s="120">
        <f t="shared" si="19"/>
        <v>0</v>
      </c>
    </row>
    <row r="212" spans="1:21" s="7" customFormat="1" ht="16.05" customHeight="1">
      <c r="A212" s="113" t="s">
        <v>95</v>
      </c>
      <c r="B212" s="114" t="str">
        <f>IF(ISNA(VLOOKUP($F212,Declarations!B$6:C$185,2,FALSE)),"",IF(VLOOKUP($F212,Declarations!B$6:C$185,2,FALSE)="","NOT DECLARED",IF(ISNA(_xlfn.TEXTBEFORE(VLOOKUP($F212,Declarations!B$6:C$185,2,FALSE)," ")),VLOOKUP($F212,Declarations!B$6:C$185,2,FALSE),_xlfn.TEXTBEFORE(VLOOKUP($F212,Declarations!B$6:C$185,2,FALSE)," "))))</f>
        <v/>
      </c>
      <c r="C212" s="114" t="str">
        <f>IF(ISNA(VLOOKUP($F212,Declarations!B$6:C$185,2,FALSE)),"",IF(VLOOKUP($F212,Declarations!B$6:C$185,2,FALSE)="","NOT DECLARED",IF(ISNA(_xlfn.TEXTAFTER(VLOOKUP($F212,Declarations!B$6:C$185,2,FALSE)," ")),VLOOKUP($F212,Declarations!B$6:C$185,2,FALSE),_xlfn.TEXTAFTER(VLOOKUP($F212,Declarations!B$6:C$185,2,FALSE)," "))))</f>
        <v/>
      </c>
      <c r="D212" s="114" t="str">
        <f>IF(ISNA(VLOOKUP($F212,Declarations!$B$6:$F$185,5,FALSE)),"",IF(VLOOKUP($F212,Declarations!$B$6:$F$185,5,FALSE)="","NOT DECLARED",VLOOKUP($F212,Declarations!$B$6:$F$185,5,FALSE)))</f>
        <v/>
      </c>
      <c r="E212" s="112" t="str">
        <f>IF(ISNA(VLOOKUP($F212,Declarations!$B$6:$D$185,3,FALSE)),"",IF(VLOOKUP($F212,Declarations!$B$6:$D$185,3,FALSE)="","NOT DECLARED",VLOOKUP($F212,Declarations!$B$6:$D$185,3,FALSE)&amp;LEFT(VLOOKUP($F212,Declarations!$B$6:$E$185,4,FALSE))))</f>
        <v/>
      </c>
      <c r="F212" s="58"/>
      <c r="G212" s="115">
        <v>0</v>
      </c>
      <c r="H212" s="281"/>
      <c r="I212" s="114" t="str">
        <f>IF(ISNA(VLOOKUP(F212,Declarations!B$6:C$185,2,FALSE)),"",IF(VLOOKUP(F212,Declarations!B$6:C$185,2,FALSE)="","NOT DECLARED",VLOOKUP(F212,Declarations!B$6:C$185,2,FALSE)))</f>
        <v/>
      </c>
      <c r="J212" s="116">
        <f>IF(LOWER(G212)="dnf",1,IF(U212&lt;ScoringTable!C$3,ScoringTable!I$2,VLOOKUP((1000-U212),ScoringTable!H$2:I$95,2)))</f>
        <v>0</v>
      </c>
      <c r="K212" s="112" t="str">
        <f>IF(OR(E212="",G212=""),"",IF(RIGHT(E212,1)="G",_xlfn.XLOOKUP(G212,Data!$D$11:$L$11,Data!$D$9:$L$9,"",1,1),_xlfn.XLOOKUP(G212,Data!$D$4:$L$4,Data!$D$2:$L$2,"",1,1)))</f>
        <v/>
      </c>
      <c r="L212" s="160" t="str" cm="1">
        <f t="array" ref="L212">IFERROR(_xlfn.IFNA(
                      _xlfn.IFS(
                      G212="", "",
                      G212=0, "",
                      AND(E212="U12B",G212&lt;=Data!$M$4), "U12 Boys record",
                      AND(E212="U12G",G212&lt;=Data!$M$11), "U12 Girls record"
                       ),""), "")</f>
        <v/>
      </c>
      <c r="M212" s="18" cm="1">
        <f t="array" ref="M212">_xlfn.IFS(OR($G212="",$G212=0),0, AND(NOT(ISNUMBER($G212)),LOWER($G212)&lt;&gt;"dnf"),"Not a valid time",OR(LOWER($G212)="dnf",$G212&gt;ScoringTable!$N$161),1,RIGHT($E212,1)="B",_xlfn.XLOOKUP($G212,ScoringTable!$N$2:$N$161,ScoringTable!$L$2:$L$161,,1),TRUE,_xlfn.XLOOKUP($G212,ScoringTable!$T$2:$T$161,ScoringTable!$R$2:$R$161,,1))</f>
        <v>0</v>
      </c>
      <c r="Q212" s="117">
        <f t="shared" si="15"/>
        <v>0</v>
      </c>
      <c r="R212" s="118">
        <f t="shared" si="16"/>
        <v>0</v>
      </c>
      <c r="S212" s="119">
        <f t="shared" si="17"/>
        <v>0</v>
      </c>
      <c r="T212" s="118">
        <f t="shared" si="18"/>
        <v>0</v>
      </c>
      <c r="U212" s="120">
        <f t="shared" si="19"/>
        <v>0</v>
      </c>
    </row>
    <row r="213" spans="1:21" s="7" customFormat="1" ht="16.05" customHeight="1">
      <c r="A213" s="113" t="s">
        <v>95</v>
      </c>
      <c r="B213" s="114" t="str">
        <f>IF(ISNA(VLOOKUP($F213,Declarations!B$6:C$185,2,FALSE)),"",IF(VLOOKUP($F213,Declarations!B$6:C$185,2,FALSE)="","NOT DECLARED",IF(ISNA(_xlfn.TEXTBEFORE(VLOOKUP($F213,Declarations!B$6:C$185,2,FALSE)," ")),VLOOKUP($F213,Declarations!B$6:C$185,2,FALSE),_xlfn.TEXTBEFORE(VLOOKUP($F213,Declarations!B$6:C$185,2,FALSE)," "))))</f>
        <v/>
      </c>
      <c r="C213" s="114" t="str">
        <f>IF(ISNA(VLOOKUP($F213,Declarations!B$6:C$185,2,FALSE)),"",IF(VLOOKUP($F213,Declarations!B$6:C$185,2,FALSE)="","NOT DECLARED",IF(ISNA(_xlfn.TEXTAFTER(VLOOKUP($F213,Declarations!B$6:C$185,2,FALSE)," ")),VLOOKUP($F213,Declarations!B$6:C$185,2,FALSE),_xlfn.TEXTAFTER(VLOOKUP($F213,Declarations!B$6:C$185,2,FALSE)," "))))</f>
        <v/>
      </c>
      <c r="D213" s="114" t="str">
        <f>IF(ISNA(VLOOKUP($F213,Declarations!$B$6:$F$185,5,FALSE)),"",IF(VLOOKUP($F213,Declarations!$B$6:$F$185,5,FALSE)="","NOT DECLARED",VLOOKUP($F213,Declarations!$B$6:$F$185,5,FALSE)))</f>
        <v/>
      </c>
      <c r="E213" s="112" t="str">
        <f>IF(ISNA(VLOOKUP($F213,Declarations!$B$6:$D$185,3,FALSE)),"",IF(VLOOKUP($F213,Declarations!$B$6:$D$185,3,FALSE)="","NOT DECLARED",VLOOKUP($F213,Declarations!$B$6:$D$185,3,FALSE)&amp;LEFT(VLOOKUP($F213,Declarations!$B$6:$E$185,4,FALSE))))</f>
        <v/>
      </c>
      <c r="F213" s="58"/>
      <c r="G213" s="115">
        <v>0</v>
      </c>
      <c r="H213" s="281"/>
      <c r="I213" s="114" t="str">
        <f>IF(ISNA(VLOOKUP(F213,Declarations!B$6:C$185,2,FALSE)),"",IF(VLOOKUP(F213,Declarations!B$6:C$185,2,FALSE)="","NOT DECLARED",VLOOKUP(F213,Declarations!B$6:C$185,2,FALSE)))</f>
        <v/>
      </c>
      <c r="J213" s="116">
        <f>IF(LOWER(G213)="dnf",1,IF(U213&lt;ScoringTable!C$3,ScoringTable!I$2,VLOOKUP((1000-U213),ScoringTable!H$2:I$95,2)))</f>
        <v>0</v>
      </c>
      <c r="K213" s="112" t="str">
        <f>IF(OR(E213="",G213=""),"",IF(RIGHT(E213,1)="G",_xlfn.XLOOKUP(G213,Data!$D$11:$L$11,Data!$D$9:$L$9,"",1,1),_xlfn.XLOOKUP(G213,Data!$D$4:$L$4,Data!$D$2:$L$2,"",1,1)))</f>
        <v/>
      </c>
      <c r="L213" s="160" t="str" cm="1">
        <f t="array" ref="L213">IFERROR(_xlfn.IFNA(
                      _xlfn.IFS(
                      G213="", "",
                      G213=0, "",
                      AND(E213="U12B",G213&lt;=Data!$M$4), "U12 Boys record",
                      AND(E213="U12G",G213&lt;=Data!$M$11), "U12 Girls record"
                       ),""), "")</f>
        <v/>
      </c>
      <c r="M213" s="18" cm="1">
        <f t="array" ref="M213">_xlfn.IFS(OR($G213="",$G213=0),0, AND(NOT(ISNUMBER($G213)),LOWER($G213)&lt;&gt;"dnf"),"Not a valid time",OR(LOWER($G213)="dnf",$G213&gt;ScoringTable!$N$161),1,RIGHT($E213,1)="B",_xlfn.XLOOKUP($G213,ScoringTable!$N$2:$N$161,ScoringTable!$L$2:$L$161,,1),TRUE,_xlfn.XLOOKUP($G213,ScoringTable!$T$2:$T$161,ScoringTable!$R$2:$R$161,,1))</f>
        <v>0</v>
      </c>
      <c r="Q213" s="117">
        <f t="shared" si="15"/>
        <v>0</v>
      </c>
      <c r="R213" s="118">
        <f t="shared" si="16"/>
        <v>0</v>
      </c>
      <c r="S213" s="119">
        <f t="shared" si="17"/>
        <v>0</v>
      </c>
      <c r="T213" s="118">
        <f t="shared" si="18"/>
        <v>0</v>
      </c>
      <c r="U213" s="120">
        <f t="shared" si="19"/>
        <v>0</v>
      </c>
    </row>
    <row r="214" spans="1:21" s="7" customFormat="1" ht="16.05" customHeight="1">
      <c r="A214" s="113" t="s">
        <v>95</v>
      </c>
      <c r="B214" s="114" t="str">
        <f>IF(ISNA(VLOOKUP($F214,Declarations!B$6:C$185,2,FALSE)),"",IF(VLOOKUP($F214,Declarations!B$6:C$185,2,FALSE)="","NOT DECLARED",IF(ISNA(_xlfn.TEXTBEFORE(VLOOKUP($F214,Declarations!B$6:C$185,2,FALSE)," ")),VLOOKUP($F214,Declarations!B$6:C$185,2,FALSE),_xlfn.TEXTBEFORE(VLOOKUP($F214,Declarations!B$6:C$185,2,FALSE)," "))))</f>
        <v/>
      </c>
      <c r="C214" s="114" t="str">
        <f>IF(ISNA(VLOOKUP($F214,Declarations!B$6:C$185,2,FALSE)),"",IF(VLOOKUP($F214,Declarations!B$6:C$185,2,FALSE)="","NOT DECLARED",IF(ISNA(_xlfn.TEXTAFTER(VLOOKUP($F214,Declarations!B$6:C$185,2,FALSE)," ")),VLOOKUP($F214,Declarations!B$6:C$185,2,FALSE),_xlfn.TEXTAFTER(VLOOKUP($F214,Declarations!B$6:C$185,2,FALSE)," "))))</f>
        <v/>
      </c>
      <c r="D214" s="114" t="str">
        <f>IF(ISNA(VLOOKUP($F214,Declarations!$B$6:$F$185,5,FALSE)),"",IF(VLOOKUP($F214,Declarations!$B$6:$F$185,5,FALSE)="","NOT DECLARED",VLOOKUP($F214,Declarations!$B$6:$F$185,5,FALSE)))</f>
        <v/>
      </c>
      <c r="E214" s="112" t="str">
        <f>IF(ISNA(VLOOKUP($F214,Declarations!$B$6:$D$185,3,FALSE)),"",IF(VLOOKUP($F214,Declarations!$B$6:$D$185,3,FALSE)="","NOT DECLARED",VLOOKUP($F214,Declarations!$B$6:$D$185,3,FALSE)&amp;LEFT(VLOOKUP($F214,Declarations!$B$6:$E$185,4,FALSE))))</f>
        <v/>
      </c>
      <c r="F214" s="58"/>
      <c r="G214" s="115">
        <v>0</v>
      </c>
      <c r="H214" s="281"/>
      <c r="I214" s="114" t="str">
        <f>IF(ISNA(VLOOKUP(F214,Declarations!B$6:C$185,2,FALSE)),"",IF(VLOOKUP(F214,Declarations!B$6:C$185,2,FALSE)="","NOT DECLARED",VLOOKUP(F214,Declarations!B$6:C$185,2,FALSE)))</f>
        <v/>
      </c>
      <c r="J214" s="116">
        <f>IF(LOWER(G214)="dnf",1,IF(U214&lt;ScoringTable!C$3,ScoringTable!I$2,VLOOKUP((1000-U214),ScoringTable!H$2:I$95,2)))</f>
        <v>0</v>
      </c>
      <c r="K214" s="112" t="str">
        <f>IF(OR(E214="",G214=""),"",IF(RIGHT(E214,1)="G",_xlfn.XLOOKUP(G214,Data!$D$11:$L$11,Data!$D$9:$L$9,"",1,1),_xlfn.XLOOKUP(G214,Data!$D$4:$L$4,Data!$D$2:$L$2,"",1,1)))</f>
        <v/>
      </c>
      <c r="L214" s="160" t="str" cm="1">
        <f t="array" ref="L214">IFERROR(_xlfn.IFNA(
                      _xlfn.IFS(
                      G214="", "",
                      G214=0, "",
                      AND(E214="U12B",G214&lt;=Data!$M$4), "U12 Boys record",
                      AND(E214="U12G",G214&lt;=Data!$M$11), "U12 Girls record"
                       ),""), "")</f>
        <v/>
      </c>
      <c r="M214" s="18" cm="1">
        <f t="array" ref="M214">_xlfn.IFS(OR($G214="",$G214=0),0, AND(NOT(ISNUMBER($G214)),LOWER($G214)&lt;&gt;"dnf"),"Not a valid time",OR(LOWER($G214)="dnf",$G214&gt;ScoringTable!$N$161),1,RIGHT($E214,1)="B",_xlfn.XLOOKUP($G214,ScoringTable!$N$2:$N$161,ScoringTable!$L$2:$L$161,,1),TRUE,_xlfn.XLOOKUP($G214,ScoringTable!$T$2:$T$161,ScoringTable!$R$2:$R$161,,1))</f>
        <v>0</v>
      </c>
      <c r="Q214" s="117">
        <f t="shared" si="15"/>
        <v>0</v>
      </c>
      <c r="R214" s="118">
        <f t="shared" si="16"/>
        <v>0</v>
      </c>
      <c r="S214" s="119">
        <f t="shared" si="17"/>
        <v>0</v>
      </c>
      <c r="T214" s="118">
        <f t="shared" si="18"/>
        <v>0</v>
      </c>
      <c r="U214" s="120">
        <f t="shared" si="19"/>
        <v>0</v>
      </c>
    </row>
    <row r="215" spans="1:21" s="7" customFormat="1" ht="16.05" customHeight="1">
      <c r="A215" s="113" t="s">
        <v>95</v>
      </c>
      <c r="B215" s="114" t="str">
        <f>IF(ISNA(VLOOKUP($F215,Declarations!B$6:C$185,2,FALSE)),"",IF(VLOOKUP($F215,Declarations!B$6:C$185,2,FALSE)="","NOT DECLARED",IF(ISNA(_xlfn.TEXTBEFORE(VLOOKUP($F215,Declarations!B$6:C$185,2,FALSE)," ")),VLOOKUP($F215,Declarations!B$6:C$185,2,FALSE),_xlfn.TEXTBEFORE(VLOOKUP($F215,Declarations!B$6:C$185,2,FALSE)," "))))</f>
        <v/>
      </c>
      <c r="C215" s="114" t="str">
        <f>IF(ISNA(VLOOKUP($F215,Declarations!B$6:C$185,2,FALSE)),"",IF(VLOOKUP($F215,Declarations!B$6:C$185,2,FALSE)="","NOT DECLARED",IF(ISNA(_xlfn.TEXTAFTER(VLOOKUP($F215,Declarations!B$6:C$185,2,FALSE)," ")),VLOOKUP($F215,Declarations!B$6:C$185,2,FALSE),_xlfn.TEXTAFTER(VLOOKUP($F215,Declarations!B$6:C$185,2,FALSE)," "))))</f>
        <v/>
      </c>
      <c r="D215" s="114" t="str">
        <f>IF(ISNA(VLOOKUP($F215,Declarations!$B$6:$F$185,5,FALSE)),"",IF(VLOOKUP($F215,Declarations!$B$6:$F$185,5,FALSE)="","NOT DECLARED",VLOOKUP($F215,Declarations!$B$6:$F$185,5,FALSE)))</f>
        <v/>
      </c>
      <c r="E215" s="112" t="str">
        <f>IF(ISNA(VLOOKUP($F215,Declarations!$B$6:$D$185,3,FALSE)),"",IF(VLOOKUP($F215,Declarations!$B$6:$D$185,3,FALSE)="","NOT DECLARED",VLOOKUP($F215,Declarations!$B$6:$D$185,3,FALSE)&amp;LEFT(VLOOKUP($F215,Declarations!$B$6:$E$185,4,FALSE))))</f>
        <v/>
      </c>
      <c r="F215" s="58"/>
      <c r="G215" s="115">
        <v>0</v>
      </c>
      <c r="H215" s="281"/>
      <c r="I215" s="114" t="str">
        <f>IF(ISNA(VLOOKUP(F215,Declarations!B$6:C$185,2,FALSE)),"",IF(VLOOKUP(F215,Declarations!B$6:C$185,2,FALSE)="","NOT DECLARED",VLOOKUP(F215,Declarations!B$6:C$185,2,FALSE)))</f>
        <v/>
      </c>
      <c r="J215" s="116">
        <f>IF(LOWER(G215)="dnf",1,IF(U215&lt;ScoringTable!C$3,ScoringTable!I$2,VLOOKUP((1000-U215),ScoringTable!H$2:I$95,2)))</f>
        <v>0</v>
      </c>
      <c r="K215" s="112" t="str">
        <f>IF(OR(E215="",G215=""),"",IF(RIGHT(E215,1)="G",_xlfn.XLOOKUP(G215,Data!$D$11:$L$11,Data!$D$9:$L$9,"",1,1),_xlfn.XLOOKUP(G215,Data!$D$4:$L$4,Data!$D$2:$L$2,"",1,1)))</f>
        <v/>
      </c>
      <c r="L215" s="160" t="str" cm="1">
        <f t="array" ref="L215">IFERROR(_xlfn.IFNA(
                      _xlfn.IFS(
                      G215="", "",
                      G215=0, "",
                      AND(E215="U12B",G215&lt;=Data!$M$4), "U12 Boys record",
                      AND(E215="U12G",G215&lt;=Data!$M$11), "U12 Girls record"
                       ),""), "")</f>
        <v/>
      </c>
      <c r="M215" s="18" cm="1">
        <f t="array" ref="M215">_xlfn.IFS(OR($G215="",$G215=0),0, AND(NOT(ISNUMBER($G215)),LOWER($G215)&lt;&gt;"dnf"),"Not a valid time",OR(LOWER($G215)="dnf",$G215&gt;ScoringTable!$N$161),1,RIGHT($E215,1)="B",_xlfn.XLOOKUP($G215,ScoringTable!$N$2:$N$161,ScoringTable!$L$2:$L$161,,1),TRUE,_xlfn.XLOOKUP($G215,ScoringTable!$T$2:$T$161,ScoringTable!$R$2:$R$161,,1))</f>
        <v>0</v>
      </c>
      <c r="Q215" s="117">
        <f t="shared" si="15"/>
        <v>0</v>
      </c>
      <c r="R215" s="118">
        <f t="shared" si="16"/>
        <v>0</v>
      </c>
      <c r="S215" s="119">
        <f t="shared" si="17"/>
        <v>0</v>
      </c>
      <c r="T215" s="118">
        <f t="shared" si="18"/>
        <v>0</v>
      </c>
      <c r="U215" s="120">
        <f t="shared" si="19"/>
        <v>0</v>
      </c>
    </row>
    <row r="216" spans="1:21" s="7" customFormat="1" ht="16.05" customHeight="1">
      <c r="A216" s="113" t="s">
        <v>95</v>
      </c>
      <c r="B216" s="114" t="str">
        <f>IF(ISNA(VLOOKUP($F216,Declarations!B$6:C$185,2,FALSE)),"",IF(VLOOKUP($F216,Declarations!B$6:C$185,2,FALSE)="","NOT DECLARED",IF(ISNA(_xlfn.TEXTBEFORE(VLOOKUP($F216,Declarations!B$6:C$185,2,FALSE)," ")),VLOOKUP($F216,Declarations!B$6:C$185,2,FALSE),_xlfn.TEXTBEFORE(VLOOKUP($F216,Declarations!B$6:C$185,2,FALSE)," "))))</f>
        <v/>
      </c>
      <c r="C216" s="114" t="str">
        <f>IF(ISNA(VLOOKUP($F216,Declarations!B$6:C$185,2,FALSE)),"",IF(VLOOKUP($F216,Declarations!B$6:C$185,2,FALSE)="","NOT DECLARED",IF(ISNA(_xlfn.TEXTAFTER(VLOOKUP($F216,Declarations!B$6:C$185,2,FALSE)," ")),VLOOKUP($F216,Declarations!B$6:C$185,2,FALSE),_xlfn.TEXTAFTER(VLOOKUP($F216,Declarations!B$6:C$185,2,FALSE)," "))))</f>
        <v/>
      </c>
      <c r="D216" s="114" t="str">
        <f>IF(ISNA(VLOOKUP($F216,Declarations!$B$6:$F$185,5,FALSE)),"",IF(VLOOKUP($F216,Declarations!$B$6:$F$185,5,FALSE)="","NOT DECLARED",VLOOKUP($F216,Declarations!$B$6:$F$185,5,FALSE)))</f>
        <v/>
      </c>
      <c r="E216" s="112" t="str">
        <f>IF(ISNA(VLOOKUP($F216,Declarations!$B$6:$D$185,3,FALSE)),"",IF(VLOOKUP($F216,Declarations!$B$6:$D$185,3,FALSE)="","NOT DECLARED",VLOOKUP($F216,Declarations!$B$6:$D$185,3,FALSE)&amp;LEFT(VLOOKUP($F216,Declarations!$B$6:$E$185,4,FALSE))))</f>
        <v/>
      </c>
      <c r="F216" s="58"/>
      <c r="G216" s="115">
        <v>0</v>
      </c>
      <c r="H216" s="281"/>
      <c r="I216" s="114" t="str">
        <f>IF(ISNA(VLOOKUP(F216,Declarations!B$6:C$185,2,FALSE)),"",IF(VLOOKUP(F216,Declarations!B$6:C$185,2,FALSE)="","NOT DECLARED",VLOOKUP(F216,Declarations!B$6:C$185,2,FALSE)))</f>
        <v/>
      </c>
      <c r="J216" s="116">
        <f>IF(LOWER(G216)="dnf",1,IF(U216&lt;ScoringTable!C$3,ScoringTable!I$2,VLOOKUP((1000-U216),ScoringTable!H$2:I$95,2)))</f>
        <v>0</v>
      </c>
      <c r="K216" s="112" t="str">
        <f>IF(OR(E216="",G216=""),"",IF(RIGHT(E216,1)="G",_xlfn.XLOOKUP(G216,Data!$D$11:$L$11,Data!$D$9:$L$9,"",1,1),_xlfn.XLOOKUP(G216,Data!$D$4:$L$4,Data!$D$2:$L$2,"",1,1)))</f>
        <v/>
      </c>
      <c r="L216" s="160" t="str" cm="1">
        <f t="array" ref="L216">IFERROR(_xlfn.IFNA(
                      _xlfn.IFS(
                      G216="", "",
                      G216=0, "",
                      AND(E216="U12B",G216&lt;=Data!$M$4), "U12 Boys record",
                      AND(E216="U12G",G216&lt;=Data!$M$11), "U12 Girls record"
                       ),""), "")</f>
        <v/>
      </c>
      <c r="M216" s="18" cm="1">
        <f t="array" ref="M216">_xlfn.IFS(OR($G216="",$G216=0),0, AND(NOT(ISNUMBER($G216)),LOWER($G216)&lt;&gt;"dnf"),"Not a valid time",OR(LOWER($G216)="dnf",$G216&gt;ScoringTable!$N$161),1,RIGHT($E216,1)="B",_xlfn.XLOOKUP($G216,ScoringTable!$N$2:$N$161,ScoringTable!$L$2:$L$161,,1),TRUE,_xlfn.XLOOKUP($G216,ScoringTable!$T$2:$T$161,ScoringTable!$R$2:$R$161,,1))</f>
        <v>0</v>
      </c>
      <c r="Q216" s="117">
        <f t="shared" si="15"/>
        <v>0</v>
      </c>
      <c r="R216" s="118">
        <f t="shared" si="16"/>
        <v>0</v>
      </c>
      <c r="S216" s="119">
        <f t="shared" si="17"/>
        <v>0</v>
      </c>
      <c r="T216" s="118">
        <f t="shared" si="18"/>
        <v>0</v>
      </c>
      <c r="U216" s="120">
        <f t="shared" si="19"/>
        <v>0</v>
      </c>
    </row>
    <row r="217" spans="1:21" s="7" customFormat="1" ht="16.05" customHeight="1">
      <c r="A217" s="113" t="s">
        <v>95</v>
      </c>
      <c r="B217" s="114" t="str">
        <f>IF(ISNA(VLOOKUP($F217,Declarations!B$6:C$185,2,FALSE)),"",IF(VLOOKUP($F217,Declarations!B$6:C$185,2,FALSE)="","NOT DECLARED",IF(ISNA(_xlfn.TEXTBEFORE(VLOOKUP($F217,Declarations!B$6:C$185,2,FALSE)," ")),VLOOKUP($F217,Declarations!B$6:C$185,2,FALSE),_xlfn.TEXTBEFORE(VLOOKUP($F217,Declarations!B$6:C$185,2,FALSE)," "))))</f>
        <v/>
      </c>
      <c r="C217" s="114" t="str">
        <f>IF(ISNA(VLOOKUP($F217,Declarations!B$6:C$185,2,FALSE)),"",IF(VLOOKUP($F217,Declarations!B$6:C$185,2,FALSE)="","NOT DECLARED",IF(ISNA(_xlfn.TEXTAFTER(VLOOKUP($F217,Declarations!B$6:C$185,2,FALSE)," ")),VLOOKUP($F217,Declarations!B$6:C$185,2,FALSE),_xlfn.TEXTAFTER(VLOOKUP($F217,Declarations!B$6:C$185,2,FALSE)," "))))</f>
        <v/>
      </c>
      <c r="D217" s="114" t="str">
        <f>IF(ISNA(VLOOKUP($F217,Declarations!$B$6:$F$185,5,FALSE)),"",IF(VLOOKUP($F217,Declarations!$B$6:$F$185,5,FALSE)="","NOT DECLARED",VLOOKUP($F217,Declarations!$B$6:$F$185,5,FALSE)))</f>
        <v/>
      </c>
      <c r="E217" s="112" t="str">
        <f>IF(ISNA(VLOOKUP($F217,Declarations!$B$6:$D$185,3,FALSE)),"",IF(VLOOKUP($F217,Declarations!$B$6:$D$185,3,FALSE)="","NOT DECLARED",VLOOKUP($F217,Declarations!$B$6:$D$185,3,FALSE)&amp;LEFT(VLOOKUP($F217,Declarations!$B$6:$E$185,4,FALSE))))</f>
        <v/>
      </c>
      <c r="F217" s="58"/>
      <c r="G217" s="115">
        <v>0</v>
      </c>
      <c r="H217" s="281"/>
      <c r="I217" s="114" t="str">
        <f>IF(ISNA(VLOOKUP(F217,Declarations!B$6:C$185,2,FALSE)),"",IF(VLOOKUP(F217,Declarations!B$6:C$185,2,FALSE)="","NOT DECLARED",VLOOKUP(F217,Declarations!B$6:C$185,2,FALSE)))</f>
        <v/>
      </c>
      <c r="J217" s="116">
        <f>IF(LOWER(G217)="dnf",1,IF(U217&lt;ScoringTable!C$3,ScoringTable!I$2,VLOOKUP((1000-U217),ScoringTable!H$2:I$95,2)))</f>
        <v>0</v>
      </c>
      <c r="K217" s="112" t="str">
        <f>IF(OR(E217="",G217=""),"",IF(RIGHT(E217,1)="G",_xlfn.XLOOKUP(G217,Data!$D$11:$L$11,Data!$D$9:$L$9,"",1,1),_xlfn.XLOOKUP(G217,Data!$D$4:$L$4,Data!$D$2:$L$2,"",1,1)))</f>
        <v/>
      </c>
      <c r="L217" s="160" t="str" cm="1">
        <f t="array" ref="L217">IFERROR(_xlfn.IFNA(
                      _xlfn.IFS(
                      G217="", "",
                      G217=0, "",
                      AND(E217="U12B",G217&lt;=Data!$M$4), "U12 Boys record",
                      AND(E217="U12G",G217&lt;=Data!$M$11), "U12 Girls record"
                       ),""), "")</f>
        <v/>
      </c>
      <c r="M217" s="18" cm="1">
        <f t="array" ref="M217">_xlfn.IFS(OR($G217="",$G217=0),0, AND(NOT(ISNUMBER($G217)),LOWER($G217)&lt;&gt;"dnf"),"Not a valid time",OR(LOWER($G217)="dnf",$G217&gt;ScoringTable!$N$161),1,RIGHT($E217,1)="B",_xlfn.XLOOKUP($G217,ScoringTable!$N$2:$N$161,ScoringTable!$L$2:$L$161,,1),TRUE,_xlfn.XLOOKUP($G217,ScoringTable!$T$2:$T$161,ScoringTable!$R$2:$R$161,,1))</f>
        <v>0</v>
      </c>
      <c r="Q217" s="117">
        <f t="shared" si="15"/>
        <v>0</v>
      </c>
      <c r="R217" s="118">
        <f t="shared" si="16"/>
        <v>0</v>
      </c>
      <c r="S217" s="119">
        <f t="shared" si="17"/>
        <v>0</v>
      </c>
      <c r="T217" s="118">
        <f t="shared" si="18"/>
        <v>0</v>
      </c>
      <c r="U217" s="120">
        <f t="shared" si="19"/>
        <v>0</v>
      </c>
    </row>
    <row r="218" spans="1:21" s="7" customFormat="1" ht="16.05" customHeight="1">
      <c r="A218" s="113" t="s">
        <v>95</v>
      </c>
      <c r="B218" s="114" t="str">
        <f>IF(ISNA(VLOOKUP($F218,Declarations!B$6:C$185,2,FALSE)),"",IF(VLOOKUP($F218,Declarations!B$6:C$185,2,FALSE)="","NOT DECLARED",IF(ISNA(_xlfn.TEXTBEFORE(VLOOKUP($F218,Declarations!B$6:C$185,2,FALSE)," ")),VLOOKUP($F218,Declarations!B$6:C$185,2,FALSE),_xlfn.TEXTBEFORE(VLOOKUP($F218,Declarations!B$6:C$185,2,FALSE)," "))))</f>
        <v/>
      </c>
      <c r="C218" s="114" t="str">
        <f>IF(ISNA(VLOOKUP($F218,Declarations!B$6:C$185,2,FALSE)),"",IF(VLOOKUP($F218,Declarations!B$6:C$185,2,FALSE)="","NOT DECLARED",IF(ISNA(_xlfn.TEXTAFTER(VLOOKUP($F218,Declarations!B$6:C$185,2,FALSE)," ")),VLOOKUP($F218,Declarations!B$6:C$185,2,FALSE),_xlfn.TEXTAFTER(VLOOKUP($F218,Declarations!B$6:C$185,2,FALSE)," "))))</f>
        <v/>
      </c>
      <c r="D218" s="114" t="str">
        <f>IF(ISNA(VLOOKUP($F218,Declarations!$B$6:$F$185,5,FALSE)),"",IF(VLOOKUP($F218,Declarations!$B$6:$F$185,5,FALSE)="","NOT DECLARED",VLOOKUP($F218,Declarations!$B$6:$F$185,5,FALSE)))</f>
        <v/>
      </c>
      <c r="E218" s="112" t="str">
        <f>IF(ISNA(VLOOKUP($F218,Declarations!$B$6:$D$185,3,FALSE)),"",IF(VLOOKUP($F218,Declarations!$B$6:$D$185,3,FALSE)="","NOT DECLARED",VLOOKUP($F218,Declarations!$B$6:$D$185,3,FALSE)&amp;LEFT(VLOOKUP($F218,Declarations!$B$6:$E$185,4,FALSE))))</f>
        <v/>
      </c>
      <c r="F218" s="58"/>
      <c r="G218" s="115">
        <v>0</v>
      </c>
      <c r="H218" s="281"/>
      <c r="I218" s="114" t="str">
        <f>IF(ISNA(VLOOKUP(F218,Declarations!B$6:C$185,2,FALSE)),"",IF(VLOOKUP(F218,Declarations!B$6:C$185,2,FALSE)="","NOT DECLARED",VLOOKUP(F218,Declarations!B$6:C$185,2,FALSE)))</f>
        <v/>
      </c>
      <c r="J218" s="116">
        <f>IF(LOWER(G218)="dnf",1,IF(U218&lt;ScoringTable!C$3,ScoringTable!I$2,VLOOKUP((1000-U218),ScoringTable!H$2:I$95,2)))</f>
        <v>0</v>
      </c>
      <c r="K218" s="112" t="str">
        <f>IF(OR(E218="",G218=""),"",IF(RIGHT(E218,1)="G",_xlfn.XLOOKUP(G218,Data!$D$11:$L$11,Data!$D$9:$L$9,"",1,1),_xlfn.XLOOKUP(G218,Data!$D$4:$L$4,Data!$D$2:$L$2,"",1,1)))</f>
        <v/>
      </c>
      <c r="L218" s="160" t="str" cm="1">
        <f t="array" ref="L218">IFERROR(_xlfn.IFNA(
                      _xlfn.IFS(
                      G218="", "",
                      G218=0, "",
                      AND(E218="U12B",G218&lt;=Data!$M$4), "U12 Boys record",
                      AND(E218="U12G",G218&lt;=Data!$M$11), "U12 Girls record"
                       ),""), "")</f>
        <v/>
      </c>
      <c r="M218" s="18" cm="1">
        <f t="array" ref="M218">_xlfn.IFS(OR($G218="",$G218=0),0, AND(NOT(ISNUMBER($G218)),LOWER($G218)&lt;&gt;"dnf"),"Not a valid time",OR(LOWER($G218)="dnf",$G218&gt;ScoringTable!$N$161),1,RIGHT($E218,1)="B",_xlfn.XLOOKUP($G218,ScoringTable!$N$2:$N$161,ScoringTable!$L$2:$L$161,,1),TRUE,_xlfn.XLOOKUP($G218,ScoringTable!$T$2:$T$161,ScoringTable!$R$2:$R$161,,1))</f>
        <v>0</v>
      </c>
      <c r="Q218" s="117">
        <f t="shared" si="15"/>
        <v>0</v>
      </c>
      <c r="R218" s="118">
        <f t="shared" si="16"/>
        <v>0</v>
      </c>
      <c r="S218" s="119">
        <f t="shared" si="17"/>
        <v>0</v>
      </c>
      <c r="T218" s="118">
        <f t="shared" si="18"/>
        <v>0</v>
      </c>
      <c r="U218" s="120">
        <f t="shared" si="19"/>
        <v>0</v>
      </c>
    </row>
    <row r="219" spans="1:21" s="7" customFormat="1" ht="16.05" customHeight="1">
      <c r="A219" s="113" t="s">
        <v>95</v>
      </c>
      <c r="B219" s="114" t="str">
        <f>IF(ISNA(VLOOKUP($F219,Declarations!B$6:C$185,2,FALSE)),"",IF(VLOOKUP($F219,Declarations!B$6:C$185,2,FALSE)="","NOT DECLARED",IF(ISNA(_xlfn.TEXTBEFORE(VLOOKUP($F219,Declarations!B$6:C$185,2,FALSE)," ")),VLOOKUP($F219,Declarations!B$6:C$185,2,FALSE),_xlfn.TEXTBEFORE(VLOOKUP($F219,Declarations!B$6:C$185,2,FALSE)," "))))</f>
        <v/>
      </c>
      <c r="C219" s="114" t="str">
        <f>IF(ISNA(VLOOKUP($F219,Declarations!B$6:C$185,2,FALSE)),"",IF(VLOOKUP($F219,Declarations!B$6:C$185,2,FALSE)="","NOT DECLARED",IF(ISNA(_xlfn.TEXTAFTER(VLOOKUP($F219,Declarations!B$6:C$185,2,FALSE)," ")),VLOOKUP($F219,Declarations!B$6:C$185,2,FALSE),_xlfn.TEXTAFTER(VLOOKUP($F219,Declarations!B$6:C$185,2,FALSE)," "))))</f>
        <v/>
      </c>
      <c r="D219" s="114" t="str">
        <f>IF(ISNA(VLOOKUP($F219,Declarations!$B$6:$F$185,5,FALSE)),"",IF(VLOOKUP($F219,Declarations!$B$6:$F$185,5,FALSE)="","NOT DECLARED",VLOOKUP($F219,Declarations!$B$6:$F$185,5,FALSE)))</f>
        <v/>
      </c>
      <c r="E219" s="112" t="str">
        <f>IF(ISNA(VLOOKUP($F219,Declarations!$B$6:$D$185,3,FALSE)),"",IF(VLOOKUP($F219,Declarations!$B$6:$D$185,3,FALSE)="","NOT DECLARED",VLOOKUP($F219,Declarations!$B$6:$D$185,3,FALSE)&amp;LEFT(VLOOKUP($F219,Declarations!$B$6:$E$185,4,FALSE))))</f>
        <v/>
      </c>
      <c r="F219" s="58"/>
      <c r="G219" s="115">
        <v>0</v>
      </c>
      <c r="H219" s="281"/>
      <c r="I219" s="114" t="str">
        <f>IF(ISNA(VLOOKUP(F219,Declarations!B$6:C$185,2,FALSE)),"",IF(VLOOKUP(F219,Declarations!B$6:C$185,2,FALSE)="","NOT DECLARED",VLOOKUP(F219,Declarations!B$6:C$185,2,FALSE)))</f>
        <v/>
      </c>
      <c r="J219" s="116">
        <f>IF(LOWER(G219)="dnf",1,IF(U219&lt;ScoringTable!C$3,ScoringTable!I$2,VLOOKUP((1000-U219),ScoringTable!H$2:I$95,2)))</f>
        <v>0</v>
      </c>
      <c r="K219" s="112" t="str">
        <f>IF(OR(E219="",G219=""),"",IF(RIGHT(E219,1)="G",_xlfn.XLOOKUP(G219,Data!$D$11:$L$11,Data!$D$9:$L$9,"",1,1),_xlfn.XLOOKUP(G219,Data!$D$4:$L$4,Data!$D$2:$L$2,"",1,1)))</f>
        <v/>
      </c>
      <c r="L219" s="160" t="str" cm="1">
        <f t="array" ref="L219">IFERROR(_xlfn.IFNA(
                      _xlfn.IFS(
                      G219="", "",
                      G219=0, "",
                      AND(E219="U12B",G219&lt;=Data!$M$4), "U12 Boys record",
                      AND(E219="U12G",G219&lt;=Data!$M$11), "U12 Girls record"
                       ),""), "")</f>
        <v/>
      </c>
      <c r="M219" s="18" cm="1">
        <f t="array" ref="M219">_xlfn.IFS(OR($G219="",$G219=0),0, AND(NOT(ISNUMBER($G219)),LOWER($G219)&lt;&gt;"dnf"),"Not a valid time",OR(LOWER($G219)="dnf",$G219&gt;ScoringTable!$N$161),1,RIGHT($E219,1)="B",_xlfn.XLOOKUP($G219,ScoringTable!$N$2:$N$161,ScoringTable!$L$2:$L$161,,1),TRUE,_xlfn.XLOOKUP($G219,ScoringTable!$T$2:$T$161,ScoringTable!$R$2:$R$161,,1))</f>
        <v>0</v>
      </c>
      <c r="Q219" s="117">
        <f t="shared" si="15"/>
        <v>0</v>
      </c>
      <c r="R219" s="118">
        <f t="shared" si="16"/>
        <v>0</v>
      </c>
      <c r="S219" s="119">
        <f t="shared" si="17"/>
        <v>0</v>
      </c>
      <c r="T219" s="118">
        <f t="shared" si="18"/>
        <v>0</v>
      </c>
      <c r="U219" s="120">
        <f t="shared" si="19"/>
        <v>0</v>
      </c>
    </row>
    <row r="220" spans="1:21" s="7" customFormat="1" ht="16.05" customHeight="1">
      <c r="A220" s="113" t="s">
        <v>95</v>
      </c>
      <c r="B220" s="114" t="str">
        <f>IF(ISNA(VLOOKUP($F220,Declarations!B$6:C$185,2,FALSE)),"",IF(VLOOKUP($F220,Declarations!B$6:C$185,2,FALSE)="","NOT DECLARED",IF(ISNA(_xlfn.TEXTBEFORE(VLOOKUP($F220,Declarations!B$6:C$185,2,FALSE)," ")),VLOOKUP($F220,Declarations!B$6:C$185,2,FALSE),_xlfn.TEXTBEFORE(VLOOKUP($F220,Declarations!B$6:C$185,2,FALSE)," "))))</f>
        <v/>
      </c>
      <c r="C220" s="114" t="str">
        <f>IF(ISNA(VLOOKUP($F220,Declarations!B$6:C$185,2,FALSE)),"",IF(VLOOKUP($F220,Declarations!B$6:C$185,2,FALSE)="","NOT DECLARED",IF(ISNA(_xlfn.TEXTAFTER(VLOOKUP($F220,Declarations!B$6:C$185,2,FALSE)," ")),VLOOKUP($F220,Declarations!B$6:C$185,2,FALSE),_xlfn.TEXTAFTER(VLOOKUP($F220,Declarations!B$6:C$185,2,FALSE)," "))))</f>
        <v/>
      </c>
      <c r="D220" s="114" t="str">
        <f>IF(ISNA(VLOOKUP($F220,Declarations!$B$6:$F$185,5,FALSE)),"",IF(VLOOKUP($F220,Declarations!$B$6:$F$185,5,FALSE)="","NOT DECLARED",VLOOKUP($F220,Declarations!$B$6:$F$185,5,FALSE)))</f>
        <v/>
      </c>
      <c r="E220" s="112" t="str">
        <f>IF(ISNA(VLOOKUP($F220,Declarations!$B$6:$D$185,3,FALSE)),"",IF(VLOOKUP($F220,Declarations!$B$6:$D$185,3,FALSE)="","NOT DECLARED",VLOOKUP($F220,Declarations!$B$6:$D$185,3,FALSE)&amp;LEFT(VLOOKUP($F220,Declarations!$B$6:$E$185,4,FALSE))))</f>
        <v/>
      </c>
      <c r="F220" s="58"/>
      <c r="G220" s="115">
        <v>0</v>
      </c>
      <c r="H220" s="281"/>
      <c r="I220" s="114" t="str">
        <f>IF(ISNA(VLOOKUP(F220,Declarations!B$6:C$185,2,FALSE)),"",IF(VLOOKUP(F220,Declarations!B$6:C$185,2,FALSE)="","NOT DECLARED",VLOOKUP(F220,Declarations!B$6:C$185,2,FALSE)))</f>
        <v/>
      </c>
      <c r="J220" s="116">
        <f>IF(LOWER(G220)="dnf",1,IF(U220&lt;ScoringTable!C$3,ScoringTable!I$2,VLOOKUP((1000-U220),ScoringTable!H$2:I$95,2)))</f>
        <v>0</v>
      </c>
      <c r="K220" s="112" t="str">
        <f>IF(OR(E220="",G220=""),"",IF(RIGHT(E220,1)="G",_xlfn.XLOOKUP(G220,Data!$D$11:$L$11,Data!$D$9:$L$9,"",1,1),_xlfn.XLOOKUP(G220,Data!$D$4:$L$4,Data!$D$2:$L$2,"",1,1)))</f>
        <v/>
      </c>
      <c r="L220" s="160" t="str" cm="1">
        <f t="array" ref="L220">IFERROR(_xlfn.IFNA(
                      _xlfn.IFS(
                      G220="", "",
                      G220=0, "",
                      AND(E220="U12B",G220&lt;=Data!$M$4), "U12 Boys record",
                      AND(E220="U12G",G220&lt;=Data!$M$11), "U12 Girls record"
                       ),""), "")</f>
        <v/>
      </c>
      <c r="M220" s="18" cm="1">
        <f t="array" ref="M220">_xlfn.IFS(OR($G220="",$G220=0),0, AND(NOT(ISNUMBER($G220)),LOWER($G220)&lt;&gt;"dnf"),"Not a valid time",OR(LOWER($G220)="dnf",$G220&gt;ScoringTable!$N$161),1,RIGHT($E220,1)="B",_xlfn.XLOOKUP($G220,ScoringTable!$N$2:$N$161,ScoringTable!$L$2:$L$161,,1),TRUE,_xlfn.XLOOKUP($G220,ScoringTable!$T$2:$T$161,ScoringTable!$R$2:$R$161,,1))</f>
        <v>0</v>
      </c>
      <c r="Q220" s="117">
        <f t="shared" si="15"/>
        <v>0</v>
      </c>
      <c r="R220" s="118">
        <f t="shared" si="16"/>
        <v>0</v>
      </c>
      <c r="S220" s="119">
        <f t="shared" si="17"/>
        <v>0</v>
      </c>
      <c r="T220" s="118">
        <f t="shared" si="18"/>
        <v>0</v>
      </c>
      <c r="U220" s="120">
        <f t="shared" si="19"/>
        <v>0</v>
      </c>
    </row>
    <row r="221" spans="1:21" s="7" customFormat="1" ht="16.05" customHeight="1">
      <c r="A221" s="113" t="s">
        <v>95</v>
      </c>
      <c r="B221" s="114" t="str">
        <f>IF(ISNA(VLOOKUP($F221,Declarations!B$6:C$185,2,FALSE)),"",IF(VLOOKUP($F221,Declarations!B$6:C$185,2,FALSE)="","NOT DECLARED",IF(ISNA(_xlfn.TEXTBEFORE(VLOOKUP($F221,Declarations!B$6:C$185,2,FALSE)," ")),VLOOKUP($F221,Declarations!B$6:C$185,2,FALSE),_xlfn.TEXTBEFORE(VLOOKUP($F221,Declarations!B$6:C$185,2,FALSE)," "))))</f>
        <v/>
      </c>
      <c r="C221" s="114" t="str">
        <f>IF(ISNA(VLOOKUP($F221,Declarations!B$6:C$185,2,FALSE)),"",IF(VLOOKUP($F221,Declarations!B$6:C$185,2,FALSE)="","NOT DECLARED",IF(ISNA(_xlfn.TEXTAFTER(VLOOKUP($F221,Declarations!B$6:C$185,2,FALSE)," ")),VLOOKUP($F221,Declarations!B$6:C$185,2,FALSE),_xlfn.TEXTAFTER(VLOOKUP($F221,Declarations!B$6:C$185,2,FALSE)," "))))</f>
        <v/>
      </c>
      <c r="D221" s="114" t="str">
        <f>IF(ISNA(VLOOKUP($F221,Declarations!$B$6:$F$185,5,FALSE)),"",IF(VLOOKUP($F221,Declarations!$B$6:$F$185,5,FALSE)="","NOT DECLARED",VLOOKUP($F221,Declarations!$B$6:$F$185,5,FALSE)))</f>
        <v/>
      </c>
      <c r="E221" s="112" t="str">
        <f>IF(ISNA(VLOOKUP($F221,Declarations!$B$6:$D$185,3,FALSE)),"",IF(VLOOKUP($F221,Declarations!$B$6:$D$185,3,FALSE)="","NOT DECLARED",VLOOKUP($F221,Declarations!$B$6:$D$185,3,FALSE)&amp;LEFT(VLOOKUP($F221,Declarations!$B$6:$E$185,4,FALSE))))</f>
        <v/>
      </c>
      <c r="F221" s="58"/>
      <c r="G221" s="115">
        <v>0</v>
      </c>
      <c r="H221" s="281"/>
      <c r="I221" s="114" t="str">
        <f>IF(ISNA(VLOOKUP(F221,Declarations!B$6:C$185,2,FALSE)),"",IF(VLOOKUP(F221,Declarations!B$6:C$185,2,FALSE)="","NOT DECLARED",VLOOKUP(F221,Declarations!B$6:C$185,2,FALSE)))</f>
        <v/>
      </c>
      <c r="J221" s="116">
        <f>IF(LOWER(G221)="dnf",1,IF(U221&lt;ScoringTable!C$3,ScoringTable!I$2,VLOOKUP((1000-U221),ScoringTable!H$2:I$95,2)))</f>
        <v>0</v>
      </c>
      <c r="K221" s="112" t="str">
        <f>IF(OR(E221="",G221=""),"",IF(RIGHT(E221,1)="G",_xlfn.XLOOKUP(G221,Data!$D$11:$L$11,Data!$D$9:$L$9,"",1,1),_xlfn.XLOOKUP(G221,Data!$D$4:$L$4,Data!$D$2:$L$2,"",1,1)))</f>
        <v/>
      </c>
      <c r="L221" s="160" t="str" cm="1">
        <f t="array" ref="L221">IFERROR(_xlfn.IFNA(
                      _xlfn.IFS(
                      G221="", "",
                      G221=0, "",
                      AND(E221="U12B",G221&lt;=Data!$M$4), "U12 Boys record",
                      AND(E221="U12G",G221&lt;=Data!$M$11), "U12 Girls record"
                       ),""), "")</f>
        <v/>
      </c>
      <c r="M221" s="18" cm="1">
        <f t="array" ref="M221">_xlfn.IFS(OR($G221="",$G221=0),0, AND(NOT(ISNUMBER($G221)),LOWER($G221)&lt;&gt;"dnf"),"Not a valid time",OR(LOWER($G221)="dnf",$G221&gt;ScoringTable!$N$161),1,RIGHT($E221,1)="B",_xlfn.XLOOKUP($G221,ScoringTable!$N$2:$N$161,ScoringTable!$L$2:$L$161,,1),TRUE,_xlfn.XLOOKUP($G221,ScoringTable!$T$2:$T$161,ScoringTable!$R$2:$R$161,,1))</f>
        <v>0</v>
      </c>
      <c r="Q221" s="117">
        <f t="shared" si="15"/>
        <v>0</v>
      </c>
      <c r="R221" s="118">
        <f t="shared" si="16"/>
        <v>0</v>
      </c>
      <c r="S221" s="119">
        <f t="shared" si="17"/>
        <v>0</v>
      </c>
      <c r="T221" s="118">
        <f t="shared" si="18"/>
        <v>0</v>
      </c>
      <c r="U221" s="120">
        <f t="shared" si="19"/>
        <v>0</v>
      </c>
    </row>
    <row r="222" spans="1:21" s="7" customFormat="1" ht="16.05" customHeight="1">
      <c r="A222" s="113" t="s">
        <v>95</v>
      </c>
      <c r="B222" s="114" t="str">
        <f>IF(ISNA(VLOOKUP($F222,Declarations!B$6:C$185,2,FALSE)),"",IF(VLOOKUP($F222,Declarations!B$6:C$185,2,FALSE)="","NOT DECLARED",IF(ISNA(_xlfn.TEXTBEFORE(VLOOKUP($F222,Declarations!B$6:C$185,2,FALSE)," ")),VLOOKUP($F222,Declarations!B$6:C$185,2,FALSE),_xlfn.TEXTBEFORE(VLOOKUP($F222,Declarations!B$6:C$185,2,FALSE)," "))))</f>
        <v/>
      </c>
      <c r="C222" s="114" t="str">
        <f>IF(ISNA(VLOOKUP($F222,Declarations!B$6:C$185,2,FALSE)),"",IF(VLOOKUP($F222,Declarations!B$6:C$185,2,FALSE)="","NOT DECLARED",IF(ISNA(_xlfn.TEXTAFTER(VLOOKUP($F222,Declarations!B$6:C$185,2,FALSE)," ")),VLOOKUP($F222,Declarations!B$6:C$185,2,FALSE),_xlfn.TEXTAFTER(VLOOKUP($F222,Declarations!B$6:C$185,2,FALSE)," "))))</f>
        <v/>
      </c>
      <c r="D222" s="114" t="str">
        <f>IF(ISNA(VLOOKUP($F222,Declarations!$B$6:$F$185,5,FALSE)),"",IF(VLOOKUP($F222,Declarations!$B$6:$F$185,5,FALSE)="","NOT DECLARED",VLOOKUP($F222,Declarations!$B$6:$F$185,5,FALSE)))</f>
        <v/>
      </c>
      <c r="E222" s="112" t="str">
        <f>IF(ISNA(VLOOKUP($F222,Declarations!$B$6:$D$185,3,FALSE)),"",IF(VLOOKUP($F222,Declarations!$B$6:$D$185,3,FALSE)="","NOT DECLARED",VLOOKUP($F222,Declarations!$B$6:$D$185,3,FALSE)&amp;LEFT(VLOOKUP($F222,Declarations!$B$6:$E$185,4,FALSE))))</f>
        <v/>
      </c>
      <c r="F222" s="58"/>
      <c r="G222" s="115">
        <v>0</v>
      </c>
      <c r="H222" s="281"/>
      <c r="I222" s="114" t="str">
        <f>IF(ISNA(VLOOKUP(F222,Declarations!B$6:C$185,2,FALSE)),"",IF(VLOOKUP(F222,Declarations!B$6:C$185,2,FALSE)="","NOT DECLARED",VLOOKUP(F222,Declarations!B$6:C$185,2,FALSE)))</f>
        <v/>
      </c>
      <c r="J222" s="116">
        <f>IF(LOWER(G222)="dnf",1,IF(U222&lt;ScoringTable!C$3,ScoringTable!I$2,VLOOKUP((1000-U222),ScoringTable!H$2:I$95,2)))</f>
        <v>0</v>
      </c>
      <c r="K222" s="112" t="str">
        <f>IF(OR(E222="",G222=""),"",IF(RIGHT(E222,1)="G",_xlfn.XLOOKUP(G222,Data!$D$11:$L$11,Data!$D$9:$L$9,"",1,1),_xlfn.XLOOKUP(G222,Data!$D$4:$L$4,Data!$D$2:$L$2,"",1,1)))</f>
        <v/>
      </c>
      <c r="L222" s="160" t="str" cm="1">
        <f t="array" ref="L222">IFERROR(_xlfn.IFNA(
                      _xlfn.IFS(
                      G222="", "",
                      G222=0, "",
                      AND(E222="U12B",G222&lt;=Data!$M$4), "U12 Boys record",
                      AND(E222="U12G",G222&lt;=Data!$M$11), "U12 Girls record"
                       ),""), "")</f>
        <v/>
      </c>
      <c r="M222" s="18" cm="1">
        <f t="array" ref="M222">_xlfn.IFS(OR($G222="",$G222=0),0, AND(NOT(ISNUMBER($G222)),LOWER($G222)&lt;&gt;"dnf"),"Not a valid time",OR(LOWER($G222)="dnf",$G222&gt;ScoringTable!$N$161),1,RIGHT($E222,1)="B",_xlfn.XLOOKUP($G222,ScoringTable!$N$2:$N$161,ScoringTable!$L$2:$L$161,,1),TRUE,_xlfn.XLOOKUP($G222,ScoringTable!$T$2:$T$161,ScoringTable!$R$2:$R$161,,1))</f>
        <v>0</v>
      </c>
      <c r="Q222" s="117">
        <f t="shared" si="15"/>
        <v>0</v>
      </c>
      <c r="R222" s="118">
        <f t="shared" si="16"/>
        <v>0</v>
      </c>
      <c r="S222" s="119">
        <f t="shared" si="17"/>
        <v>0</v>
      </c>
      <c r="T222" s="118">
        <f t="shared" si="18"/>
        <v>0</v>
      </c>
      <c r="U222" s="120">
        <f t="shared" si="19"/>
        <v>0</v>
      </c>
    </row>
    <row r="223" spans="1:21" s="7" customFormat="1" ht="16.05" customHeight="1">
      <c r="A223" s="113" t="s">
        <v>95</v>
      </c>
      <c r="B223" s="114" t="str">
        <f>IF(ISNA(VLOOKUP($F223,Declarations!B$6:C$185,2,FALSE)),"",IF(VLOOKUP($F223,Declarations!B$6:C$185,2,FALSE)="","NOT DECLARED",IF(ISNA(_xlfn.TEXTBEFORE(VLOOKUP($F223,Declarations!B$6:C$185,2,FALSE)," ")),VLOOKUP($F223,Declarations!B$6:C$185,2,FALSE),_xlfn.TEXTBEFORE(VLOOKUP($F223,Declarations!B$6:C$185,2,FALSE)," "))))</f>
        <v/>
      </c>
      <c r="C223" s="114" t="str">
        <f>IF(ISNA(VLOOKUP($F223,Declarations!B$6:C$185,2,FALSE)),"",IF(VLOOKUP($F223,Declarations!B$6:C$185,2,FALSE)="","NOT DECLARED",IF(ISNA(_xlfn.TEXTAFTER(VLOOKUP($F223,Declarations!B$6:C$185,2,FALSE)," ")),VLOOKUP($F223,Declarations!B$6:C$185,2,FALSE),_xlfn.TEXTAFTER(VLOOKUP($F223,Declarations!B$6:C$185,2,FALSE)," "))))</f>
        <v/>
      </c>
      <c r="D223" s="114" t="str">
        <f>IF(ISNA(VLOOKUP($F223,Declarations!$B$6:$F$185,5,FALSE)),"",IF(VLOOKUP($F223,Declarations!$B$6:$F$185,5,FALSE)="","NOT DECLARED",VLOOKUP($F223,Declarations!$B$6:$F$185,5,FALSE)))</f>
        <v/>
      </c>
      <c r="E223" s="112" t="str">
        <f>IF(ISNA(VLOOKUP($F223,Declarations!$B$6:$D$185,3,FALSE)),"",IF(VLOOKUP($F223,Declarations!$B$6:$D$185,3,FALSE)="","NOT DECLARED",VLOOKUP($F223,Declarations!$B$6:$D$185,3,FALSE)&amp;LEFT(VLOOKUP($F223,Declarations!$B$6:$E$185,4,FALSE))))</f>
        <v/>
      </c>
      <c r="F223" s="58"/>
      <c r="G223" s="115">
        <v>0</v>
      </c>
      <c r="H223" s="281"/>
      <c r="I223" s="114" t="str">
        <f>IF(ISNA(VLOOKUP(F223,Declarations!B$6:C$185,2,FALSE)),"",IF(VLOOKUP(F223,Declarations!B$6:C$185,2,FALSE)="","NOT DECLARED",VLOOKUP(F223,Declarations!B$6:C$185,2,FALSE)))</f>
        <v/>
      </c>
      <c r="J223" s="116">
        <f>IF(LOWER(G223)="dnf",1,IF(U223&lt;ScoringTable!C$3,ScoringTable!I$2,VLOOKUP((1000-U223),ScoringTable!H$2:I$95,2)))</f>
        <v>0</v>
      </c>
      <c r="K223" s="112" t="str">
        <f>IF(OR(E223="",G223=""),"",IF(RIGHT(E223,1)="G",_xlfn.XLOOKUP(G223,Data!$D$11:$L$11,Data!$D$9:$L$9,"",1,1),_xlfn.XLOOKUP(G223,Data!$D$4:$L$4,Data!$D$2:$L$2,"",1,1)))</f>
        <v/>
      </c>
      <c r="L223" s="160" t="str" cm="1">
        <f t="array" ref="L223">IFERROR(_xlfn.IFNA(
                      _xlfn.IFS(
                      G223="", "",
                      G223=0, "",
                      AND(E223="U12B",G223&lt;=Data!$M$4), "U12 Boys record",
                      AND(E223="U12G",G223&lt;=Data!$M$11), "U12 Girls record"
                       ),""), "")</f>
        <v/>
      </c>
      <c r="M223" s="18" cm="1">
        <f t="array" ref="M223">_xlfn.IFS(OR($G223="",$G223=0),0, AND(NOT(ISNUMBER($G223)),LOWER($G223)&lt;&gt;"dnf"),"Not a valid time",OR(LOWER($G223)="dnf",$G223&gt;ScoringTable!$N$161),1,RIGHT($E223,1)="B",_xlfn.XLOOKUP($G223,ScoringTable!$N$2:$N$161,ScoringTable!$L$2:$L$161,,1),TRUE,_xlfn.XLOOKUP($G223,ScoringTable!$T$2:$T$161,ScoringTable!$R$2:$R$161,,1))</f>
        <v>0</v>
      </c>
      <c r="Q223" s="117">
        <f t="shared" si="15"/>
        <v>0</v>
      </c>
      <c r="R223" s="118">
        <f t="shared" si="16"/>
        <v>0</v>
      </c>
      <c r="S223" s="119">
        <f t="shared" si="17"/>
        <v>0</v>
      </c>
      <c r="T223" s="118">
        <f t="shared" si="18"/>
        <v>0</v>
      </c>
      <c r="U223" s="120">
        <f t="shared" si="19"/>
        <v>0</v>
      </c>
    </row>
    <row r="224" spans="1:21" s="7" customFormat="1" ht="16.05" customHeight="1">
      <c r="A224" s="113" t="s">
        <v>95</v>
      </c>
      <c r="B224" s="114" t="str">
        <f>IF(ISNA(VLOOKUP($F224,Declarations!B$6:C$185,2,FALSE)),"",IF(VLOOKUP($F224,Declarations!B$6:C$185,2,FALSE)="","NOT DECLARED",IF(ISNA(_xlfn.TEXTBEFORE(VLOOKUP($F224,Declarations!B$6:C$185,2,FALSE)," ")),VLOOKUP($F224,Declarations!B$6:C$185,2,FALSE),_xlfn.TEXTBEFORE(VLOOKUP($F224,Declarations!B$6:C$185,2,FALSE)," "))))</f>
        <v/>
      </c>
      <c r="C224" s="114" t="str">
        <f>IF(ISNA(VLOOKUP($F224,Declarations!B$6:C$185,2,FALSE)),"",IF(VLOOKUP($F224,Declarations!B$6:C$185,2,FALSE)="","NOT DECLARED",IF(ISNA(_xlfn.TEXTAFTER(VLOOKUP($F224,Declarations!B$6:C$185,2,FALSE)," ")),VLOOKUP($F224,Declarations!B$6:C$185,2,FALSE),_xlfn.TEXTAFTER(VLOOKUP($F224,Declarations!B$6:C$185,2,FALSE)," "))))</f>
        <v/>
      </c>
      <c r="D224" s="114" t="str">
        <f>IF(ISNA(VLOOKUP($F224,Declarations!$B$6:$F$185,5,FALSE)),"",IF(VLOOKUP($F224,Declarations!$B$6:$F$185,5,FALSE)="","NOT DECLARED",VLOOKUP($F224,Declarations!$B$6:$F$185,5,FALSE)))</f>
        <v/>
      </c>
      <c r="E224" s="112" t="str">
        <f>IF(ISNA(VLOOKUP($F224,Declarations!$B$6:$D$185,3,FALSE)),"",IF(VLOOKUP($F224,Declarations!$B$6:$D$185,3,FALSE)="","NOT DECLARED",VLOOKUP($F224,Declarations!$B$6:$D$185,3,FALSE)&amp;LEFT(VLOOKUP($F224,Declarations!$B$6:$E$185,4,FALSE))))</f>
        <v/>
      </c>
      <c r="F224" s="58"/>
      <c r="G224" s="115">
        <v>0</v>
      </c>
      <c r="H224" s="281"/>
      <c r="I224" s="114" t="str">
        <f>IF(ISNA(VLOOKUP(F224,Declarations!B$6:C$185,2,FALSE)),"",IF(VLOOKUP(F224,Declarations!B$6:C$185,2,FALSE)="","NOT DECLARED",VLOOKUP(F224,Declarations!B$6:C$185,2,FALSE)))</f>
        <v/>
      </c>
      <c r="J224" s="116">
        <f>IF(LOWER(G224)="dnf",1,IF(U224&lt;ScoringTable!C$3,ScoringTable!I$2,VLOOKUP((1000-U224),ScoringTable!H$2:I$95,2)))</f>
        <v>0</v>
      </c>
      <c r="K224" s="112" t="str">
        <f>IF(OR(E224="",G224=""),"",IF(RIGHT(E224,1)="G",_xlfn.XLOOKUP(G224,Data!$D$11:$L$11,Data!$D$9:$L$9,"",1,1),_xlfn.XLOOKUP(G224,Data!$D$4:$L$4,Data!$D$2:$L$2,"",1,1)))</f>
        <v/>
      </c>
      <c r="L224" s="160" t="str" cm="1">
        <f t="array" ref="L224">IFERROR(_xlfn.IFNA(
                      _xlfn.IFS(
                      G224="", "",
                      G224=0, "",
                      AND(E224="U12B",G224&lt;=Data!$M$4), "U12 Boys record",
                      AND(E224="U12G",G224&lt;=Data!$M$11), "U12 Girls record"
                       ),""), "")</f>
        <v/>
      </c>
      <c r="M224" s="18" cm="1">
        <f t="array" ref="M224">_xlfn.IFS(OR($G224="",$G224=0),0, AND(NOT(ISNUMBER($G224)),LOWER($G224)&lt;&gt;"dnf"),"Not a valid time",OR(LOWER($G224)="dnf",$G224&gt;ScoringTable!$N$161),1,RIGHT($E224,1)="B",_xlfn.XLOOKUP($G224,ScoringTable!$N$2:$N$161,ScoringTable!$L$2:$L$161,,1),TRUE,_xlfn.XLOOKUP($G224,ScoringTable!$T$2:$T$161,ScoringTable!$R$2:$R$161,,1))</f>
        <v>0</v>
      </c>
      <c r="Q224" s="117">
        <f t="shared" si="15"/>
        <v>0</v>
      </c>
      <c r="R224" s="118">
        <f t="shared" si="16"/>
        <v>0</v>
      </c>
      <c r="S224" s="119">
        <f t="shared" si="17"/>
        <v>0</v>
      </c>
      <c r="T224" s="118">
        <f t="shared" si="18"/>
        <v>0</v>
      </c>
      <c r="U224" s="120">
        <f t="shared" si="19"/>
        <v>0</v>
      </c>
    </row>
    <row r="225" spans="1:21" s="7" customFormat="1" ht="16.05" customHeight="1">
      <c r="A225" s="113" t="s">
        <v>95</v>
      </c>
      <c r="B225" s="114" t="str">
        <f>IF(ISNA(VLOOKUP($F225,Declarations!B$6:C$185,2,FALSE)),"",IF(VLOOKUP($F225,Declarations!B$6:C$185,2,FALSE)="","NOT DECLARED",IF(ISNA(_xlfn.TEXTBEFORE(VLOOKUP($F225,Declarations!B$6:C$185,2,FALSE)," ")),VLOOKUP($F225,Declarations!B$6:C$185,2,FALSE),_xlfn.TEXTBEFORE(VLOOKUP($F225,Declarations!B$6:C$185,2,FALSE)," "))))</f>
        <v/>
      </c>
      <c r="C225" s="114" t="str">
        <f>IF(ISNA(VLOOKUP($F225,Declarations!B$6:C$185,2,FALSE)),"",IF(VLOOKUP($F225,Declarations!B$6:C$185,2,FALSE)="","NOT DECLARED",IF(ISNA(_xlfn.TEXTAFTER(VLOOKUP($F225,Declarations!B$6:C$185,2,FALSE)," ")),VLOOKUP($F225,Declarations!B$6:C$185,2,FALSE),_xlfn.TEXTAFTER(VLOOKUP($F225,Declarations!B$6:C$185,2,FALSE)," "))))</f>
        <v/>
      </c>
      <c r="D225" s="114" t="str">
        <f>IF(ISNA(VLOOKUP($F225,Declarations!$B$6:$F$185,5,FALSE)),"",IF(VLOOKUP($F225,Declarations!$B$6:$F$185,5,FALSE)="","NOT DECLARED",VLOOKUP($F225,Declarations!$B$6:$F$185,5,FALSE)))</f>
        <v/>
      </c>
      <c r="E225" s="112" t="str">
        <f>IF(ISNA(VLOOKUP($F225,Declarations!$B$6:$D$185,3,FALSE)),"",IF(VLOOKUP($F225,Declarations!$B$6:$D$185,3,FALSE)="","NOT DECLARED",VLOOKUP($F225,Declarations!$B$6:$D$185,3,FALSE)&amp;LEFT(VLOOKUP($F225,Declarations!$B$6:$E$185,4,FALSE))))</f>
        <v/>
      </c>
      <c r="F225" s="58"/>
      <c r="G225" s="115">
        <v>0</v>
      </c>
      <c r="H225" s="281"/>
      <c r="I225" s="114" t="str">
        <f>IF(ISNA(VLOOKUP(F225,Declarations!B$6:C$185,2,FALSE)),"",IF(VLOOKUP(F225,Declarations!B$6:C$185,2,FALSE)="","NOT DECLARED",VLOOKUP(F225,Declarations!B$6:C$185,2,FALSE)))</f>
        <v/>
      </c>
      <c r="J225" s="116">
        <f>IF(LOWER(G225)="dnf",1,IF(U225&lt;ScoringTable!C$3,ScoringTable!I$2,VLOOKUP((1000-U225),ScoringTable!H$2:I$95,2)))</f>
        <v>0</v>
      </c>
      <c r="K225" s="112" t="str">
        <f>IF(OR(E225="",G225=""),"",IF(RIGHT(E225,1)="G",_xlfn.XLOOKUP(G225,Data!$D$11:$L$11,Data!$D$9:$L$9,"",1,1),_xlfn.XLOOKUP(G225,Data!$D$4:$L$4,Data!$D$2:$L$2,"",1,1)))</f>
        <v/>
      </c>
      <c r="L225" s="160" t="str" cm="1">
        <f t="array" ref="L225">IFERROR(_xlfn.IFNA(
                      _xlfn.IFS(
                      G225="", "",
                      G225=0, "",
                      AND(E225="U12B",G225&lt;=Data!$M$4), "U12 Boys record",
                      AND(E225="U12G",G225&lt;=Data!$M$11), "U12 Girls record"
                       ),""), "")</f>
        <v/>
      </c>
      <c r="M225" s="18" cm="1">
        <f t="array" ref="M225">_xlfn.IFS(OR($G225="",$G225=0),0, AND(NOT(ISNUMBER($G225)),LOWER($G225)&lt;&gt;"dnf"),"Not a valid time",OR(LOWER($G225)="dnf",$G225&gt;ScoringTable!$N$161),1,RIGHT($E225,1)="B",_xlfn.XLOOKUP($G225,ScoringTable!$N$2:$N$161,ScoringTable!$L$2:$L$161,,1),TRUE,_xlfn.XLOOKUP($G225,ScoringTable!$T$2:$T$161,ScoringTable!$R$2:$R$161,,1))</f>
        <v>0</v>
      </c>
      <c r="Q225" s="117">
        <f t="shared" si="15"/>
        <v>0</v>
      </c>
      <c r="R225" s="118">
        <f t="shared" si="16"/>
        <v>0</v>
      </c>
      <c r="S225" s="119">
        <f t="shared" si="17"/>
        <v>0</v>
      </c>
      <c r="T225" s="118">
        <f t="shared" si="18"/>
        <v>0</v>
      </c>
      <c r="U225" s="120">
        <f t="shared" si="19"/>
        <v>0</v>
      </c>
    </row>
    <row r="226" spans="1:21" s="7" customFormat="1" ht="16.05" customHeight="1">
      <c r="A226" s="113" t="s">
        <v>95</v>
      </c>
      <c r="B226" s="114" t="str">
        <f>IF(ISNA(VLOOKUP($F226,Declarations!B$6:C$185,2,FALSE)),"",IF(VLOOKUP($F226,Declarations!B$6:C$185,2,FALSE)="","NOT DECLARED",IF(ISNA(_xlfn.TEXTBEFORE(VLOOKUP($F226,Declarations!B$6:C$185,2,FALSE)," ")),VLOOKUP($F226,Declarations!B$6:C$185,2,FALSE),_xlfn.TEXTBEFORE(VLOOKUP($F226,Declarations!B$6:C$185,2,FALSE)," "))))</f>
        <v/>
      </c>
      <c r="C226" s="114" t="str">
        <f>IF(ISNA(VLOOKUP($F226,Declarations!B$6:C$185,2,FALSE)),"",IF(VLOOKUP($F226,Declarations!B$6:C$185,2,FALSE)="","NOT DECLARED",IF(ISNA(_xlfn.TEXTAFTER(VLOOKUP($F226,Declarations!B$6:C$185,2,FALSE)," ")),VLOOKUP($F226,Declarations!B$6:C$185,2,FALSE),_xlfn.TEXTAFTER(VLOOKUP($F226,Declarations!B$6:C$185,2,FALSE)," "))))</f>
        <v/>
      </c>
      <c r="D226" s="114" t="str">
        <f>IF(ISNA(VLOOKUP($F226,Declarations!$B$6:$F$185,5,FALSE)),"",IF(VLOOKUP($F226,Declarations!$B$6:$F$185,5,FALSE)="","NOT DECLARED",VLOOKUP($F226,Declarations!$B$6:$F$185,5,FALSE)))</f>
        <v/>
      </c>
      <c r="E226" s="112" t="str">
        <f>IF(ISNA(VLOOKUP($F226,Declarations!$B$6:$D$185,3,FALSE)),"",IF(VLOOKUP($F226,Declarations!$B$6:$D$185,3,FALSE)="","NOT DECLARED",VLOOKUP($F226,Declarations!$B$6:$D$185,3,FALSE)&amp;LEFT(VLOOKUP($F226,Declarations!$B$6:$E$185,4,FALSE))))</f>
        <v/>
      </c>
      <c r="F226" s="58"/>
      <c r="G226" s="115">
        <v>0</v>
      </c>
      <c r="H226" s="281"/>
      <c r="I226" s="114" t="str">
        <f>IF(ISNA(VLOOKUP(F226,Declarations!B$6:C$185,2,FALSE)),"",IF(VLOOKUP(F226,Declarations!B$6:C$185,2,FALSE)="","NOT DECLARED",VLOOKUP(F226,Declarations!B$6:C$185,2,FALSE)))</f>
        <v/>
      </c>
      <c r="J226" s="116">
        <f>IF(LOWER(G226)="dnf",1,IF(U226&lt;ScoringTable!C$3,ScoringTable!I$2,VLOOKUP((1000-U226),ScoringTable!H$2:I$95,2)))</f>
        <v>0</v>
      </c>
      <c r="K226" s="112" t="str">
        <f>IF(OR(E226="",G226=""),"",IF(RIGHT(E226,1)="G",_xlfn.XLOOKUP(G226,Data!$D$11:$L$11,Data!$D$9:$L$9,"",1,1),_xlfn.XLOOKUP(G226,Data!$D$4:$L$4,Data!$D$2:$L$2,"",1,1)))</f>
        <v/>
      </c>
      <c r="L226" s="160" t="str" cm="1">
        <f t="array" ref="L226">IFERROR(_xlfn.IFNA(
                      _xlfn.IFS(
                      G226="", "",
                      G226=0, "",
                      AND(E226="U12B",G226&lt;=Data!$M$4), "U12 Boys record",
                      AND(E226="U12G",G226&lt;=Data!$M$11), "U12 Girls record"
                       ),""), "")</f>
        <v/>
      </c>
      <c r="M226" s="18" cm="1">
        <f t="array" ref="M226">_xlfn.IFS(OR($G226="",$G226=0),0, AND(NOT(ISNUMBER($G226)),LOWER($G226)&lt;&gt;"dnf"),"Not a valid time",OR(LOWER($G226)="dnf",$G226&gt;ScoringTable!$N$161),1,RIGHT($E226,1)="B",_xlfn.XLOOKUP($G226,ScoringTable!$N$2:$N$161,ScoringTable!$L$2:$L$161,,1),TRUE,_xlfn.XLOOKUP($G226,ScoringTable!$T$2:$T$161,ScoringTable!$R$2:$R$161,,1))</f>
        <v>0</v>
      </c>
      <c r="Q226" s="117">
        <f t="shared" si="15"/>
        <v>0</v>
      </c>
      <c r="R226" s="118">
        <f t="shared" si="16"/>
        <v>0</v>
      </c>
      <c r="S226" s="119">
        <f t="shared" si="17"/>
        <v>0</v>
      </c>
      <c r="T226" s="118">
        <f t="shared" si="18"/>
        <v>0</v>
      </c>
      <c r="U226" s="120">
        <f t="shared" si="19"/>
        <v>0</v>
      </c>
    </row>
    <row r="227" spans="1:21" s="7" customFormat="1" ht="16.05" customHeight="1">
      <c r="A227" s="113" t="s">
        <v>95</v>
      </c>
      <c r="B227" s="114" t="str">
        <f>IF(ISNA(VLOOKUP($F227,Declarations!B$6:C$185,2,FALSE)),"",IF(VLOOKUP($F227,Declarations!B$6:C$185,2,FALSE)="","NOT DECLARED",IF(ISNA(_xlfn.TEXTBEFORE(VLOOKUP($F227,Declarations!B$6:C$185,2,FALSE)," ")),VLOOKUP($F227,Declarations!B$6:C$185,2,FALSE),_xlfn.TEXTBEFORE(VLOOKUP($F227,Declarations!B$6:C$185,2,FALSE)," "))))</f>
        <v/>
      </c>
      <c r="C227" s="114" t="str">
        <f>IF(ISNA(VLOOKUP($F227,Declarations!B$6:C$185,2,FALSE)),"",IF(VLOOKUP($F227,Declarations!B$6:C$185,2,FALSE)="","NOT DECLARED",IF(ISNA(_xlfn.TEXTAFTER(VLOOKUP($F227,Declarations!B$6:C$185,2,FALSE)," ")),VLOOKUP($F227,Declarations!B$6:C$185,2,FALSE),_xlfn.TEXTAFTER(VLOOKUP($F227,Declarations!B$6:C$185,2,FALSE)," "))))</f>
        <v/>
      </c>
      <c r="D227" s="114" t="str">
        <f>IF(ISNA(VLOOKUP($F227,Declarations!$B$6:$F$185,5,FALSE)),"",IF(VLOOKUP($F227,Declarations!$B$6:$F$185,5,FALSE)="","NOT DECLARED",VLOOKUP($F227,Declarations!$B$6:$F$185,5,FALSE)))</f>
        <v/>
      </c>
      <c r="E227" s="112" t="str">
        <f>IF(ISNA(VLOOKUP($F227,Declarations!$B$6:$D$185,3,FALSE)),"",IF(VLOOKUP($F227,Declarations!$B$6:$D$185,3,FALSE)="","NOT DECLARED",VLOOKUP($F227,Declarations!$B$6:$D$185,3,FALSE)&amp;LEFT(VLOOKUP($F227,Declarations!$B$6:$E$185,4,FALSE))))</f>
        <v/>
      </c>
      <c r="F227" s="58"/>
      <c r="G227" s="115">
        <v>0</v>
      </c>
      <c r="H227" s="281"/>
      <c r="I227" s="114" t="str">
        <f>IF(ISNA(VLOOKUP(F227,Declarations!B$6:C$185,2,FALSE)),"",IF(VLOOKUP(F227,Declarations!B$6:C$185,2,FALSE)="","NOT DECLARED",VLOOKUP(F227,Declarations!B$6:C$185,2,FALSE)))</f>
        <v/>
      </c>
      <c r="J227" s="116">
        <f>IF(LOWER(G227)="dnf",1,IF(U227&lt;ScoringTable!C$3,ScoringTable!I$2,VLOOKUP((1000-U227),ScoringTable!H$2:I$95,2)))</f>
        <v>0</v>
      </c>
      <c r="K227" s="112" t="str">
        <f>IF(OR(E227="",G227=""),"",IF(RIGHT(E227,1)="G",_xlfn.XLOOKUP(G227,Data!$D$11:$L$11,Data!$D$9:$L$9,"",1,1),_xlfn.XLOOKUP(G227,Data!$D$4:$L$4,Data!$D$2:$L$2,"",1,1)))</f>
        <v/>
      </c>
      <c r="L227" s="160" t="str" cm="1">
        <f t="array" ref="L227">IFERROR(_xlfn.IFNA(
                      _xlfn.IFS(
                      G227="", "",
                      G227=0, "",
                      AND(E227="U12B",G227&lt;=Data!$M$4), "U12 Boys record",
                      AND(E227="U12G",G227&lt;=Data!$M$11), "U12 Girls record"
                       ),""), "")</f>
        <v/>
      </c>
      <c r="M227" s="18" cm="1">
        <f t="array" ref="M227">_xlfn.IFS(OR($G227="",$G227=0),0, AND(NOT(ISNUMBER($G227)),LOWER($G227)&lt;&gt;"dnf"),"Not a valid time",OR(LOWER($G227)="dnf",$G227&gt;ScoringTable!$N$161),1,RIGHT($E227,1)="B",_xlfn.XLOOKUP($G227,ScoringTable!$N$2:$N$161,ScoringTable!$L$2:$L$161,,1),TRUE,_xlfn.XLOOKUP($G227,ScoringTable!$T$2:$T$161,ScoringTable!$R$2:$R$161,,1))</f>
        <v>0</v>
      </c>
      <c r="Q227" s="117">
        <f t="shared" si="15"/>
        <v>0</v>
      </c>
      <c r="R227" s="118">
        <f t="shared" si="16"/>
        <v>0</v>
      </c>
      <c r="S227" s="119">
        <f t="shared" si="17"/>
        <v>0</v>
      </c>
      <c r="T227" s="118">
        <f t="shared" si="18"/>
        <v>0</v>
      </c>
      <c r="U227" s="120">
        <f t="shared" si="19"/>
        <v>0</v>
      </c>
    </row>
    <row r="228" spans="1:21" s="7" customFormat="1" ht="16.05" customHeight="1">
      <c r="A228" s="113" t="s">
        <v>95</v>
      </c>
      <c r="B228" s="114" t="str">
        <f>IF(ISNA(VLOOKUP($F228,Declarations!B$6:C$185,2,FALSE)),"",IF(VLOOKUP($F228,Declarations!B$6:C$185,2,FALSE)="","NOT DECLARED",IF(ISNA(_xlfn.TEXTBEFORE(VLOOKUP($F228,Declarations!B$6:C$185,2,FALSE)," ")),VLOOKUP($F228,Declarations!B$6:C$185,2,FALSE),_xlfn.TEXTBEFORE(VLOOKUP($F228,Declarations!B$6:C$185,2,FALSE)," "))))</f>
        <v/>
      </c>
      <c r="C228" s="114" t="str">
        <f>IF(ISNA(VLOOKUP($F228,Declarations!B$6:C$185,2,FALSE)),"",IF(VLOOKUP($F228,Declarations!B$6:C$185,2,FALSE)="","NOT DECLARED",IF(ISNA(_xlfn.TEXTAFTER(VLOOKUP($F228,Declarations!B$6:C$185,2,FALSE)," ")),VLOOKUP($F228,Declarations!B$6:C$185,2,FALSE),_xlfn.TEXTAFTER(VLOOKUP($F228,Declarations!B$6:C$185,2,FALSE)," "))))</f>
        <v/>
      </c>
      <c r="D228" s="114" t="str">
        <f>IF(ISNA(VLOOKUP($F228,Declarations!$B$6:$F$185,5,FALSE)),"",IF(VLOOKUP($F228,Declarations!$B$6:$F$185,5,FALSE)="","NOT DECLARED",VLOOKUP($F228,Declarations!$B$6:$F$185,5,FALSE)))</f>
        <v/>
      </c>
      <c r="E228" s="112" t="str">
        <f>IF(ISNA(VLOOKUP($F228,Declarations!$B$6:$D$185,3,FALSE)),"",IF(VLOOKUP($F228,Declarations!$B$6:$D$185,3,FALSE)="","NOT DECLARED",VLOOKUP($F228,Declarations!$B$6:$D$185,3,FALSE)&amp;LEFT(VLOOKUP($F228,Declarations!$B$6:$E$185,4,FALSE))))</f>
        <v/>
      </c>
      <c r="F228" s="58"/>
      <c r="G228" s="115">
        <v>0</v>
      </c>
      <c r="H228" s="281"/>
      <c r="I228" s="114" t="str">
        <f>IF(ISNA(VLOOKUP(F228,Declarations!B$6:C$185,2,FALSE)),"",IF(VLOOKUP(F228,Declarations!B$6:C$185,2,FALSE)="","NOT DECLARED",VLOOKUP(F228,Declarations!B$6:C$185,2,FALSE)))</f>
        <v/>
      </c>
      <c r="J228" s="116">
        <f>IF(LOWER(G228)="dnf",1,IF(U228&lt;ScoringTable!C$3,ScoringTable!I$2,VLOOKUP((1000-U228),ScoringTable!H$2:I$95,2)))</f>
        <v>0</v>
      </c>
      <c r="K228" s="112" t="str">
        <f>IF(OR(E228="",G228=""),"",IF(RIGHT(E228,1)="G",_xlfn.XLOOKUP(G228,Data!$D$11:$L$11,Data!$D$9:$L$9,"",1,1),_xlfn.XLOOKUP(G228,Data!$D$4:$L$4,Data!$D$2:$L$2,"",1,1)))</f>
        <v/>
      </c>
      <c r="L228" s="160" t="str" cm="1">
        <f t="array" ref="L228">IFERROR(_xlfn.IFNA(
                      _xlfn.IFS(
                      G228="", "",
                      G228=0, "",
                      AND(E228="U12B",G228&lt;=Data!$M$4), "U12 Boys record",
                      AND(E228="U12G",G228&lt;=Data!$M$11), "U12 Girls record"
                       ),""), "")</f>
        <v/>
      </c>
      <c r="M228" s="18" cm="1">
        <f t="array" ref="M228">_xlfn.IFS(OR($G228="",$G228=0),0, AND(NOT(ISNUMBER($G228)),LOWER($G228)&lt;&gt;"dnf"),"Not a valid time",OR(LOWER($G228)="dnf",$G228&gt;ScoringTable!$N$161),1,RIGHT($E228,1)="B",_xlfn.XLOOKUP($G228,ScoringTable!$N$2:$N$161,ScoringTable!$L$2:$L$161,,1),TRUE,_xlfn.XLOOKUP($G228,ScoringTable!$T$2:$T$161,ScoringTable!$R$2:$R$161,,1))</f>
        <v>0</v>
      </c>
      <c r="Q228" s="117">
        <f t="shared" si="15"/>
        <v>0</v>
      </c>
      <c r="R228" s="118">
        <f t="shared" si="16"/>
        <v>0</v>
      </c>
      <c r="S228" s="119">
        <f t="shared" si="17"/>
        <v>0</v>
      </c>
      <c r="T228" s="118">
        <f t="shared" si="18"/>
        <v>0</v>
      </c>
      <c r="U228" s="120">
        <f t="shared" si="19"/>
        <v>0</v>
      </c>
    </row>
    <row r="229" spans="1:21" s="7" customFormat="1" ht="16.05" customHeight="1">
      <c r="A229" s="113" t="s">
        <v>95</v>
      </c>
      <c r="B229" s="114" t="str">
        <f>IF(ISNA(VLOOKUP($F229,Declarations!B$6:C$185,2,FALSE)),"",IF(VLOOKUP($F229,Declarations!B$6:C$185,2,FALSE)="","NOT DECLARED",IF(ISNA(_xlfn.TEXTBEFORE(VLOOKUP($F229,Declarations!B$6:C$185,2,FALSE)," ")),VLOOKUP($F229,Declarations!B$6:C$185,2,FALSE),_xlfn.TEXTBEFORE(VLOOKUP($F229,Declarations!B$6:C$185,2,FALSE)," "))))</f>
        <v/>
      </c>
      <c r="C229" s="114" t="str">
        <f>IF(ISNA(VLOOKUP($F229,Declarations!B$6:C$185,2,FALSE)),"",IF(VLOOKUP($F229,Declarations!B$6:C$185,2,FALSE)="","NOT DECLARED",IF(ISNA(_xlfn.TEXTAFTER(VLOOKUP($F229,Declarations!B$6:C$185,2,FALSE)," ")),VLOOKUP($F229,Declarations!B$6:C$185,2,FALSE),_xlfn.TEXTAFTER(VLOOKUP($F229,Declarations!B$6:C$185,2,FALSE)," "))))</f>
        <v/>
      </c>
      <c r="D229" s="114" t="str">
        <f>IF(ISNA(VLOOKUP($F229,Declarations!$B$6:$F$185,5,FALSE)),"",IF(VLOOKUP($F229,Declarations!$B$6:$F$185,5,FALSE)="","NOT DECLARED",VLOOKUP($F229,Declarations!$B$6:$F$185,5,FALSE)))</f>
        <v/>
      </c>
      <c r="E229" s="112" t="str">
        <f>IF(ISNA(VLOOKUP($F229,Declarations!$B$6:$D$185,3,FALSE)),"",IF(VLOOKUP($F229,Declarations!$B$6:$D$185,3,FALSE)="","NOT DECLARED",VLOOKUP($F229,Declarations!$B$6:$D$185,3,FALSE)&amp;LEFT(VLOOKUP($F229,Declarations!$B$6:$E$185,4,FALSE))))</f>
        <v/>
      </c>
      <c r="F229" s="58"/>
      <c r="G229" s="115">
        <v>0</v>
      </c>
      <c r="H229" s="281"/>
      <c r="I229" s="114" t="str">
        <f>IF(ISNA(VLOOKUP(F229,Declarations!B$6:C$185,2,FALSE)),"",IF(VLOOKUP(F229,Declarations!B$6:C$185,2,FALSE)="","NOT DECLARED",VLOOKUP(F229,Declarations!B$6:C$185,2,FALSE)))</f>
        <v/>
      </c>
      <c r="J229" s="116">
        <f>IF(LOWER(G229)="dnf",1,IF(U229&lt;ScoringTable!C$3,ScoringTable!I$2,VLOOKUP((1000-U229),ScoringTable!H$2:I$95,2)))</f>
        <v>0</v>
      </c>
      <c r="K229" s="112" t="str">
        <f>IF(OR(E229="",G229=""),"",IF(RIGHT(E229,1)="G",_xlfn.XLOOKUP(G229,Data!$D$11:$L$11,Data!$D$9:$L$9,"",1,1),_xlfn.XLOOKUP(G229,Data!$D$4:$L$4,Data!$D$2:$L$2,"",1,1)))</f>
        <v/>
      </c>
      <c r="L229" s="160" t="str" cm="1">
        <f t="array" ref="L229">IFERROR(_xlfn.IFNA(
                      _xlfn.IFS(
                      G229="", "",
                      G229=0, "",
                      AND(E229="U12B",G229&lt;=Data!$M$4), "U12 Boys record",
                      AND(E229="U12G",G229&lt;=Data!$M$11), "U12 Girls record"
                       ),""), "")</f>
        <v/>
      </c>
      <c r="M229" s="18" cm="1">
        <f t="array" ref="M229">_xlfn.IFS(OR($G229="",$G229=0),0, AND(NOT(ISNUMBER($G229)),LOWER($G229)&lt;&gt;"dnf"),"Not a valid time",OR(LOWER($G229)="dnf",$G229&gt;ScoringTable!$N$161),1,RIGHT($E229,1)="B",_xlfn.XLOOKUP($G229,ScoringTable!$N$2:$N$161,ScoringTable!$L$2:$L$161,,1),TRUE,_xlfn.XLOOKUP($G229,ScoringTable!$T$2:$T$161,ScoringTable!$R$2:$R$161,,1))</f>
        <v>0</v>
      </c>
      <c r="Q229" s="117">
        <f t="shared" si="15"/>
        <v>0</v>
      </c>
      <c r="R229" s="118">
        <f t="shared" si="16"/>
        <v>0</v>
      </c>
      <c r="S229" s="119">
        <f t="shared" si="17"/>
        <v>0</v>
      </c>
      <c r="T229" s="118">
        <f t="shared" si="18"/>
        <v>0</v>
      </c>
      <c r="U229" s="120">
        <f t="shared" si="19"/>
        <v>0</v>
      </c>
    </row>
    <row r="230" spans="1:21" s="7" customFormat="1" ht="16.05" customHeight="1">
      <c r="A230" s="113" t="s">
        <v>95</v>
      </c>
      <c r="B230" s="114" t="str">
        <f>IF(ISNA(VLOOKUP($F230,Declarations!B$6:C$185,2,FALSE)),"",IF(VLOOKUP($F230,Declarations!B$6:C$185,2,FALSE)="","NOT DECLARED",IF(ISNA(_xlfn.TEXTBEFORE(VLOOKUP($F230,Declarations!B$6:C$185,2,FALSE)," ")),VLOOKUP($F230,Declarations!B$6:C$185,2,FALSE),_xlfn.TEXTBEFORE(VLOOKUP($F230,Declarations!B$6:C$185,2,FALSE)," "))))</f>
        <v/>
      </c>
      <c r="C230" s="114" t="str">
        <f>IF(ISNA(VLOOKUP($F230,Declarations!B$6:C$185,2,FALSE)),"",IF(VLOOKUP($F230,Declarations!B$6:C$185,2,FALSE)="","NOT DECLARED",IF(ISNA(_xlfn.TEXTAFTER(VLOOKUP($F230,Declarations!B$6:C$185,2,FALSE)," ")),VLOOKUP($F230,Declarations!B$6:C$185,2,FALSE),_xlfn.TEXTAFTER(VLOOKUP($F230,Declarations!B$6:C$185,2,FALSE)," "))))</f>
        <v/>
      </c>
      <c r="D230" s="114" t="str">
        <f>IF(ISNA(VLOOKUP($F230,Declarations!$B$6:$F$185,5,FALSE)),"",IF(VLOOKUP($F230,Declarations!$B$6:$F$185,5,FALSE)="","NOT DECLARED",VLOOKUP($F230,Declarations!$B$6:$F$185,5,FALSE)))</f>
        <v/>
      </c>
      <c r="E230" s="112" t="str">
        <f>IF(ISNA(VLOOKUP($F230,Declarations!$B$6:$D$185,3,FALSE)),"",IF(VLOOKUP($F230,Declarations!$B$6:$D$185,3,FALSE)="","NOT DECLARED",VLOOKUP($F230,Declarations!$B$6:$D$185,3,FALSE)&amp;LEFT(VLOOKUP($F230,Declarations!$B$6:$E$185,4,FALSE))))</f>
        <v/>
      </c>
      <c r="F230" s="58"/>
      <c r="G230" s="115">
        <v>0</v>
      </c>
      <c r="H230" s="281"/>
      <c r="I230" s="114" t="str">
        <f>IF(ISNA(VLOOKUP(F230,Declarations!B$6:C$185,2,FALSE)),"",IF(VLOOKUP(F230,Declarations!B$6:C$185,2,FALSE)="","NOT DECLARED",VLOOKUP(F230,Declarations!B$6:C$185,2,FALSE)))</f>
        <v/>
      </c>
      <c r="J230" s="116">
        <f>IF(LOWER(G230)="dnf",1,IF(U230&lt;ScoringTable!C$3,ScoringTable!I$2,VLOOKUP((1000-U230),ScoringTable!H$2:I$95,2)))</f>
        <v>0</v>
      </c>
      <c r="K230" s="112" t="str">
        <f>IF(OR(E230="",G230=""),"",IF(RIGHT(E230,1)="G",_xlfn.XLOOKUP(G230,Data!$D$11:$L$11,Data!$D$9:$L$9,"",1,1),_xlfn.XLOOKUP(G230,Data!$D$4:$L$4,Data!$D$2:$L$2,"",1,1)))</f>
        <v/>
      </c>
      <c r="L230" s="160" t="str" cm="1">
        <f t="array" ref="L230">IFERROR(_xlfn.IFNA(
                      _xlfn.IFS(
                      G230="", "",
                      G230=0, "",
                      AND(E230="U12B",G230&lt;=Data!$M$4), "U12 Boys record",
                      AND(E230="U12G",G230&lt;=Data!$M$11), "U12 Girls record"
                       ),""), "")</f>
        <v/>
      </c>
      <c r="M230" s="18" cm="1">
        <f t="array" ref="M230">_xlfn.IFS(OR($G230="",$G230=0),0, AND(NOT(ISNUMBER($G230)),LOWER($G230)&lt;&gt;"dnf"),"Not a valid time",OR(LOWER($G230)="dnf",$G230&gt;ScoringTable!$N$161),1,RIGHT($E230,1)="B",_xlfn.XLOOKUP($G230,ScoringTable!$N$2:$N$161,ScoringTable!$L$2:$L$161,,1),TRUE,_xlfn.XLOOKUP($G230,ScoringTable!$T$2:$T$161,ScoringTable!$R$2:$R$161,,1))</f>
        <v>0</v>
      </c>
      <c r="Q230" s="117">
        <f t="shared" si="15"/>
        <v>0</v>
      </c>
      <c r="R230" s="118">
        <f t="shared" si="16"/>
        <v>0</v>
      </c>
      <c r="S230" s="119">
        <f t="shared" si="17"/>
        <v>0</v>
      </c>
      <c r="T230" s="118">
        <f t="shared" si="18"/>
        <v>0</v>
      </c>
      <c r="U230" s="120">
        <f t="shared" si="19"/>
        <v>0</v>
      </c>
    </row>
    <row r="231" spans="1:21" s="7" customFormat="1" ht="16.05" customHeight="1">
      <c r="A231" s="113" t="s">
        <v>95</v>
      </c>
      <c r="B231" s="114" t="str">
        <f>IF(ISNA(VLOOKUP($F231,Declarations!B$6:C$185,2,FALSE)),"",IF(VLOOKUP($F231,Declarations!B$6:C$185,2,FALSE)="","NOT DECLARED",IF(ISNA(_xlfn.TEXTBEFORE(VLOOKUP($F231,Declarations!B$6:C$185,2,FALSE)," ")),VLOOKUP($F231,Declarations!B$6:C$185,2,FALSE),_xlfn.TEXTBEFORE(VLOOKUP($F231,Declarations!B$6:C$185,2,FALSE)," "))))</f>
        <v/>
      </c>
      <c r="C231" s="114" t="str">
        <f>IF(ISNA(VLOOKUP($F231,Declarations!B$6:C$185,2,FALSE)),"",IF(VLOOKUP($F231,Declarations!B$6:C$185,2,FALSE)="","NOT DECLARED",IF(ISNA(_xlfn.TEXTAFTER(VLOOKUP($F231,Declarations!B$6:C$185,2,FALSE)," ")),VLOOKUP($F231,Declarations!B$6:C$185,2,FALSE),_xlfn.TEXTAFTER(VLOOKUP($F231,Declarations!B$6:C$185,2,FALSE)," "))))</f>
        <v/>
      </c>
      <c r="D231" s="114" t="str">
        <f>IF(ISNA(VLOOKUP($F231,Declarations!$B$6:$F$185,5,FALSE)),"",IF(VLOOKUP($F231,Declarations!$B$6:$F$185,5,FALSE)="","NOT DECLARED",VLOOKUP($F231,Declarations!$B$6:$F$185,5,FALSE)))</f>
        <v/>
      </c>
      <c r="E231" s="112" t="str">
        <f>IF(ISNA(VLOOKUP($F231,Declarations!$B$6:$D$185,3,FALSE)),"",IF(VLOOKUP($F231,Declarations!$B$6:$D$185,3,FALSE)="","NOT DECLARED",VLOOKUP($F231,Declarations!$B$6:$D$185,3,FALSE)&amp;LEFT(VLOOKUP($F231,Declarations!$B$6:$E$185,4,FALSE))))</f>
        <v/>
      </c>
      <c r="F231" s="58"/>
      <c r="G231" s="115">
        <v>0</v>
      </c>
      <c r="H231" s="281"/>
      <c r="I231" s="114" t="str">
        <f>IF(ISNA(VLOOKUP(F231,Declarations!B$6:C$185,2,FALSE)),"",IF(VLOOKUP(F231,Declarations!B$6:C$185,2,FALSE)="","NOT DECLARED",VLOOKUP(F231,Declarations!B$6:C$185,2,FALSE)))</f>
        <v/>
      </c>
      <c r="J231" s="116">
        <f>IF(LOWER(G231)="dnf",1,IF(U231&lt;ScoringTable!C$3,ScoringTable!I$2,VLOOKUP((1000-U231),ScoringTable!H$2:I$95,2)))</f>
        <v>0</v>
      </c>
      <c r="K231" s="112" t="str">
        <f>IF(OR(E231="",G231=""),"",IF(RIGHT(E231,1)="G",_xlfn.XLOOKUP(G231,Data!$D$11:$L$11,Data!$D$9:$L$9,"",1,1),_xlfn.XLOOKUP(G231,Data!$D$4:$L$4,Data!$D$2:$L$2,"",1,1)))</f>
        <v/>
      </c>
      <c r="L231" s="160" t="str" cm="1">
        <f t="array" ref="L231">IFERROR(_xlfn.IFNA(
                      _xlfn.IFS(
                      G231="", "",
                      G231=0, "",
                      AND(E231="U12B",G231&lt;=Data!$M$4), "U12 Boys record",
                      AND(E231="U12G",G231&lt;=Data!$M$11), "U12 Girls record"
                       ),""), "")</f>
        <v/>
      </c>
      <c r="M231" s="18" cm="1">
        <f t="array" ref="M231">_xlfn.IFS(OR($G231="",$G231=0),0, AND(NOT(ISNUMBER($G231)),LOWER($G231)&lt;&gt;"dnf"),"Not a valid time",OR(LOWER($G231)="dnf",$G231&gt;ScoringTable!$N$161),1,RIGHT($E231,1)="B",_xlfn.XLOOKUP($G231,ScoringTable!$N$2:$N$161,ScoringTable!$L$2:$L$161,,1),TRUE,_xlfn.XLOOKUP($G231,ScoringTable!$T$2:$T$161,ScoringTable!$R$2:$R$161,,1))</f>
        <v>0</v>
      </c>
      <c r="Q231" s="117">
        <f t="shared" si="15"/>
        <v>0</v>
      </c>
      <c r="R231" s="118">
        <f t="shared" si="16"/>
        <v>0</v>
      </c>
      <c r="S231" s="119">
        <f t="shared" si="17"/>
        <v>0</v>
      </c>
      <c r="T231" s="118">
        <f t="shared" si="18"/>
        <v>0</v>
      </c>
      <c r="U231" s="120">
        <f t="shared" si="19"/>
        <v>0</v>
      </c>
    </row>
    <row r="232" spans="1:21" s="7" customFormat="1" ht="16.05" customHeight="1">
      <c r="A232" s="113" t="s">
        <v>95</v>
      </c>
      <c r="B232" s="114" t="str">
        <f>IF(ISNA(VLOOKUP($F232,Declarations!B$6:C$185,2,FALSE)),"",IF(VLOOKUP($F232,Declarations!B$6:C$185,2,FALSE)="","NOT DECLARED",IF(ISNA(_xlfn.TEXTBEFORE(VLOOKUP($F232,Declarations!B$6:C$185,2,FALSE)," ")),VLOOKUP($F232,Declarations!B$6:C$185,2,FALSE),_xlfn.TEXTBEFORE(VLOOKUP($F232,Declarations!B$6:C$185,2,FALSE)," "))))</f>
        <v/>
      </c>
      <c r="C232" s="114" t="str">
        <f>IF(ISNA(VLOOKUP($F232,Declarations!B$6:C$185,2,FALSE)),"",IF(VLOOKUP($F232,Declarations!B$6:C$185,2,FALSE)="","NOT DECLARED",IF(ISNA(_xlfn.TEXTAFTER(VLOOKUP($F232,Declarations!B$6:C$185,2,FALSE)," ")),VLOOKUP($F232,Declarations!B$6:C$185,2,FALSE),_xlfn.TEXTAFTER(VLOOKUP($F232,Declarations!B$6:C$185,2,FALSE)," "))))</f>
        <v/>
      </c>
      <c r="D232" s="114" t="str">
        <f>IF(ISNA(VLOOKUP($F232,Declarations!$B$6:$F$185,5,FALSE)),"",IF(VLOOKUP($F232,Declarations!$B$6:$F$185,5,FALSE)="","NOT DECLARED",VLOOKUP($F232,Declarations!$B$6:$F$185,5,FALSE)))</f>
        <v/>
      </c>
      <c r="E232" s="112" t="str">
        <f>IF(ISNA(VLOOKUP($F232,Declarations!$B$6:$D$185,3,FALSE)),"",IF(VLOOKUP($F232,Declarations!$B$6:$D$185,3,FALSE)="","NOT DECLARED",VLOOKUP($F232,Declarations!$B$6:$D$185,3,FALSE)&amp;LEFT(VLOOKUP($F232,Declarations!$B$6:$E$185,4,FALSE))))</f>
        <v/>
      </c>
      <c r="F232" s="58"/>
      <c r="G232" s="115">
        <v>0</v>
      </c>
      <c r="H232" s="281"/>
      <c r="I232" s="114" t="str">
        <f>IF(ISNA(VLOOKUP(F232,Declarations!B$6:C$185,2,FALSE)),"",IF(VLOOKUP(F232,Declarations!B$6:C$185,2,FALSE)="","NOT DECLARED",VLOOKUP(F232,Declarations!B$6:C$185,2,FALSE)))</f>
        <v/>
      </c>
      <c r="J232" s="116">
        <f>IF(LOWER(G232)="dnf",1,IF(U232&lt;ScoringTable!C$3,ScoringTable!I$2,VLOOKUP((1000-U232),ScoringTable!H$2:I$95,2)))</f>
        <v>0</v>
      </c>
      <c r="K232" s="112" t="str">
        <f>IF(OR(E232="",G232=""),"",IF(RIGHT(E232,1)="G",_xlfn.XLOOKUP(G232,Data!$D$11:$L$11,Data!$D$9:$L$9,"",1,1),_xlfn.XLOOKUP(G232,Data!$D$4:$L$4,Data!$D$2:$L$2,"",1,1)))</f>
        <v/>
      </c>
      <c r="L232" s="160" t="str" cm="1">
        <f t="array" ref="L232">IFERROR(_xlfn.IFNA(
                      _xlfn.IFS(
                      G232="", "",
                      G232=0, "",
                      AND(E232="U12B",G232&lt;=Data!$M$4), "U12 Boys record",
                      AND(E232="U12G",G232&lt;=Data!$M$11), "U12 Girls record"
                       ),""), "")</f>
        <v/>
      </c>
      <c r="M232" s="18" cm="1">
        <f t="array" ref="M232">_xlfn.IFS(OR($G232="",$G232=0),0, AND(NOT(ISNUMBER($G232)),LOWER($G232)&lt;&gt;"dnf"),"Not a valid time",OR(LOWER($G232)="dnf",$G232&gt;ScoringTable!$N$161),1,RIGHT($E232,1)="B",_xlfn.XLOOKUP($G232,ScoringTable!$N$2:$N$161,ScoringTable!$L$2:$L$161,,1),TRUE,_xlfn.XLOOKUP($G232,ScoringTable!$T$2:$T$161,ScoringTable!$R$2:$R$161,,1))</f>
        <v>0</v>
      </c>
      <c r="Q232" s="117">
        <f t="shared" si="15"/>
        <v>0</v>
      </c>
      <c r="R232" s="118">
        <f t="shared" si="16"/>
        <v>0</v>
      </c>
      <c r="S232" s="119">
        <f t="shared" si="17"/>
        <v>0</v>
      </c>
      <c r="T232" s="118">
        <f t="shared" si="18"/>
        <v>0</v>
      </c>
      <c r="U232" s="120">
        <f t="shared" si="19"/>
        <v>0</v>
      </c>
    </row>
    <row r="233" spans="1:21" s="7" customFormat="1" ht="16.05" customHeight="1">
      <c r="A233" s="113" t="s">
        <v>95</v>
      </c>
      <c r="B233" s="114" t="str">
        <f>IF(ISNA(VLOOKUP($F233,Declarations!B$6:C$185,2,FALSE)),"",IF(VLOOKUP($F233,Declarations!B$6:C$185,2,FALSE)="","NOT DECLARED",IF(ISNA(_xlfn.TEXTBEFORE(VLOOKUP($F233,Declarations!B$6:C$185,2,FALSE)," ")),VLOOKUP($F233,Declarations!B$6:C$185,2,FALSE),_xlfn.TEXTBEFORE(VLOOKUP($F233,Declarations!B$6:C$185,2,FALSE)," "))))</f>
        <v/>
      </c>
      <c r="C233" s="114" t="str">
        <f>IF(ISNA(VLOOKUP($F233,Declarations!B$6:C$185,2,FALSE)),"",IF(VLOOKUP($F233,Declarations!B$6:C$185,2,FALSE)="","NOT DECLARED",IF(ISNA(_xlfn.TEXTAFTER(VLOOKUP($F233,Declarations!B$6:C$185,2,FALSE)," ")),VLOOKUP($F233,Declarations!B$6:C$185,2,FALSE),_xlfn.TEXTAFTER(VLOOKUP($F233,Declarations!B$6:C$185,2,FALSE)," "))))</f>
        <v/>
      </c>
      <c r="D233" s="114" t="str">
        <f>IF(ISNA(VLOOKUP($F233,Declarations!$B$6:$F$185,5,FALSE)),"",IF(VLOOKUP($F233,Declarations!$B$6:$F$185,5,FALSE)="","NOT DECLARED",VLOOKUP($F233,Declarations!$B$6:$F$185,5,FALSE)))</f>
        <v/>
      </c>
      <c r="E233" s="112" t="str">
        <f>IF(ISNA(VLOOKUP($F233,Declarations!$B$6:$D$185,3,FALSE)),"",IF(VLOOKUP($F233,Declarations!$B$6:$D$185,3,FALSE)="","NOT DECLARED",VLOOKUP($F233,Declarations!$B$6:$D$185,3,FALSE)&amp;LEFT(VLOOKUP($F233,Declarations!$B$6:$E$185,4,FALSE))))</f>
        <v/>
      </c>
      <c r="F233" s="58"/>
      <c r="G233" s="115">
        <v>0</v>
      </c>
      <c r="H233" s="281"/>
      <c r="I233" s="114" t="str">
        <f>IF(ISNA(VLOOKUP(F233,Declarations!B$6:C$185,2,FALSE)),"",IF(VLOOKUP(F233,Declarations!B$6:C$185,2,FALSE)="","NOT DECLARED",VLOOKUP(F233,Declarations!B$6:C$185,2,FALSE)))</f>
        <v/>
      </c>
      <c r="J233" s="116">
        <f>IF(LOWER(G233)="dnf",1,IF(U233&lt;ScoringTable!C$3,ScoringTable!I$2,VLOOKUP((1000-U233),ScoringTable!H$2:I$95,2)))</f>
        <v>0</v>
      </c>
      <c r="K233" s="112" t="str">
        <f>IF(OR(E233="",G233=""),"",IF(RIGHT(E233,1)="G",_xlfn.XLOOKUP(G233,Data!$D$11:$L$11,Data!$D$9:$L$9,"",1,1),_xlfn.XLOOKUP(G233,Data!$D$4:$L$4,Data!$D$2:$L$2,"",1,1)))</f>
        <v/>
      </c>
      <c r="L233" s="160" t="str" cm="1">
        <f t="array" ref="L233">IFERROR(_xlfn.IFNA(
                      _xlfn.IFS(
                      G233="", "",
                      G233=0, "",
                      AND(E233="U12B",G233&lt;=Data!$M$4), "U12 Boys record",
                      AND(E233="U12G",G233&lt;=Data!$M$11), "U12 Girls record"
                       ),""), "")</f>
        <v/>
      </c>
      <c r="M233" s="18" cm="1">
        <f t="array" ref="M233">_xlfn.IFS(OR($G233="",$G233=0),0, AND(NOT(ISNUMBER($G233)),LOWER($G233)&lt;&gt;"dnf"),"Not a valid time",OR(LOWER($G233)="dnf",$G233&gt;ScoringTable!$N$161),1,RIGHT($E233,1)="B",_xlfn.XLOOKUP($G233,ScoringTable!$N$2:$N$161,ScoringTable!$L$2:$L$161,,1),TRUE,_xlfn.XLOOKUP($G233,ScoringTable!$T$2:$T$161,ScoringTable!$R$2:$R$161,,1))</f>
        <v>0</v>
      </c>
      <c r="Q233" s="117">
        <f t="shared" si="15"/>
        <v>0</v>
      </c>
      <c r="R233" s="118">
        <f t="shared" si="16"/>
        <v>0</v>
      </c>
      <c r="S233" s="119">
        <f t="shared" si="17"/>
        <v>0</v>
      </c>
      <c r="T233" s="118">
        <f t="shared" si="18"/>
        <v>0</v>
      </c>
      <c r="U233" s="120">
        <f t="shared" si="19"/>
        <v>0</v>
      </c>
    </row>
    <row r="234" spans="1:21" s="7" customFormat="1" ht="16.05" customHeight="1">
      <c r="A234" s="113" t="s">
        <v>95</v>
      </c>
      <c r="B234" s="114" t="str">
        <f>IF(ISNA(VLOOKUP($F234,Declarations!B$6:C$185,2,FALSE)),"",IF(VLOOKUP($F234,Declarations!B$6:C$185,2,FALSE)="","NOT DECLARED",IF(ISNA(_xlfn.TEXTBEFORE(VLOOKUP($F234,Declarations!B$6:C$185,2,FALSE)," ")),VLOOKUP($F234,Declarations!B$6:C$185,2,FALSE),_xlfn.TEXTBEFORE(VLOOKUP($F234,Declarations!B$6:C$185,2,FALSE)," "))))</f>
        <v/>
      </c>
      <c r="C234" s="114" t="str">
        <f>IF(ISNA(VLOOKUP($F234,Declarations!B$6:C$185,2,FALSE)),"",IF(VLOOKUP($F234,Declarations!B$6:C$185,2,FALSE)="","NOT DECLARED",IF(ISNA(_xlfn.TEXTAFTER(VLOOKUP($F234,Declarations!B$6:C$185,2,FALSE)," ")),VLOOKUP($F234,Declarations!B$6:C$185,2,FALSE),_xlfn.TEXTAFTER(VLOOKUP($F234,Declarations!B$6:C$185,2,FALSE)," "))))</f>
        <v/>
      </c>
      <c r="D234" s="114" t="str">
        <f>IF(ISNA(VLOOKUP($F234,Declarations!$B$6:$F$185,5,FALSE)),"",IF(VLOOKUP($F234,Declarations!$B$6:$F$185,5,FALSE)="","NOT DECLARED",VLOOKUP($F234,Declarations!$B$6:$F$185,5,FALSE)))</f>
        <v/>
      </c>
      <c r="E234" s="112" t="str">
        <f>IF(ISNA(VLOOKUP($F234,Declarations!$B$6:$D$185,3,FALSE)),"",IF(VLOOKUP($F234,Declarations!$B$6:$D$185,3,FALSE)="","NOT DECLARED",VLOOKUP($F234,Declarations!$B$6:$D$185,3,FALSE)&amp;LEFT(VLOOKUP($F234,Declarations!$B$6:$E$185,4,FALSE))))</f>
        <v/>
      </c>
      <c r="F234" s="58"/>
      <c r="G234" s="115">
        <v>0</v>
      </c>
      <c r="H234" s="281"/>
      <c r="I234" s="114" t="str">
        <f>IF(ISNA(VLOOKUP(F234,Declarations!B$6:C$185,2,FALSE)),"",IF(VLOOKUP(F234,Declarations!B$6:C$185,2,FALSE)="","NOT DECLARED",VLOOKUP(F234,Declarations!B$6:C$185,2,FALSE)))</f>
        <v/>
      </c>
      <c r="J234" s="116">
        <f>IF(LOWER(G234)="dnf",1,IF(U234&lt;ScoringTable!C$3,ScoringTable!I$2,VLOOKUP((1000-U234),ScoringTable!H$2:I$95,2)))</f>
        <v>0</v>
      </c>
      <c r="K234" s="112" t="str">
        <f>IF(OR(E234="",G234=""),"",IF(RIGHT(E234,1)="G",_xlfn.XLOOKUP(G234,Data!$D$11:$L$11,Data!$D$9:$L$9,"",1,1),_xlfn.XLOOKUP(G234,Data!$D$4:$L$4,Data!$D$2:$L$2,"",1,1)))</f>
        <v/>
      </c>
      <c r="L234" s="160" t="str" cm="1">
        <f t="array" ref="L234">IFERROR(_xlfn.IFNA(
                      _xlfn.IFS(
                      G234="", "",
                      G234=0, "",
                      AND(E234="U12B",G234&lt;=Data!$M$4), "U12 Boys record",
                      AND(E234="U12G",G234&lt;=Data!$M$11), "U12 Girls record"
                       ),""), "")</f>
        <v/>
      </c>
      <c r="M234" s="18" cm="1">
        <f t="array" ref="M234">_xlfn.IFS(OR($G234="",$G234=0),0, AND(NOT(ISNUMBER($G234)),LOWER($G234)&lt;&gt;"dnf"),"Not a valid time",OR(LOWER($G234)="dnf",$G234&gt;ScoringTable!$N$161),1,RIGHT($E234,1)="B",_xlfn.XLOOKUP($G234,ScoringTable!$N$2:$N$161,ScoringTable!$L$2:$L$161,,1),TRUE,_xlfn.XLOOKUP($G234,ScoringTable!$T$2:$T$161,ScoringTable!$R$2:$R$161,,1))</f>
        <v>0</v>
      </c>
      <c r="Q234" s="117">
        <f t="shared" si="15"/>
        <v>0</v>
      </c>
      <c r="R234" s="118">
        <f t="shared" si="16"/>
        <v>0</v>
      </c>
      <c r="S234" s="119">
        <f t="shared" si="17"/>
        <v>0</v>
      </c>
      <c r="T234" s="118">
        <f t="shared" si="18"/>
        <v>0</v>
      </c>
      <c r="U234" s="120">
        <f t="shared" si="19"/>
        <v>0</v>
      </c>
    </row>
    <row r="235" spans="1:21" s="7" customFormat="1" ht="16.05" customHeight="1">
      <c r="A235" s="113" t="s">
        <v>95</v>
      </c>
      <c r="B235" s="114" t="str">
        <f>IF(ISNA(VLOOKUP($F235,Declarations!B$6:C$185,2,FALSE)),"",IF(VLOOKUP($F235,Declarations!B$6:C$185,2,FALSE)="","NOT DECLARED",IF(ISNA(_xlfn.TEXTBEFORE(VLOOKUP($F235,Declarations!B$6:C$185,2,FALSE)," ")),VLOOKUP($F235,Declarations!B$6:C$185,2,FALSE),_xlfn.TEXTBEFORE(VLOOKUP($F235,Declarations!B$6:C$185,2,FALSE)," "))))</f>
        <v/>
      </c>
      <c r="C235" s="114" t="str">
        <f>IF(ISNA(VLOOKUP($F235,Declarations!B$6:C$185,2,FALSE)),"",IF(VLOOKUP($F235,Declarations!B$6:C$185,2,FALSE)="","NOT DECLARED",IF(ISNA(_xlfn.TEXTAFTER(VLOOKUP($F235,Declarations!B$6:C$185,2,FALSE)," ")),VLOOKUP($F235,Declarations!B$6:C$185,2,FALSE),_xlfn.TEXTAFTER(VLOOKUP($F235,Declarations!B$6:C$185,2,FALSE)," "))))</f>
        <v/>
      </c>
      <c r="D235" s="114" t="str">
        <f>IF(ISNA(VLOOKUP($F235,Declarations!$B$6:$F$185,5,FALSE)),"",IF(VLOOKUP($F235,Declarations!$B$6:$F$185,5,FALSE)="","NOT DECLARED",VLOOKUP($F235,Declarations!$B$6:$F$185,5,FALSE)))</f>
        <v/>
      </c>
      <c r="E235" s="112" t="str">
        <f>IF(ISNA(VLOOKUP($F235,Declarations!$B$6:$D$185,3,FALSE)),"",IF(VLOOKUP($F235,Declarations!$B$6:$D$185,3,FALSE)="","NOT DECLARED",VLOOKUP($F235,Declarations!$B$6:$D$185,3,FALSE)&amp;LEFT(VLOOKUP($F235,Declarations!$B$6:$E$185,4,FALSE))))</f>
        <v/>
      </c>
      <c r="F235" s="58"/>
      <c r="G235" s="115">
        <v>0</v>
      </c>
      <c r="H235" s="281"/>
      <c r="I235" s="114" t="str">
        <f>IF(ISNA(VLOOKUP(F235,Declarations!B$6:C$185,2,FALSE)),"",IF(VLOOKUP(F235,Declarations!B$6:C$185,2,FALSE)="","NOT DECLARED",VLOOKUP(F235,Declarations!B$6:C$185,2,FALSE)))</f>
        <v/>
      </c>
      <c r="J235" s="116">
        <f>IF(LOWER(G235)="dnf",1,IF(U235&lt;ScoringTable!C$3,ScoringTable!I$2,VLOOKUP((1000-U235),ScoringTable!H$2:I$95,2)))</f>
        <v>0</v>
      </c>
      <c r="K235" s="112" t="str">
        <f>IF(OR(E235="",G235=""),"",IF(RIGHT(E235,1)="G",_xlfn.XLOOKUP(G235,Data!$D$11:$L$11,Data!$D$9:$L$9,"",1,1),_xlfn.XLOOKUP(G235,Data!$D$4:$L$4,Data!$D$2:$L$2,"",1,1)))</f>
        <v/>
      </c>
      <c r="L235" s="160" t="str" cm="1">
        <f t="array" ref="L235">IFERROR(_xlfn.IFNA(
                      _xlfn.IFS(
                      G235="", "",
                      G235=0, "",
                      AND(E235="U12B",G235&lt;=Data!$M$4), "U12 Boys record",
                      AND(E235="U12G",G235&lt;=Data!$M$11), "U12 Girls record"
                       ),""), "")</f>
        <v/>
      </c>
      <c r="M235" s="18" cm="1">
        <f t="array" ref="M235">_xlfn.IFS(OR($G235="",$G235=0),0, AND(NOT(ISNUMBER($G235)),LOWER($G235)&lt;&gt;"dnf"),"Not a valid time",OR(LOWER($G235)="dnf",$G235&gt;ScoringTable!$N$161),1,RIGHT($E235,1)="B",_xlfn.XLOOKUP($G235,ScoringTable!$N$2:$N$161,ScoringTable!$L$2:$L$161,,1),TRUE,_xlfn.XLOOKUP($G235,ScoringTable!$T$2:$T$161,ScoringTable!$R$2:$R$161,,1))</f>
        <v>0</v>
      </c>
      <c r="Q235" s="117">
        <f t="shared" si="15"/>
        <v>0</v>
      </c>
      <c r="R235" s="118">
        <f t="shared" si="16"/>
        <v>0</v>
      </c>
      <c r="S235" s="119">
        <f t="shared" si="17"/>
        <v>0</v>
      </c>
      <c r="T235" s="118">
        <f t="shared" si="18"/>
        <v>0</v>
      </c>
      <c r="U235" s="120">
        <f t="shared" si="19"/>
        <v>0</v>
      </c>
    </row>
    <row r="236" spans="1:21" s="7" customFormat="1" ht="16.05" customHeight="1">
      <c r="A236" s="113" t="s">
        <v>95</v>
      </c>
      <c r="B236" s="114" t="str">
        <f>IF(ISNA(VLOOKUP($F236,Declarations!B$6:C$185,2,FALSE)),"",IF(VLOOKUP($F236,Declarations!B$6:C$185,2,FALSE)="","NOT DECLARED",IF(ISNA(_xlfn.TEXTBEFORE(VLOOKUP($F236,Declarations!B$6:C$185,2,FALSE)," ")),VLOOKUP($F236,Declarations!B$6:C$185,2,FALSE),_xlfn.TEXTBEFORE(VLOOKUP($F236,Declarations!B$6:C$185,2,FALSE)," "))))</f>
        <v/>
      </c>
      <c r="C236" s="114" t="str">
        <f>IF(ISNA(VLOOKUP($F236,Declarations!B$6:C$185,2,FALSE)),"",IF(VLOOKUP($F236,Declarations!B$6:C$185,2,FALSE)="","NOT DECLARED",IF(ISNA(_xlfn.TEXTAFTER(VLOOKUP($F236,Declarations!B$6:C$185,2,FALSE)," ")),VLOOKUP($F236,Declarations!B$6:C$185,2,FALSE),_xlfn.TEXTAFTER(VLOOKUP($F236,Declarations!B$6:C$185,2,FALSE)," "))))</f>
        <v/>
      </c>
      <c r="D236" s="114" t="str">
        <f>IF(ISNA(VLOOKUP($F236,Declarations!$B$6:$F$185,5,FALSE)),"",IF(VLOOKUP($F236,Declarations!$B$6:$F$185,5,FALSE)="","NOT DECLARED",VLOOKUP($F236,Declarations!$B$6:$F$185,5,FALSE)))</f>
        <v/>
      </c>
      <c r="E236" s="112" t="str">
        <f>IF(ISNA(VLOOKUP($F236,Declarations!$B$6:$D$185,3,FALSE)),"",IF(VLOOKUP($F236,Declarations!$B$6:$D$185,3,FALSE)="","NOT DECLARED",VLOOKUP($F236,Declarations!$B$6:$D$185,3,FALSE)&amp;LEFT(VLOOKUP($F236,Declarations!$B$6:$E$185,4,FALSE))))</f>
        <v/>
      </c>
      <c r="F236" s="58"/>
      <c r="G236" s="115">
        <v>0</v>
      </c>
      <c r="H236" s="281"/>
      <c r="I236" s="114" t="str">
        <f>IF(ISNA(VLOOKUP(F236,Declarations!B$6:C$185,2,FALSE)),"",IF(VLOOKUP(F236,Declarations!B$6:C$185,2,FALSE)="","NOT DECLARED",VLOOKUP(F236,Declarations!B$6:C$185,2,FALSE)))</f>
        <v/>
      </c>
      <c r="J236" s="116">
        <f>IF(LOWER(G236)="dnf",1,IF(U236&lt;ScoringTable!C$3,ScoringTable!I$2,VLOOKUP((1000-U236),ScoringTable!H$2:I$95,2)))</f>
        <v>0</v>
      </c>
      <c r="K236" s="112" t="str">
        <f>IF(OR(E236="",G236=""),"",IF(RIGHT(E236,1)="G",_xlfn.XLOOKUP(G236,Data!$D$11:$L$11,Data!$D$9:$L$9,"",1,1),_xlfn.XLOOKUP(G236,Data!$D$4:$L$4,Data!$D$2:$L$2,"",1,1)))</f>
        <v/>
      </c>
      <c r="L236" s="160" t="str" cm="1">
        <f t="array" ref="L236">IFERROR(_xlfn.IFNA(
                      _xlfn.IFS(
                      G236="", "",
                      G236=0, "",
                      AND(E236="U12B",G236&lt;=Data!$M$4), "U12 Boys record",
                      AND(E236="U12G",G236&lt;=Data!$M$11), "U12 Girls record"
                       ),""), "")</f>
        <v/>
      </c>
      <c r="M236" s="18" cm="1">
        <f t="array" ref="M236">_xlfn.IFS(OR($G236="",$G236=0),0, AND(NOT(ISNUMBER($G236)),LOWER($G236)&lt;&gt;"dnf"),"Not a valid time",OR(LOWER($G236)="dnf",$G236&gt;ScoringTable!$N$161),1,RIGHT($E236,1)="B",_xlfn.XLOOKUP($G236,ScoringTable!$N$2:$N$161,ScoringTable!$L$2:$L$161,,1),TRUE,_xlfn.XLOOKUP($G236,ScoringTable!$T$2:$T$161,ScoringTable!$R$2:$R$161,,1))</f>
        <v>0</v>
      </c>
      <c r="Q236" s="117">
        <f t="shared" si="15"/>
        <v>0</v>
      </c>
      <c r="R236" s="118">
        <f t="shared" si="16"/>
        <v>0</v>
      </c>
      <c r="S236" s="119">
        <f t="shared" si="17"/>
        <v>0</v>
      </c>
      <c r="T236" s="118">
        <f t="shared" si="18"/>
        <v>0</v>
      </c>
      <c r="U236" s="120">
        <f t="shared" si="19"/>
        <v>0</v>
      </c>
    </row>
    <row r="237" spans="1:21" s="7" customFormat="1" ht="16.05" customHeight="1">
      <c r="A237" s="113" t="s">
        <v>95</v>
      </c>
      <c r="B237" s="114" t="str">
        <f>IF(ISNA(VLOOKUP($F237,Declarations!B$6:C$185,2,FALSE)),"",IF(VLOOKUP($F237,Declarations!B$6:C$185,2,FALSE)="","NOT DECLARED",IF(ISNA(_xlfn.TEXTBEFORE(VLOOKUP($F237,Declarations!B$6:C$185,2,FALSE)," ")),VLOOKUP($F237,Declarations!B$6:C$185,2,FALSE),_xlfn.TEXTBEFORE(VLOOKUP($F237,Declarations!B$6:C$185,2,FALSE)," "))))</f>
        <v/>
      </c>
      <c r="C237" s="114" t="str">
        <f>IF(ISNA(VLOOKUP($F237,Declarations!B$6:C$185,2,FALSE)),"",IF(VLOOKUP($F237,Declarations!B$6:C$185,2,FALSE)="","NOT DECLARED",IF(ISNA(_xlfn.TEXTAFTER(VLOOKUP($F237,Declarations!B$6:C$185,2,FALSE)," ")),VLOOKUP($F237,Declarations!B$6:C$185,2,FALSE),_xlfn.TEXTAFTER(VLOOKUP($F237,Declarations!B$6:C$185,2,FALSE)," "))))</f>
        <v/>
      </c>
      <c r="D237" s="114" t="str">
        <f>IF(ISNA(VLOOKUP($F237,Declarations!$B$6:$F$185,5,FALSE)),"",IF(VLOOKUP($F237,Declarations!$B$6:$F$185,5,FALSE)="","NOT DECLARED",VLOOKUP($F237,Declarations!$B$6:$F$185,5,FALSE)))</f>
        <v/>
      </c>
      <c r="E237" s="112" t="str">
        <f>IF(ISNA(VLOOKUP($F237,Declarations!$B$6:$D$185,3,FALSE)),"",IF(VLOOKUP($F237,Declarations!$B$6:$D$185,3,FALSE)="","NOT DECLARED",VLOOKUP($F237,Declarations!$B$6:$D$185,3,FALSE)&amp;LEFT(VLOOKUP($F237,Declarations!$B$6:$E$185,4,FALSE))))</f>
        <v/>
      </c>
      <c r="F237" s="58"/>
      <c r="G237" s="115">
        <v>0</v>
      </c>
      <c r="H237" s="281"/>
      <c r="I237" s="114" t="str">
        <f>IF(ISNA(VLOOKUP(F237,Declarations!B$6:C$185,2,FALSE)),"",IF(VLOOKUP(F237,Declarations!B$6:C$185,2,FALSE)="","NOT DECLARED",VLOOKUP(F237,Declarations!B$6:C$185,2,FALSE)))</f>
        <v/>
      </c>
      <c r="J237" s="116">
        <f>IF(LOWER(G237)="dnf",1,IF(U237&lt;ScoringTable!C$3,ScoringTable!I$2,VLOOKUP((1000-U237),ScoringTable!H$2:I$95,2)))</f>
        <v>0</v>
      </c>
      <c r="K237" s="112" t="str">
        <f>IF(OR(E237="",G237=""),"",IF(RIGHT(E237,1)="G",_xlfn.XLOOKUP(G237,Data!$D$11:$L$11,Data!$D$9:$L$9,"",1,1),_xlfn.XLOOKUP(G237,Data!$D$4:$L$4,Data!$D$2:$L$2,"",1,1)))</f>
        <v/>
      </c>
      <c r="L237" s="160" t="str" cm="1">
        <f t="array" ref="L237">IFERROR(_xlfn.IFNA(
                      _xlfn.IFS(
                      G237="", "",
                      G237=0, "",
                      AND(E237="U12B",G237&lt;=Data!$M$4), "U12 Boys record",
                      AND(E237="U12G",G237&lt;=Data!$M$11), "U12 Girls record"
                       ),""), "")</f>
        <v/>
      </c>
      <c r="M237" s="18" cm="1">
        <f t="array" ref="M237">_xlfn.IFS(OR($G237="",$G237=0),0, AND(NOT(ISNUMBER($G237)),LOWER($G237)&lt;&gt;"dnf"),"Not a valid time",OR(LOWER($G237)="dnf",$G237&gt;ScoringTable!$N$161),1,RIGHT($E237,1)="B",_xlfn.XLOOKUP($G237,ScoringTable!$N$2:$N$161,ScoringTable!$L$2:$L$161,,1),TRUE,_xlfn.XLOOKUP($G237,ScoringTable!$T$2:$T$161,ScoringTable!$R$2:$R$161,,1))</f>
        <v>0</v>
      </c>
      <c r="Q237" s="117">
        <f t="shared" si="15"/>
        <v>0</v>
      </c>
      <c r="R237" s="118">
        <f t="shared" si="16"/>
        <v>0</v>
      </c>
      <c r="S237" s="119">
        <f t="shared" si="17"/>
        <v>0</v>
      </c>
      <c r="T237" s="118">
        <f t="shared" si="18"/>
        <v>0</v>
      </c>
      <c r="U237" s="120">
        <f t="shared" si="19"/>
        <v>0</v>
      </c>
    </row>
    <row r="238" spans="1:21" s="7" customFormat="1" ht="16.05" customHeight="1">
      <c r="A238" s="113" t="s">
        <v>95</v>
      </c>
      <c r="B238" s="114" t="str">
        <f>IF(ISNA(VLOOKUP($F238,Declarations!B$6:C$185,2,FALSE)),"",IF(VLOOKUP($F238,Declarations!B$6:C$185,2,FALSE)="","NOT DECLARED",IF(ISNA(_xlfn.TEXTBEFORE(VLOOKUP($F238,Declarations!B$6:C$185,2,FALSE)," ")),VLOOKUP($F238,Declarations!B$6:C$185,2,FALSE),_xlfn.TEXTBEFORE(VLOOKUP($F238,Declarations!B$6:C$185,2,FALSE)," "))))</f>
        <v/>
      </c>
      <c r="C238" s="114" t="str">
        <f>IF(ISNA(VLOOKUP($F238,Declarations!B$6:C$185,2,FALSE)),"",IF(VLOOKUP($F238,Declarations!B$6:C$185,2,FALSE)="","NOT DECLARED",IF(ISNA(_xlfn.TEXTAFTER(VLOOKUP($F238,Declarations!B$6:C$185,2,FALSE)," ")),VLOOKUP($F238,Declarations!B$6:C$185,2,FALSE),_xlfn.TEXTAFTER(VLOOKUP($F238,Declarations!B$6:C$185,2,FALSE)," "))))</f>
        <v/>
      </c>
      <c r="D238" s="114" t="str">
        <f>IF(ISNA(VLOOKUP($F238,Declarations!$B$6:$F$185,5,FALSE)),"",IF(VLOOKUP($F238,Declarations!$B$6:$F$185,5,FALSE)="","NOT DECLARED",VLOOKUP($F238,Declarations!$B$6:$F$185,5,FALSE)))</f>
        <v/>
      </c>
      <c r="E238" s="112" t="str">
        <f>IF(ISNA(VLOOKUP($F238,Declarations!$B$6:$D$185,3,FALSE)),"",IF(VLOOKUP($F238,Declarations!$B$6:$D$185,3,FALSE)="","NOT DECLARED",VLOOKUP($F238,Declarations!$B$6:$D$185,3,FALSE)&amp;LEFT(VLOOKUP($F238,Declarations!$B$6:$E$185,4,FALSE))))</f>
        <v/>
      </c>
      <c r="F238" s="58"/>
      <c r="G238" s="115">
        <v>0</v>
      </c>
      <c r="H238" s="281"/>
      <c r="I238" s="114" t="str">
        <f>IF(ISNA(VLOOKUP(F238,Declarations!B$6:C$185,2,FALSE)),"",IF(VLOOKUP(F238,Declarations!B$6:C$185,2,FALSE)="","NOT DECLARED",VLOOKUP(F238,Declarations!B$6:C$185,2,FALSE)))</f>
        <v/>
      </c>
      <c r="J238" s="116">
        <f>IF(LOWER(G238)="dnf",1,IF(U238&lt;ScoringTable!C$3,ScoringTable!I$2,VLOOKUP((1000-U238),ScoringTable!H$2:I$95,2)))</f>
        <v>0</v>
      </c>
      <c r="K238" s="112" t="str">
        <f>IF(OR(E238="",G238=""),"",IF(RIGHT(E238,1)="G",_xlfn.XLOOKUP(G238,Data!$D$11:$L$11,Data!$D$9:$L$9,"",1,1),_xlfn.XLOOKUP(G238,Data!$D$4:$L$4,Data!$D$2:$L$2,"",1,1)))</f>
        <v/>
      </c>
      <c r="L238" s="160" t="str" cm="1">
        <f t="array" ref="L238">IFERROR(_xlfn.IFNA(
                      _xlfn.IFS(
                      G238="", "",
                      G238=0, "",
                      AND(E238="U12B",G238&lt;=Data!$M$4), "U12 Boys record",
                      AND(E238="U12G",G238&lt;=Data!$M$11), "U12 Girls record"
                       ),""), "")</f>
        <v/>
      </c>
      <c r="M238" s="18" cm="1">
        <f t="array" ref="M238">_xlfn.IFS(OR($G238="",$G238=0),0, AND(NOT(ISNUMBER($G238)),LOWER($G238)&lt;&gt;"dnf"),"Not a valid time",OR(LOWER($G238)="dnf",$G238&gt;ScoringTable!$N$161),1,RIGHT($E238,1)="B",_xlfn.XLOOKUP($G238,ScoringTable!$N$2:$N$161,ScoringTable!$L$2:$L$161,,1),TRUE,_xlfn.XLOOKUP($G238,ScoringTable!$T$2:$T$161,ScoringTable!$R$2:$R$161,,1))</f>
        <v>0</v>
      </c>
      <c r="Q238" s="117">
        <f t="shared" si="15"/>
        <v>0</v>
      </c>
      <c r="R238" s="118">
        <f t="shared" si="16"/>
        <v>0</v>
      </c>
      <c r="S238" s="119">
        <f t="shared" si="17"/>
        <v>0</v>
      </c>
      <c r="T238" s="118">
        <f t="shared" si="18"/>
        <v>0</v>
      </c>
      <c r="U238" s="120">
        <f t="shared" si="19"/>
        <v>0</v>
      </c>
    </row>
    <row r="239" spans="1:21" s="7" customFormat="1" ht="16.05" customHeight="1">
      <c r="A239" s="113" t="s">
        <v>95</v>
      </c>
      <c r="B239" s="114" t="str">
        <f>IF(ISNA(VLOOKUP($F239,Declarations!B$6:C$185,2,FALSE)),"",IF(VLOOKUP($F239,Declarations!B$6:C$185,2,FALSE)="","NOT DECLARED",IF(ISNA(_xlfn.TEXTBEFORE(VLOOKUP($F239,Declarations!B$6:C$185,2,FALSE)," ")),VLOOKUP($F239,Declarations!B$6:C$185,2,FALSE),_xlfn.TEXTBEFORE(VLOOKUP($F239,Declarations!B$6:C$185,2,FALSE)," "))))</f>
        <v/>
      </c>
      <c r="C239" s="114" t="str">
        <f>IF(ISNA(VLOOKUP($F239,Declarations!B$6:C$185,2,FALSE)),"",IF(VLOOKUP($F239,Declarations!B$6:C$185,2,FALSE)="","NOT DECLARED",IF(ISNA(_xlfn.TEXTAFTER(VLOOKUP($F239,Declarations!B$6:C$185,2,FALSE)," ")),VLOOKUP($F239,Declarations!B$6:C$185,2,FALSE),_xlfn.TEXTAFTER(VLOOKUP($F239,Declarations!B$6:C$185,2,FALSE)," "))))</f>
        <v/>
      </c>
      <c r="D239" s="114" t="str">
        <f>IF(ISNA(VLOOKUP($F239,Declarations!$B$6:$F$185,5,FALSE)),"",IF(VLOOKUP($F239,Declarations!$B$6:$F$185,5,FALSE)="","NOT DECLARED",VLOOKUP($F239,Declarations!$B$6:$F$185,5,FALSE)))</f>
        <v/>
      </c>
      <c r="E239" s="112" t="str">
        <f>IF(ISNA(VLOOKUP($F239,Declarations!$B$6:$D$185,3,FALSE)),"",IF(VLOOKUP($F239,Declarations!$B$6:$D$185,3,FALSE)="","NOT DECLARED",VLOOKUP($F239,Declarations!$B$6:$D$185,3,FALSE)&amp;LEFT(VLOOKUP($F239,Declarations!$B$6:$E$185,4,FALSE))))</f>
        <v/>
      </c>
      <c r="F239" s="58"/>
      <c r="G239" s="115">
        <v>0</v>
      </c>
      <c r="H239" s="281"/>
      <c r="I239" s="114" t="str">
        <f>IF(ISNA(VLOOKUP(F239,Declarations!B$6:C$185,2,FALSE)),"",IF(VLOOKUP(F239,Declarations!B$6:C$185,2,FALSE)="","NOT DECLARED",VLOOKUP(F239,Declarations!B$6:C$185,2,FALSE)))</f>
        <v/>
      </c>
      <c r="J239" s="116">
        <f>IF(LOWER(G239)="dnf",1,IF(U239&lt;ScoringTable!C$3,ScoringTable!I$2,VLOOKUP((1000-U239),ScoringTable!H$2:I$95,2)))</f>
        <v>0</v>
      </c>
      <c r="K239" s="112" t="str">
        <f>IF(OR(E239="",G239=""),"",IF(RIGHT(E239,1)="G",_xlfn.XLOOKUP(G239,Data!$D$11:$L$11,Data!$D$9:$L$9,"",1,1),_xlfn.XLOOKUP(G239,Data!$D$4:$L$4,Data!$D$2:$L$2,"",1,1)))</f>
        <v/>
      </c>
      <c r="L239" s="160" t="str" cm="1">
        <f t="array" ref="L239">IFERROR(_xlfn.IFNA(
                      _xlfn.IFS(
                      G239="", "",
                      G239=0, "",
                      AND(E239="U12B",G239&lt;=Data!$M$4), "U12 Boys record",
                      AND(E239="U12G",G239&lt;=Data!$M$11), "U12 Girls record"
                       ),""), "")</f>
        <v/>
      </c>
      <c r="M239" s="18" cm="1">
        <f t="array" ref="M239">_xlfn.IFS(OR($G239="",$G239=0),0, AND(NOT(ISNUMBER($G239)),LOWER($G239)&lt;&gt;"dnf"),"Not a valid time",OR(LOWER($G239)="dnf",$G239&gt;ScoringTable!$N$161),1,RIGHT($E239,1)="B",_xlfn.XLOOKUP($G239,ScoringTable!$N$2:$N$161,ScoringTable!$L$2:$L$161,,1),TRUE,_xlfn.XLOOKUP($G239,ScoringTable!$T$2:$T$161,ScoringTable!$R$2:$R$161,,1))</f>
        <v>0</v>
      </c>
      <c r="Q239" s="117">
        <f t="shared" si="15"/>
        <v>0</v>
      </c>
      <c r="R239" s="118">
        <f t="shared" si="16"/>
        <v>0</v>
      </c>
      <c r="S239" s="119">
        <f t="shared" si="17"/>
        <v>0</v>
      </c>
      <c r="T239" s="118">
        <f t="shared" si="18"/>
        <v>0</v>
      </c>
      <c r="U239" s="120">
        <f t="shared" si="19"/>
        <v>0</v>
      </c>
    </row>
    <row r="240" spans="1:21" s="7" customFormat="1" ht="16.05" customHeight="1">
      <c r="A240" s="113" t="s">
        <v>95</v>
      </c>
      <c r="B240" s="114" t="str">
        <f>IF(ISNA(VLOOKUP($F240,Declarations!B$6:C$185,2,FALSE)),"",IF(VLOOKUP($F240,Declarations!B$6:C$185,2,FALSE)="","NOT DECLARED",IF(ISNA(_xlfn.TEXTBEFORE(VLOOKUP($F240,Declarations!B$6:C$185,2,FALSE)," ")),VLOOKUP($F240,Declarations!B$6:C$185,2,FALSE),_xlfn.TEXTBEFORE(VLOOKUP($F240,Declarations!B$6:C$185,2,FALSE)," "))))</f>
        <v/>
      </c>
      <c r="C240" s="114" t="str">
        <f>IF(ISNA(VLOOKUP($F240,Declarations!B$6:C$185,2,FALSE)),"",IF(VLOOKUP($F240,Declarations!B$6:C$185,2,FALSE)="","NOT DECLARED",IF(ISNA(_xlfn.TEXTAFTER(VLOOKUP($F240,Declarations!B$6:C$185,2,FALSE)," ")),VLOOKUP($F240,Declarations!B$6:C$185,2,FALSE),_xlfn.TEXTAFTER(VLOOKUP($F240,Declarations!B$6:C$185,2,FALSE)," "))))</f>
        <v/>
      </c>
      <c r="D240" s="114" t="str">
        <f>IF(ISNA(VLOOKUP($F240,Declarations!$B$6:$F$185,5,FALSE)),"",IF(VLOOKUP($F240,Declarations!$B$6:$F$185,5,FALSE)="","NOT DECLARED",VLOOKUP($F240,Declarations!$B$6:$F$185,5,FALSE)))</f>
        <v/>
      </c>
      <c r="E240" s="112" t="str">
        <f>IF(ISNA(VLOOKUP($F240,Declarations!$B$6:$D$185,3,FALSE)),"",IF(VLOOKUP($F240,Declarations!$B$6:$D$185,3,FALSE)="","NOT DECLARED",VLOOKUP($F240,Declarations!$B$6:$D$185,3,FALSE)&amp;LEFT(VLOOKUP($F240,Declarations!$B$6:$E$185,4,FALSE))))</f>
        <v/>
      </c>
      <c r="F240" s="58"/>
      <c r="G240" s="115">
        <v>0</v>
      </c>
      <c r="H240" s="281"/>
      <c r="I240" s="114" t="str">
        <f>IF(ISNA(VLOOKUP(F240,Declarations!B$6:C$185,2,FALSE)),"",IF(VLOOKUP(F240,Declarations!B$6:C$185,2,FALSE)="","NOT DECLARED",VLOOKUP(F240,Declarations!B$6:C$185,2,FALSE)))</f>
        <v/>
      </c>
      <c r="J240" s="116">
        <f>IF(LOWER(G240)="dnf",1,IF(U240&lt;ScoringTable!C$3,ScoringTable!I$2,VLOOKUP((1000-U240),ScoringTable!H$2:I$95,2)))</f>
        <v>0</v>
      </c>
      <c r="K240" s="112" t="str">
        <f>IF(OR(E240="",G240=""),"",IF(RIGHT(E240,1)="G",_xlfn.XLOOKUP(G240,Data!$D$11:$L$11,Data!$D$9:$L$9,"",1,1),_xlfn.XLOOKUP(G240,Data!$D$4:$L$4,Data!$D$2:$L$2,"",1,1)))</f>
        <v/>
      </c>
      <c r="L240" s="160" t="str" cm="1">
        <f t="array" ref="L240">IFERROR(_xlfn.IFNA(
                      _xlfn.IFS(
                      G240="", "",
                      G240=0, "",
                      AND(E240="U12B",G240&lt;=Data!$M$4), "U12 Boys record",
                      AND(E240="U12G",G240&lt;=Data!$M$11), "U12 Girls record"
                       ),""), "")</f>
        <v/>
      </c>
      <c r="M240" s="18" cm="1">
        <f t="array" ref="M240">_xlfn.IFS(OR($G240="",$G240=0),0, AND(NOT(ISNUMBER($G240)),LOWER($G240)&lt;&gt;"dnf"),"Not a valid time",OR(LOWER($G240)="dnf",$G240&gt;ScoringTable!$N$161),1,RIGHT($E240,1)="B",_xlfn.XLOOKUP($G240,ScoringTable!$N$2:$N$161,ScoringTable!$L$2:$L$161,,1),TRUE,_xlfn.XLOOKUP($G240,ScoringTable!$T$2:$T$161,ScoringTable!$R$2:$R$161,,1))</f>
        <v>0</v>
      </c>
      <c r="Q240" s="117">
        <f t="shared" si="15"/>
        <v>0</v>
      </c>
      <c r="R240" s="118">
        <f t="shared" si="16"/>
        <v>0</v>
      </c>
      <c r="S240" s="119">
        <f t="shared" si="17"/>
        <v>0</v>
      </c>
      <c r="T240" s="118">
        <f t="shared" si="18"/>
        <v>0</v>
      </c>
      <c r="U240" s="120">
        <f t="shared" si="19"/>
        <v>0</v>
      </c>
    </row>
    <row r="241" spans="1:21" s="7" customFormat="1" ht="16.05" customHeight="1">
      <c r="A241" s="113" t="s">
        <v>95</v>
      </c>
      <c r="B241" s="114" t="str">
        <f>IF(ISNA(VLOOKUP($F241,Declarations!B$6:C$185,2,FALSE)),"",IF(VLOOKUP($F241,Declarations!B$6:C$185,2,FALSE)="","NOT DECLARED",IF(ISNA(_xlfn.TEXTBEFORE(VLOOKUP($F241,Declarations!B$6:C$185,2,FALSE)," ")),VLOOKUP($F241,Declarations!B$6:C$185,2,FALSE),_xlfn.TEXTBEFORE(VLOOKUP($F241,Declarations!B$6:C$185,2,FALSE)," "))))</f>
        <v/>
      </c>
      <c r="C241" s="114" t="str">
        <f>IF(ISNA(VLOOKUP($F241,Declarations!B$6:C$185,2,FALSE)),"",IF(VLOOKUP($F241,Declarations!B$6:C$185,2,FALSE)="","NOT DECLARED",IF(ISNA(_xlfn.TEXTAFTER(VLOOKUP($F241,Declarations!B$6:C$185,2,FALSE)," ")),VLOOKUP($F241,Declarations!B$6:C$185,2,FALSE),_xlfn.TEXTAFTER(VLOOKUP($F241,Declarations!B$6:C$185,2,FALSE)," "))))</f>
        <v/>
      </c>
      <c r="D241" s="114" t="str">
        <f>IF(ISNA(VLOOKUP($F241,Declarations!$B$6:$F$185,5,FALSE)),"",IF(VLOOKUP($F241,Declarations!$B$6:$F$185,5,FALSE)="","NOT DECLARED",VLOOKUP($F241,Declarations!$B$6:$F$185,5,FALSE)))</f>
        <v/>
      </c>
      <c r="E241" s="112" t="str">
        <f>IF(ISNA(VLOOKUP($F241,Declarations!$B$6:$D$185,3,FALSE)),"",IF(VLOOKUP($F241,Declarations!$B$6:$D$185,3,FALSE)="","NOT DECLARED",VLOOKUP($F241,Declarations!$B$6:$D$185,3,FALSE)&amp;LEFT(VLOOKUP($F241,Declarations!$B$6:$E$185,4,FALSE))))</f>
        <v/>
      </c>
      <c r="F241" s="58"/>
      <c r="G241" s="115">
        <v>0</v>
      </c>
      <c r="H241" s="281"/>
      <c r="I241" s="114" t="str">
        <f>IF(ISNA(VLOOKUP(F241,Declarations!B$6:C$185,2,FALSE)),"",IF(VLOOKUP(F241,Declarations!B$6:C$185,2,FALSE)="","NOT DECLARED",VLOOKUP(F241,Declarations!B$6:C$185,2,FALSE)))</f>
        <v/>
      </c>
      <c r="J241" s="116">
        <f>IF(LOWER(G241)="dnf",1,IF(U241&lt;ScoringTable!C$3,ScoringTable!I$2,VLOOKUP((1000-U241),ScoringTable!H$2:I$95,2)))</f>
        <v>0</v>
      </c>
      <c r="K241" s="112" t="str">
        <f>IF(OR(E241="",G241=""),"",IF(RIGHT(E241,1)="G",_xlfn.XLOOKUP(G241,Data!$D$11:$L$11,Data!$D$9:$L$9,"",1,1),_xlfn.XLOOKUP(G241,Data!$D$4:$L$4,Data!$D$2:$L$2,"",1,1)))</f>
        <v/>
      </c>
      <c r="L241" s="160" t="str" cm="1">
        <f t="array" ref="L241">IFERROR(_xlfn.IFNA(
                      _xlfn.IFS(
                      G241="", "",
                      G241=0, "",
                      AND(E241="U12B",G241&lt;=Data!$M$4), "U12 Boys record",
                      AND(E241="U12G",G241&lt;=Data!$M$11), "U12 Girls record"
                       ),""), "")</f>
        <v/>
      </c>
      <c r="M241" s="18" cm="1">
        <f t="array" ref="M241">_xlfn.IFS(OR($G241="",$G241=0),0, AND(NOT(ISNUMBER($G241)),LOWER($G241)&lt;&gt;"dnf"),"Not a valid time",OR(LOWER($G241)="dnf",$G241&gt;ScoringTable!$N$161),1,RIGHT($E241,1)="B",_xlfn.XLOOKUP($G241,ScoringTable!$N$2:$N$161,ScoringTable!$L$2:$L$161,,1),TRUE,_xlfn.XLOOKUP($G241,ScoringTable!$T$2:$T$161,ScoringTable!$R$2:$R$161,,1))</f>
        <v>0</v>
      </c>
      <c r="Q241" s="117">
        <f t="shared" si="15"/>
        <v>0</v>
      </c>
      <c r="R241" s="118">
        <f t="shared" si="16"/>
        <v>0</v>
      </c>
      <c r="S241" s="119">
        <f t="shared" si="17"/>
        <v>0</v>
      </c>
      <c r="T241" s="118">
        <f t="shared" si="18"/>
        <v>0</v>
      </c>
      <c r="U241" s="120">
        <f t="shared" si="19"/>
        <v>0</v>
      </c>
    </row>
    <row r="242" spans="1:21" s="7" customFormat="1" ht="16.05" customHeight="1">
      <c r="A242" s="113" t="s">
        <v>95</v>
      </c>
      <c r="B242" s="114" t="str">
        <f>IF(ISNA(VLOOKUP($F242,Declarations!B$6:C$185,2,FALSE)),"",IF(VLOOKUP($F242,Declarations!B$6:C$185,2,FALSE)="","NOT DECLARED",IF(ISNA(_xlfn.TEXTBEFORE(VLOOKUP($F242,Declarations!B$6:C$185,2,FALSE)," ")),VLOOKUP($F242,Declarations!B$6:C$185,2,FALSE),_xlfn.TEXTBEFORE(VLOOKUP($F242,Declarations!B$6:C$185,2,FALSE)," "))))</f>
        <v/>
      </c>
      <c r="C242" s="114" t="str">
        <f>IF(ISNA(VLOOKUP($F242,Declarations!B$6:C$185,2,FALSE)),"",IF(VLOOKUP($F242,Declarations!B$6:C$185,2,FALSE)="","NOT DECLARED",IF(ISNA(_xlfn.TEXTAFTER(VLOOKUP($F242,Declarations!B$6:C$185,2,FALSE)," ")),VLOOKUP($F242,Declarations!B$6:C$185,2,FALSE),_xlfn.TEXTAFTER(VLOOKUP($F242,Declarations!B$6:C$185,2,FALSE)," "))))</f>
        <v/>
      </c>
      <c r="D242" s="114" t="str">
        <f>IF(ISNA(VLOOKUP($F242,Declarations!$B$6:$F$185,5,FALSE)),"",IF(VLOOKUP($F242,Declarations!$B$6:$F$185,5,FALSE)="","NOT DECLARED",VLOOKUP($F242,Declarations!$B$6:$F$185,5,FALSE)))</f>
        <v/>
      </c>
      <c r="E242" s="112" t="str">
        <f>IF(ISNA(VLOOKUP($F242,Declarations!$B$6:$D$185,3,FALSE)),"",IF(VLOOKUP($F242,Declarations!$B$6:$D$185,3,FALSE)="","NOT DECLARED",VLOOKUP($F242,Declarations!$B$6:$D$185,3,FALSE)&amp;LEFT(VLOOKUP($F242,Declarations!$B$6:$E$185,4,FALSE))))</f>
        <v/>
      </c>
      <c r="F242" s="58"/>
      <c r="G242" s="115">
        <v>0</v>
      </c>
      <c r="H242" s="281"/>
      <c r="I242" s="114" t="str">
        <f>IF(ISNA(VLOOKUP(F242,Declarations!B$6:C$185,2,FALSE)),"",IF(VLOOKUP(F242,Declarations!B$6:C$185,2,FALSE)="","NOT DECLARED",VLOOKUP(F242,Declarations!B$6:C$185,2,FALSE)))</f>
        <v/>
      </c>
      <c r="J242" s="116">
        <f>IF(LOWER(G242)="dnf",1,IF(U242&lt;ScoringTable!C$3,ScoringTable!I$2,VLOOKUP((1000-U242),ScoringTable!H$2:I$95,2)))</f>
        <v>0</v>
      </c>
      <c r="K242" s="112" t="str">
        <f>IF(OR(E242="",G242=""),"",IF(RIGHT(E242,1)="G",_xlfn.XLOOKUP(G242,Data!$D$11:$L$11,Data!$D$9:$L$9,"",1,1),_xlfn.XLOOKUP(G242,Data!$D$4:$L$4,Data!$D$2:$L$2,"",1,1)))</f>
        <v/>
      </c>
      <c r="L242" s="160" t="str" cm="1">
        <f t="array" ref="L242">IFERROR(_xlfn.IFNA(
                      _xlfn.IFS(
                      G242="", "",
                      G242=0, "",
                      AND(E242="U12B",G242&lt;=Data!$M$4), "U12 Boys record",
                      AND(E242="U12G",G242&lt;=Data!$M$11), "U12 Girls record"
                       ),""), "")</f>
        <v/>
      </c>
      <c r="M242" s="18" cm="1">
        <f t="array" ref="M242">_xlfn.IFS(OR($G242="",$G242=0),0, AND(NOT(ISNUMBER($G242)),LOWER($G242)&lt;&gt;"dnf"),"Not a valid time",OR(LOWER($G242)="dnf",$G242&gt;ScoringTable!$N$161),1,RIGHT($E242,1)="B",_xlfn.XLOOKUP($G242,ScoringTable!$N$2:$N$161,ScoringTable!$L$2:$L$161,,1),TRUE,_xlfn.XLOOKUP($G242,ScoringTable!$T$2:$T$161,ScoringTable!$R$2:$R$161,,1))</f>
        <v>0</v>
      </c>
      <c r="Q242" s="117">
        <f t="shared" si="15"/>
        <v>0</v>
      </c>
      <c r="R242" s="118">
        <f t="shared" si="16"/>
        <v>0</v>
      </c>
      <c r="S242" s="119">
        <f t="shared" si="17"/>
        <v>0</v>
      </c>
      <c r="T242" s="118">
        <f t="shared" si="18"/>
        <v>0</v>
      </c>
      <c r="U242" s="120">
        <f t="shared" si="19"/>
        <v>0</v>
      </c>
    </row>
    <row r="243" spans="1:21" s="7" customFormat="1" ht="16.05" customHeight="1">
      <c r="A243" s="113" t="s">
        <v>95</v>
      </c>
      <c r="B243" s="114" t="str">
        <f>IF(ISNA(VLOOKUP($F243,Declarations!B$6:C$185,2,FALSE)),"",IF(VLOOKUP($F243,Declarations!B$6:C$185,2,FALSE)="","NOT DECLARED",IF(ISNA(_xlfn.TEXTBEFORE(VLOOKUP($F243,Declarations!B$6:C$185,2,FALSE)," ")),VLOOKUP($F243,Declarations!B$6:C$185,2,FALSE),_xlfn.TEXTBEFORE(VLOOKUP($F243,Declarations!B$6:C$185,2,FALSE)," "))))</f>
        <v/>
      </c>
      <c r="C243" s="114" t="str">
        <f>IF(ISNA(VLOOKUP($F243,Declarations!B$6:C$185,2,FALSE)),"",IF(VLOOKUP($F243,Declarations!B$6:C$185,2,FALSE)="","NOT DECLARED",IF(ISNA(_xlfn.TEXTAFTER(VLOOKUP($F243,Declarations!B$6:C$185,2,FALSE)," ")),VLOOKUP($F243,Declarations!B$6:C$185,2,FALSE),_xlfn.TEXTAFTER(VLOOKUP($F243,Declarations!B$6:C$185,2,FALSE)," "))))</f>
        <v/>
      </c>
      <c r="D243" s="114" t="str">
        <f>IF(ISNA(VLOOKUP($F243,Declarations!$B$6:$F$185,5,FALSE)),"",IF(VLOOKUP($F243,Declarations!$B$6:$F$185,5,FALSE)="","NOT DECLARED",VLOOKUP($F243,Declarations!$B$6:$F$185,5,FALSE)))</f>
        <v/>
      </c>
      <c r="E243" s="112" t="str">
        <f>IF(ISNA(VLOOKUP($F243,Declarations!$B$6:$D$185,3,FALSE)),"",IF(VLOOKUP($F243,Declarations!$B$6:$D$185,3,FALSE)="","NOT DECLARED",VLOOKUP($F243,Declarations!$B$6:$D$185,3,FALSE)&amp;LEFT(VLOOKUP($F243,Declarations!$B$6:$E$185,4,FALSE))))</f>
        <v/>
      </c>
      <c r="F243" s="58"/>
      <c r="G243" s="115">
        <v>0</v>
      </c>
      <c r="H243" s="281"/>
      <c r="I243" s="114" t="str">
        <f>IF(ISNA(VLOOKUP(F243,Declarations!B$6:C$185,2,FALSE)),"",IF(VLOOKUP(F243,Declarations!B$6:C$185,2,FALSE)="","NOT DECLARED",VLOOKUP(F243,Declarations!B$6:C$185,2,FALSE)))</f>
        <v/>
      </c>
      <c r="J243" s="116">
        <f>IF(LOWER(G243)="dnf",1,IF(U243&lt;ScoringTable!C$3,ScoringTable!I$2,VLOOKUP((1000-U243),ScoringTable!H$2:I$95,2)))</f>
        <v>0</v>
      </c>
      <c r="K243" s="112" t="str">
        <f>IF(OR(E243="",G243=""),"",IF(RIGHT(E243,1)="G",_xlfn.XLOOKUP(G243,Data!$D$11:$L$11,Data!$D$9:$L$9,"",1,1),_xlfn.XLOOKUP(G243,Data!$D$4:$L$4,Data!$D$2:$L$2,"",1,1)))</f>
        <v/>
      </c>
      <c r="L243" s="160" t="str" cm="1">
        <f t="array" ref="L243">IFERROR(_xlfn.IFNA(
                      _xlfn.IFS(
                      G243="", "",
                      G243=0, "",
                      AND(E243="U12B",G243&lt;=Data!$M$4), "U12 Boys record",
                      AND(E243="U12G",G243&lt;=Data!$M$11), "U12 Girls record"
                       ),""), "")</f>
        <v/>
      </c>
      <c r="M243" s="18" cm="1">
        <f t="array" ref="M243">_xlfn.IFS(OR($G243="",$G243=0),0, AND(NOT(ISNUMBER($G243)),LOWER($G243)&lt;&gt;"dnf"),"Not a valid time",OR(LOWER($G243)="dnf",$G243&gt;ScoringTable!$N$161),1,RIGHT($E243,1)="B",_xlfn.XLOOKUP($G243,ScoringTable!$N$2:$N$161,ScoringTable!$L$2:$L$161,,1),TRUE,_xlfn.XLOOKUP($G243,ScoringTable!$T$2:$T$161,ScoringTable!$R$2:$R$161,,1))</f>
        <v>0</v>
      </c>
      <c r="Q243" s="117">
        <f t="shared" si="15"/>
        <v>0</v>
      </c>
      <c r="R243" s="118">
        <f t="shared" si="16"/>
        <v>0</v>
      </c>
      <c r="S243" s="119">
        <f t="shared" si="17"/>
        <v>0</v>
      </c>
      <c r="T243" s="118">
        <f t="shared" si="18"/>
        <v>0</v>
      </c>
      <c r="U243" s="120">
        <f t="shared" si="19"/>
        <v>0</v>
      </c>
    </row>
    <row r="244" spans="1:21" s="7" customFormat="1" ht="16.05" customHeight="1">
      <c r="A244" s="113" t="s">
        <v>95</v>
      </c>
      <c r="B244" s="114" t="str">
        <f>IF(ISNA(VLOOKUP($F244,Declarations!B$6:C$185,2,FALSE)),"",IF(VLOOKUP($F244,Declarations!B$6:C$185,2,FALSE)="","NOT DECLARED",IF(ISNA(_xlfn.TEXTBEFORE(VLOOKUP($F244,Declarations!B$6:C$185,2,FALSE)," ")),VLOOKUP($F244,Declarations!B$6:C$185,2,FALSE),_xlfn.TEXTBEFORE(VLOOKUP($F244,Declarations!B$6:C$185,2,FALSE)," "))))</f>
        <v/>
      </c>
      <c r="C244" s="114" t="str">
        <f>IF(ISNA(VLOOKUP($F244,Declarations!B$6:C$185,2,FALSE)),"",IF(VLOOKUP($F244,Declarations!B$6:C$185,2,FALSE)="","NOT DECLARED",IF(ISNA(_xlfn.TEXTAFTER(VLOOKUP($F244,Declarations!B$6:C$185,2,FALSE)," ")),VLOOKUP($F244,Declarations!B$6:C$185,2,FALSE),_xlfn.TEXTAFTER(VLOOKUP($F244,Declarations!B$6:C$185,2,FALSE)," "))))</f>
        <v/>
      </c>
      <c r="D244" s="114" t="str">
        <f>IF(ISNA(VLOOKUP($F244,Declarations!$B$6:$F$185,5,FALSE)),"",IF(VLOOKUP($F244,Declarations!$B$6:$F$185,5,FALSE)="","NOT DECLARED",VLOOKUP($F244,Declarations!$B$6:$F$185,5,FALSE)))</f>
        <v/>
      </c>
      <c r="E244" s="112" t="str">
        <f>IF(ISNA(VLOOKUP($F244,Declarations!$B$6:$D$185,3,FALSE)),"",IF(VLOOKUP($F244,Declarations!$B$6:$D$185,3,FALSE)="","NOT DECLARED",VLOOKUP($F244,Declarations!$B$6:$D$185,3,FALSE)&amp;LEFT(VLOOKUP($F244,Declarations!$B$6:$E$185,4,FALSE))))</f>
        <v/>
      </c>
      <c r="F244" s="58"/>
      <c r="G244" s="115">
        <v>0</v>
      </c>
      <c r="H244" s="281"/>
      <c r="I244" s="114" t="str">
        <f>IF(ISNA(VLOOKUP(F244,Declarations!B$6:C$185,2,FALSE)),"",IF(VLOOKUP(F244,Declarations!B$6:C$185,2,FALSE)="","NOT DECLARED",VLOOKUP(F244,Declarations!B$6:C$185,2,FALSE)))</f>
        <v/>
      </c>
      <c r="J244" s="116">
        <f>IF(LOWER(G244)="dnf",1,IF(U244&lt;ScoringTable!C$3,ScoringTable!I$2,VLOOKUP((1000-U244),ScoringTable!H$2:I$95,2)))</f>
        <v>0</v>
      </c>
      <c r="K244" s="112" t="str">
        <f>IF(OR(E244="",G244=""),"",IF(RIGHT(E244,1)="G",_xlfn.XLOOKUP(G244,Data!$D$11:$L$11,Data!$D$9:$L$9,"",1,1),_xlfn.XLOOKUP(G244,Data!$D$4:$L$4,Data!$D$2:$L$2,"",1,1)))</f>
        <v/>
      </c>
      <c r="L244" s="160" t="str" cm="1">
        <f t="array" ref="L244">IFERROR(_xlfn.IFNA(
                      _xlfn.IFS(
                      G244="", "",
                      G244=0, "",
                      AND(E244="U12B",G244&lt;=Data!$M$4), "U12 Boys record",
                      AND(E244="U12G",G244&lt;=Data!$M$11), "U12 Girls record"
                       ),""), "")</f>
        <v/>
      </c>
      <c r="M244" s="18" cm="1">
        <f t="array" ref="M244">_xlfn.IFS(OR($G244="",$G244=0),0, AND(NOT(ISNUMBER($G244)),LOWER($G244)&lt;&gt;"dnf"),"Not a valid time",OR(LOWER($G244)="dnf",$G244&gt;ScoringTable!$N$161),1,RIGHT($E244,1)="B",_xlfn.XLOOKUP($G244,ScoringTable!$N$2:$N$161,ScoringTable!$L$2:$L$161,,1),TRUE,_xlfn.XLOOKUP($G244,ScoringTable!$T$2:$T$161,ScoringTable!$R$2:$R$161,,1))</f>
        <v>0</v>
      </c>
      <c r="Q244" s="117">
        <f t="shared" si="15"/>
        <v>0</v>
      </c>
      <c r="R244" s="118">
        <f t="shared" si="16"/>
        <v>0</v>
      </c>
      <c r="S244" s="119">
        <f t="shared" si="17"/>
        <v>0</v>
      </c>
      <c r="T244" s="118">
        <f t="shared" si="18"/>
        <v>0</v>
      </c>
      <c r="U244" s="120">
        <f t="shared" si="19"/>
        <v>0</v>
      </c>
    </row>
    <row r="245" spans="1:21" s="7" customFormat="1" ht="16.05" customHeight="1">
      <c r="A245" s="113" t="s">
        <v>95</v>
      </c>
      <c r="B245" s="114" t="str">
        <f>IF(ISNA(VLOOKUP($F245,Declarations!B$6:C$185,2,FALSE)),"",IF(VLOOKUP($F245,Declarations!B$6:C$185,2,FALSE)="","NOT DECLARED",IF(ISNA(_xlfn.TEXTBEFORE(VLOOKUP($F245,Declarations!B$6:C$185,2,FALSE)," ")),VLOOKUP($F245,Declarations!B$6:C$185,2,FALSE),_xlfn.TEXTBEFORE(VLOOKUP($F245,Declarations!B$6:C$185,2,FALSE)," "))))</f>
        <v/>
      </c>
      <c r="C245" s="114" t="str">
        <f>IF(ISNA(VLOOKUP($F245,Declarations!B$6:C$185,2,FALSE)),"",IF(VLOOKUP($F245,Declarations!B$6:C$185,2,FALSE)="","NOT DECLARED",IF(ISNA(_xlfn.TEXTAFTER(VLOOKUP($F245,Declarations!B$6:C$185,2,FALSE)," ")),VLOOKUP($F245,Declarations!B$6:C$185,2,FALSE),_xlfn.TEXTAFTER(VLOOKUP($F245,Declarations!B$6:C$185,2,FALSE)," "))))</f>
        <v/>
      </c>
      <c r="D245" s="114" t="str">
        <f>IF(ISNA(VLOOKUP($F245,Declarations!$B$6:$F$185,5,FALSE)),"",IF(VLOOKUP($F245,Declarations!$B$6:$F$185,5,FALSE)="","NOT DECLARED",VLOOKUP($F245,Declarations!$B$6:$F$185,5,FALSE)))</f>
        <v/>
      </c>
      <c r="E245" s="112" t="str">
        <f>IF(ISNA(VLOOKUP($F245,Declarations!$B$6:$D$185,3,FALSE)),"",IF(VLOOKUP($F245,Declarations!$B$6:$D$185,3,FALSE)="","NOT DECLARED",VLOOKUP($F245,Declarations!$B$6:$D$185,3,FALSE)&amp;LEFT(VLOOKUP($F245,Declarations!$B$6:$E$185,4,FALSE))))</f>
        <v/>
      </c>
      <c r="F245" s="58"/>
      <c r="G245" s="115">
        <v>0</v>
      </c>
      <c r="H245" s="281"/>
      <c r="I245" s="114" t="str">
        <f>IF(ISNA(VLOOKUP(F245,Declarations!B$6:C$185,2,FALSE)),"",IF(VLOOKUP(F245,Declarations!B$6:C$185,2,FALSE)="","NOT DECLARED",VLOOKUP(F245,Declarations!B$6:C$185,2,FALSE)))</f>
        <v/>
      </c>
      <c r="J245" s="116">
        <f>IF(LOWER(G245)="dnf",1,IF(U245&lt;ScoringTable!C$3,ScoringTable!I$2,VLOOKUP((1000-U245),ScoringTable!H$2:I$95,2)))</f>
        <v>0</v>
      </c>
      <c r="K245" s="112" t="str">
        <f>IF(OR(E245="",G245=""),"",IF(RIGHT(E245,1)="G",_xlfn.XLOOKUP(G245,Data!$D$11:$L$11,Data!$D$9:$L$9,"",1,1),_xlfn.XLOOKUP(G245,Data!$D$4:$L$4,Data!$D$2:$L$2,"",1,1)))</f>
        <v/>
      </c>
      <c r="L245" s="160" t="str" cm="1">
        <f t="array" ref="L245">IFERROR(_xlfn.IFNA(
                      _xlfn.IFS(
                      G245="", "",
                      G245=0, "",
                      AND(E245="U12B",G245&lt;=Data!$M$4), "U12 Boys record",
                      AND(E245="U12G",G245&lt;=Data!$M$11), "U12 Girls record"
                       ),""), "")</f>
        <v/>
      </c>
      <c r="M245" s="18" cm="1">
        <f t="array" ref="M245">_xlfn.IFS(OR($G245="",$G245=0),0, AND(NOT(ISNUMBER($G245)),LOWER($G245)&lt;&gt;"dnf"),"Not a valid time",OR(LOWER($G245)="dnf",$G245&gt;ScoringTable!$N$161),1,RIGHT($E245,1)="B",_xlfn.XLOOKUP($G245,ScoringTable!$N$2:$N$161,ScoringTable!$L$2:$L$161,,1),TRUE,_xlfn.XLOOKUP($G245,ScoringTable!$T$2:$T$161,ScoringTable!$R$2:$R$161,,1))</f>
        <v>0</v>
      </c>
      <c r="Q245" s="117">
        <f t="shared" si="15"/>
        <v>0</v>
      </c>
      <c r="R245" s="118">
        <f t="shared" si="16"/>
        <v>0</v>
      </c>
      <c r="S245" s="119">
        <f t="shared" si="17"/>
        <v>0</v>
      </c>
      <c r="T245" s="118">
        <f t="shared" si="18"/>
        <v>0</v>
      </c>
      <c r="U245" s="120">
        <f t="shared" si="19"/>
        <v>0</v>
      </c>
    </row>
    <row r="246" spans="1:21" s="7" customFormat="1" ht="16.05" customHeight="1">
      <c r="A246" s="113" t="s">
        <v>95</v>
      </c>
      <c r="B246" s="114" t="str">
        <f>IF(ISNA(VLOOKUP($F246,Declarations!B$6:C$185,2,FALSE)),"",IF(VLOOKUP($F246,Declarations!B$6:C$185,2,FALSE)="","NOT DECLARED",IF(ISNA(_xlfn.TEXTBEFORE(VLOOKUP($F246,Declarations!B$6:C$185,2,FALSE)," ")),VLOOKUP($F246,Declarations!B$6:C$185,2,FALSE),_xlfn.TEXTBEFORE(VLOOKUP($F246,Declarations!B$6:C$185,2,FALSE)," "))))</f>
        <v/>
      </c>
      <c r="C246" s="114" t="str">
        <f>IF(ISNA(VLOOKUP($F246,Declarations!B$6:C$185,2,FALSE)),"",IF(VLOOKUP($F246,Declarations!B$6:C$185,2,FALSE)="","NOT DECLARED",IF(ISNA(_xlfn.TEXTAFTER(VLOOKUP($F246,Declarations!B$6:C$185,2,FALSE)," ")),VLOOKUP($F246,Declarations!B$6:C$185,2,FALSE),_xlfn.TEXTAFTER(VLOOKUP($F246,Declarations!B$6:C$185,2,FALSE)," "))))</f>
        <v/>
      </c>
      <c r="D246" s="114" t="str">
        <f>IF(ISNA(VLOOKUP($F246,Declarations!$B$6:$F$185,5,FALSE)),"",IF(VLOOKUP($F246,Declarations!$B$6:$F$185,5,FALSE)="","NOT DECLARED",VLOOKUP($F246,Declarations!$B$6:$F$185,5,FALSE)))</f>
        <v/>
      </c>
      <c r="E246" s="112" t="str">
        <f>IF(ISNA(VLOOKUP($F246,Declarations!$B$6:$D$185,3,FALSE)),"",IF(VLOOKUP($F246,Declarations!$B$6:$D$185,3,FALSE)="","NOT DECLARED",VLOOKUP($F246,Declarations!$B$6:$D$185,3,FALSE)&amp;LEFT(VLOOKUP($F246,Declarations!$B$6:$E$185,4,FALSE))))</f>
        <v/>
      </c>
      <c r="F246" s="58"/>
      <c r="G246" s="115">
        <v>0</v>
      </c>
      <c r="H246" s="281"/>
      <c r="I246" s="114" t="str">
        <f>IF(ISNA(VLOOKUP(F246,Declarations!B$6:C$185,2,FALSE)),"",IF(VLOOKUP(F246,Declarations!B$6:C$185,2,FALSE)="","NOT DECLARED",VLOOKUP(F246,Declarations!B$6:C$185,2,FALSE)))</f>
        <v/>
      </c>
      <c r="J246" s="116">
        <f>IF(LOWER(G246)="dnf",1,IF(U246&lt;ScoringTable!C$3,ScoringTable!I$2,VLOOKUP((1000-U246),ScoringTable!H$2:I$95,2)))</f>
        <v>0</v>
      </c>
      <c r="K246" s="112" t="str">
        <f>IF(OR(E246="",G246=""),"",IF(RIGHT(E246,1)="G",_xlfn.XLOOKUP(G246,Data!$D$11:$L$11,Data!$D$9:$L$9,"",1,1),_xlfn.XLOOKUP(G246,Data!$D$4:$L$4,Data!$D$2:$L$2,"",1,1)))</f>
        <v/>
      </c>
      <c r="L246" s="160" t="str" cm="1">
        <f t="array" ref="L246">IFERROR(_xlfn.IFNA(
                      _xlfn.IFS(
                      G246="", "",
                      G246=0, "",
                      AND(E246="U12B",G246&lt;=Data!$M$4), "U12 Boys record",
                      AND(E246="U12G",G246&lt;=Data!$M$11), "U12 Girls record"
                       ),""), "")</f>
        <v/>
      </c>
      <c r="M246" s="18" cm="1">
        <f t="array" ref="M246">_xlfn.IFS(OR($G246="",$G246=0),0, AND(NOT(ISNUMBER($G246)),LOWER($G246)&lt;&gt;"dnf"),"Not a valid time",OR(LOWER($G246)="dnf",$G246&gt;ScoringTable!$N$161),1,RIGHT($E246,1)="B",_xlfn.XLOOKUP($G246,ScoringTable!$N$2:$N$161,ScoringTable!$L$2:$L$161,,1),TRUE,_xlfn.XLOOKUP($G246,ScoringTable!$T$2:$T$161,ScoringTable!$R$2:$R$161,,1))</f>
        <v>0</v>
      </c>
      <c r="Q246" s="117">
        <f t="shared" si="15"/>
        <v>0</v>
      </c>
      <c r="R246" s="118">
        <f t="shared" si="16"/>
        <v>0</v>
      </c>
      <c r="S246" s="119">
        <f t="shared" si="17"/>
        <v>0</v>
      </c>
      <c r="T246" s="118">
        <f t="shared" si="18"/>
        <v>0</v>
      </c>
      <c r="U246" s="120">
        <f t="shared" si="19"/>
        <v>0</v>
      </c>
    </row>
    <row r="247" spans="1:21" s="7" customFormat="1" ht="16.05" customHeight="1">
      <c r="A247" s="113" t="s">
        <v>95</v>
      </c>
      <c r="B247" s="114" t="str">
        <f>IF(ISNA(VLOOKUP($F247,Declarations!B$6:C$185,2,FALSE)),"",IF(VLOOKUP($F247,Declarations!B$6:C$185,2,FALSE)="","NOT DECLARED",IF(ISNA(_xlfn.TEXTBEFORE(VLOOKUP($F247,Declarations!B$6:C$185,2,FALSE)," ")),VLOOKUP($F247,Declarations!B$6:C$185,2,FALSE),_xlfn.TEXTBEFORE(VLOOKUP($F247,Declarations!B$6:C$185,2,FALSE)," "))))</f>
        <v/>
      </c>
      <c r="C247" s="114" t="str">
        <f>IF(ISNA(VLOOKUP($F247,Declarations!B$6:C$185,2,FALSE)),"",IF(VLOOKUP($F247,Declarations!B$6:C$185,2,FALSE)="","NOT DECLARED",IF(ISNA(_xlfn.TEXTAFTER(VLOOKUP($F247,Declarations!B$6:C$185,2,FALSE)," ")),VLOOKUP($F247,Declarations!B$6:C$185,2,FALSE),_xlfn.TEXTAFTER(VLOOKUP($F247,Declarations!B$6:C$185,2,FALSE)," "))))</f>
        <v/>
      </c>
      <c r="D247" s="114" t="str">
        <f>IF(ISNA(VLOOKUP($F247,Declarations!$B$6:$F$185,5,FALSE)),"",IF(VLOOKUP($F247,Declarations!$B$6:$F$185,5,FALSE)="","NOT DECLARED",VLOOKUP($F247,Declarations!$B$6:$F$185,5,FALSE)))</f>
        <v/>
      </c>
      <c r="E247" s="112" t="str">
        <f>IF(ISNA(VLOOKUP($F247,Declarations!$B$6:$D$185,3,FALSE)),"",IF(VLOOKUP($F247,Declarations!$B$6:$D$185,3,FALSE)="","NOT DECLARED",VLOOKUP($F247,Declarations!$B$6:$D$185,3,FALSE)&amp;LEFT(VLOOKUP($F247,Declarations!$B$6:$E$185,4,FALSE))))</f>
        <v/>
      </c>
      <c r="F247" s="58"/>
      <c r="G247" s="115">
        <v>0</v>
      </c>
      <c r="H247" s="281"/>
      <c r="I247" s="114" t="str">
        <f>IF(ISNA(VLOOKUP(F247,Declarations!B$6:C$185,2,FALSE)),"",IF(VLOOKUP(F247,Declarations!B$6:C$185,2,FALSE)="","NOT DECLARED",VLOOKUP(F247,Declarations!B$6:C$185,2,FALSE)))</f>
        <v/>
      </c>
      <c r="J247" s="116">
        <f>IF(LOWER(G247)="dnf",1,IF(U247&lt;ScoringTable!C$3,ScoringTable!I$2,VLOOKUP((1000-U247),ScoringTable!H$2:I$95,2)))</f>
        <v>0</v>
      </c>
      <c r="K247" s="112" t="str">
        <f>IF(OR(E247="",G247=""),"",IF(RIGHT(E247,1)="G",_xlfn.XLOOKUP(G247,Data!$D$11:$L$11,Data!$D$9:$L$9,"",1,1),_xlfn.XLOOKUP(G247,Data!$D$4:$L$4,Data!$D$2:$L$2,"",1,1)))</f>
        <v/>
      </c>
      <c r="L247" s="160" t="str" cm="1">
        <f t="array" ref="L247">IFERROR(_xlfn.IFNA(
                      _xlfn.IFS(
                      G247="", "",
                      G247=0, "",
                      AND(E247="U12B",G247&lt;=Data!$M$4), "U12 Boys record",
                      AND(E247="U12G",G247&lt;=Data!$M$11), "U12 Girls record"
                       ),""), "")</f>
        <v/>
      </c>
      <c r="M247" s="18" cm="1">
        <f t="array" ref="M247">_xlfn.IFS(OR($G247="",$G247=0),0, AND(NOT(ISNUMBER($G247)),LOWER($G247)&lt;&gt;"dnf"),"Not a valid time",OR(LOWER($G247)="dnf",$G247&gt;ScoringTable!$N$161),1,RIGHT($E247,1)="B",_xlfn.XLOOKUP($G247,ScoringTable!$N$2:$N$161,ScoringTable!$L$2:$L$161,,1),TRUE,_xlfn.XLOOKUP($G247,ScoringTable!$T$2:$T$161,ScoringTable!$R$2:$R$161,,1))</f>
        <v>0</v>
      </c>
      <c r="Q247" s="117">
        <f t="shared" si="15"/>
        <v>0</v>
      </c>
      <c r="R247" s="118">
        <f t="shared" si="16"/>
        <v>0</v>
      </c>
      <c r="S247" s="119">
        <f t="shared" si="17"/>
        <v>0</v>
      </c>
      <c r="T247" s="118">
        <f t="shared" si="18"/>
        <v>0</v>
      </c>
      <c r="U247" s="120">
        <f t="shared" si="19"/>
        <v>0</v>
      </c>
    </row>
    <row r="248" spans="1:21" s="7" customFormat="1" ht="16.05" customHeight="1">
      <c r="A248" s="113" t="s">
        <v>95</v>
      </c>
      <c r="B248" s="114" t="str">
        <f>IF(ISNA(VLOOKUP($F248,Declarations!B$6:C$185,2,FALSE)),"",IF(VLOOKUP($F248,Declarations!B$6:C$185,2,FALSE)="","NOT DECLARED",IF(ISNA(_xlfn.TEXTBEFORE(VLOOKUP($F248,Declarations!B$6:C$185,2,FALSE)," ")),VLOOKUP($F248,Declarations!B$6:C$185,2,FALSE),_xlfn.TEXTBEFORE(VLOOKUP($F248,Declarations!B$6:C$185,2,FALSE)," "))))</f>
        <v/>
      </c>
      <c r="C248" s="114" t="str">
        <f>IF(ISNA(VLOOKUP($F248,Declarations!B$6:C$185,2,FALSE)),"",IF(VLOOKUP($F248,Declarations!B$6:C$185,2,FALSE)="","NOT DECLARED",IF(ISNA(_xlfn.TEXTAFTER(VLOOKUP($F248,Declarations!B$6:C$185,2,FALSE)," ")),VLOOKUP($F248,Declarations!B$6:C$185,2,FALSE),_xlfn.TEXTAFTER(VLOOKUP($F248,Declarations!B$6:C$185,2,FALSE)," "))))</f>
        <v/>
      </c>
      <c r="D248" s="114" t="str">
        <f>IF(ISNA(VLOOKUP($F248,Declarations!$B$6:$F$185,5,FALSE)),"",IF(VLOOKUP($F248,Declarations!$B$6:$F$185,5,FALSE)="","NOT DECLARED",VLOOKUP($F248,Declarations!$B$6:$F$185,5,FALSE)))</f>
        <v/>
      </c>
      <c r="E248" s="112" t="str">
        <f>IF(ISNA(VLOOKUP($F248,Declarations!$B$6:$D$185,3,FALSE)),"",IF(VLOOKUP($F248,Declarations!$B$6:$D$185,3,FALSE)="","NOT DECLARED",VLOOKUP($F248,Declarations!$B$6:$D$185,3,FALSE)&amp;LEFT(VLOOKUP($F248,Declarations!$B$6:$E$185,4,FALSE))))</f>
        <v/>
      </c>
      <c r="F248" s="58"/>
      <c r="G248" s="115">
        <v>0</v>
      </c>
      <c r="H248" s="281"/>
      <c r="I248" s="114" t="str">
        <f>IF(ISNA(VLOOKUP(F248,Declarations!B$6:C$185,2,FALSE)),"",IF(VLOOKUP(F248,Declarations!B$6:C$185,2,FALSE)="","NOT DECLARED",VLOOKUP(F248,Declarations!B$6:C$185,2,FALSE)))</f>
        <v/>
      </c>
      <c r="J248" s="116">
        <f>IF(LOWER(G248)="dnf",1,IF(U248&lt;ScoringTable!C$3,ScoringTable!I$2,VLOOKUP((1000-U248),ScoringTable!H$2:I$95,2)))</f>
        <v>0</v>
      </c>
      <c r="K248" s="112" t="str">
        <f>IF(OR(E248="",G248=""),"",IF(RIGHT(E248,1)="G",_xlfn.XLOOKUP(G248,Data!$D$11:$L$11,Data!$D$9:$L$9,"",1,1),_xlfn.XLOOKUP(G248,Data!$D$4:$L$4,Data!$D$2:$L$2,"",1,1)))</f>
        <v/>
      </c>
      <c r="L248" s="160" t="str" cm="1">
        <f t="array" ref="L248">IFERROR(_xlfn.IFNA(
                      _xlfn.IFS(
                      G248="", "",
                      G248=0, "",
                      AND(E248="U12B",G248&lt;=Data!$M$4), "U12 Boys record",
                      AND(E248="U12G",G248&lt;=Data!$M$11), "U12 Girls record"
                       ),""), "")</f>
        <v/>
      </c>
      <c r="M248" s="18" cm="1">
        <f t="array" ref="M248">_xlfn.IFS(OR($G248="",$G248=0),0, AND(NOT(ISNUMBER($G248)),LOWER($G248)&lt;&gt;"dnf"),"Not a valid time",OR(LOWER($G248)="dnf",$G248&gt;ScoringTable!$N$161),1,RIGHT($E248,1)="B",_xlfn.XLOOKUP($G248,ScoringTable!$N$2:$N$161,ScoringTable!$L$2:$L$161,,1),TRUE,_xlfn.XLOOKUP($G248,ScoringTable!$T$2:$T$161,ScoringTable!$R$2:$R$161,,1))</f>
        <v>0</v>
      </c>
      <c r="Q248" s="117">
        <f t="shared" si="15"/>
        <v>0</v>
      </c>
      <c r="R248" s="118">
        <f t="shared" si="16"/>
        <v>0</v>
      </c>
      <c r="S248" s="119">
        <f t="shared" si="17"/>
        <v>0</v>
      </c>
      <c r="T248" s="118">
        <f t="shared" si="18"/>
        <v>0</v>
      </c>
      <c r="U248" s="120">
        <f t="shared" si="19"/>
        <v>0</v>
      </c>
    </row>
    <row r="249" spans="1:21" s="7" customFormat="1" ht="16.05" customHeight="1">
      <c r="A249" s="113" t="s">
        <v>95</v>
      </c>
      <c r="B249" s="114" t="str">
        <f>IF(ISNA(VLOOKUP($F249,Declarations!B$6:C$185,2,FALSE)),"",IF(VLOOKUP($F249,Declarations!B$6:C$185,2,FALSE)="","NOT DECLARED",IF(ISNA(_xlfn.TEXTBEFORE(VLOOKUP($F249,Declarations!B$6:C$185,2,FALSE)," ")),VLOOKUP($F249,Declarations!B$6:C$185,2,FALSE),_xlfn.TEXTBEFORE(VLOOKUP($F249,Declarations!B$6:C$185,2,FALSE)," "))))</f>
        <v/>
      </c>
      <c r="C249" s="114" t="str">
        <f>IF(ISNA(VLOOKUP($F249,Declarations!B$6:C$185,2,FALSE)),"",IF(VLOOKUP($F249,Declarations!B$6:C$185,2,FALSE)="","NOT DECLARED",IF(ISNA(_xlfn.TEXTAFTER(VLOOKUP($F249,Declarations!B$6:C$185,2,FALSE)," ")),VLOOKUP($F249,Declarations!B$6:C$185,2,FALSE),_xlfn.TEXTAFTER(VLOOKUP($F249,Declarations!B$6:C$185,2,FALSE)," "))))</f>
        <v/>
      </c>
      <c r="D249" s="114" t="str">
        <f>IF(ISNA(VLOOKUP($F249,Declarations!$B$6:$F$185,5,FALSE)),"",IF(VLOOKUP($F249,Declarations!$B$6:$F$185,5,FALSE)="","NOT DECLARED",VLOOKUP($F249,Declarations!$B$6:$F$185,5,FALSE)))</f>
        <v/>
      </c>
      <c r="E249" s="112" t="str">
        <f>IF(ISNA(VLOOKUP($F249,Declarations!$B$6:$D$185,3,FALSE)),"",IF(VLOOKUP($F249,Declarations!$B$6:$D$185,3,FALSE)="","NOT DECLARED",VLOOKUP($F249,Declarations!$B$6:$D$185,3,FALSE)&amp;LEFT(VLOOKUP($F249,Declarations!$B$6:$E$185,4,FALSE))))</f>
        <v/>
      </c>
      <c r="F249" s="58"/>
      <c r="G249" s="115">
        <v>0</v>
      </c>
      <c r="H249" s="281"/>
      <c r="I249" s="114" t="str">
        <f>IF(ISNA(VLOOKUP(F249,Declarations!B$6:C$185,2,FALSE)),"",IF(VLOOKUP(F249,Declarations!B$6:C$185,2,FALSE)="","NOT DECLARED",VLOOKUP(F249,Declarations!B$6:C$185,2,FALSE)))</f>
        <v/>
      </c>
      <c r="J249" s="116">
        <f>IF(LOWER(G249)="dnf",1,IF(U249&lt;ScoringTable!C$3,ScoringTable!I$2,VLOOKUP((1000-U249),ScoringTable!H$2:I$95,2)))</f>
        <v>0</v>
      </c>
      <c r="K249" s="112" t="str">
        <f>IF(OR(E249="",G249=""),"",IF(RIGHT(E249,1)="G",_xlfn.XLOOKUP(G249,Data!$D$11:$L$11,Data!$D$9:$L$9,"",1,1),_xlfn.XLOOKUP(G249,Data!$D$4:$L$4,Data!$D$2:$L$2,"",1,1)))</f>
        <v/>
      </c>
      <c r="L249" s="160" t="str" cm="1">
        <f t="array" ref="L249">IFERROR(_xlfn.IFNA(
                      _xlfn.IFS(
                      G249="", "",
                      G249=0, "",
                      AND(E249="U12B",G249&lt;=Data!$M$4), "U12 Boys record",
                      AND(E249="U12G",G249&lt;=Data!$M$11), "U12 Girls record"
                       ),""), "")</f>
        <v/>
      </c>
      <c r="M249" s="18" cm="1">
        <f t="array" ref="M249">_xlfn.IFS(OR($G249="",$G249=0),0, AND(NOT(ISNUMBER($G249)),LOWER($G249)&lt;&gt;"dnf"),"Not a valid time",OR(LOWER($G249)="dnf",$G249&gt;ScoringTable!$N$161),1,RIGHT($E249,1)="B",_xlfn.XLOOKUP($G249,ScoringTable!$N$2:$N$161,ScoringTable!$L$2:$L$161,,1),TRUE,_xlfn.XLOOKUP($G249,ScoringTable!$T$2:$T$161,ScoringTable!$R$2:$R$161,,1))</f>
        <v>0</v>
      </c>
      <c r="Q249" s="117">
        <f t="shared" si="15"/>
        <v>0</v>
      </c>
      <c r="R249" s="118">
        <f t="shared" si="16"/>
        <v>0</v>
      </c>
      <c r="S249" s="119">
        <f t="shared" si="17"/>
        <v>0</v>
      </c>
      <c r="T249" s="118">
        <f t="shared" si="18"/>
        <v>0</v>
      </c>
      <c r="U249" s="120">
        <f t="shared" si="19"/>
        <v>0</v>
      </c>
    </row>
    <row r="250" spans="1:21" s="7" customFormat="1" ht="16.05" customHeight="1">
      <c r="A250" s="113" t="s">
        <v>95</v>
      </c>
      <c r="B250" s="114" t="str">
        <f>IF(ISNA(VLOOKUP($F250,Declarations!B$6:C$185,2,FALSE)),"",IF(VLOOKUP($F250,Declarations!B$6:C$185,2,FALSE)="","NOT DECLARED",IF(ISNA(_xlfn.TEXTBEFORE(VLOOKUP($F250,Declarations!B$6:C$185,2,FALSE)," ")),VLOOKUP($F250,Declarations!B$6:C$185,2,FALSE),_xlfn.TEXTBEFORE(VLOOKUP($F250,Declarations!B$6:C$185,2,FALSE)," "))))</f>
        <v/>
      </c>
      <c r="C250" s="114" t="str">
        <f>IF(ISNA(VLOOKUP($F250,Declarations!B$6:C$185,2,FALSE)),"",IF(VLOOKUP($F250,Declarations!B$6:C$185,2,FALSE)="","NOT DECLARED",IF(ISNA(_xlfn.TEXTAFTER(VLOOKUP($F250,Declarations!B$6:C$185,2,FALSE)," ")),VLOOKUP($F250,Declarations!B$6:C$185,2,FALSE),_xlfn.TEXTAFTER(VLOOKUP($F250,Declarations!B$6:C$185,2,FALSE)," "))))</f>
        <v/>
      </c>
      <c r="D250" s="114" t="str">
        <f>IF(ISNA(VLOOKUP($F250,Declarations!$B$6:$F$185,5,FALSE)),"",IF(VLOOKUP($F250,Declarations!$B$6:$F$185,5,FALSE)="","NOT DECLARED",VLOOKUP($F250,Declarations!$B$6:$F$185,5,FALSE)))</f>
        <v/>
      </c>
      <c r="E250" s="112" t="str">
        <f>IF(ISNA(VLOOKUP($F250,Declarations!$B$6:$D$185,3,FALSE)),"",IF(VLOOKUP($F250,Declarations!$B$6:$D$185,3,FALSE)="","NOT DECLARED",VLOOKUP($F250,Declarations!$B$6:$D$185,3,FALSE)&amp;LEFT(VLOOKUP($F250,Declarations!$B$6:$E$185,4,FALSE))))</f>
        <v/>
      </c>
      <c r="F250" s="58"/>
      <c r="G250" s="115">
        <v>0</v>
      </c>
      <c r="H250" s="281"/>
      <c r="I250" s="114" t="str">
        <f>IF(ISNA(VLOOKUP(F250,Declarations!B$6:C$185,2,FALSE)),"",IF(VLOOKUP(F250,Declarations!B$6:C$185,2,FALSE)="","NOT DECLARED",VLOOKUP(F250,Declarations!B$6:C$185,2,FALSE)))</f>
        <v/>
      </c>
      <c r="J250" s="116">
        <f>IF(LOWER(G250)="dnf",1,IF(U250&lt;ScoringTable!C$3,ScoringTable!I$2,VLOOKUP((1000-U250),ScoringTable!H$2:I$95,2)))</f>
        <v>0</v>
      </c>
      <c r="K250" s="112" t="str">
        <f>IF(OR(E250="",G250=""),"",IF(RIGHT(E250,1)="G",_xlfn.XLOOKUP(G250,Data!$D$11:$L$11,Data!$D$9:$L$9,"",1,1),_xlfn.XLOOKUP(G250,Data!$D$4:$L$4,Data!$D$2:$L$2,"",1,1)))</f>
        <v/>
      </c>
      <c r="L250" s="160" t="str" cm="1">
        <f t="array" ref="L250">IFERROR(_xlfn.IFNA(
                      _xlfn.IFS(
                      G250="", "",
                      G250=0, "",
                      AND(E250="U12B",G250&lt;=Data!$M$4), "U12 Boys record",
                      AND(E250="U12G",G250&lt;=Data!$M$11), "U12 Girls record"
                       ),""), "")</f>
        <v/>
      </c>
      <c r="M250" s="18" cm="1">
        <f t="array" ref="M250">_xlfn.IFS(OR($G250="",$G250=0),0, AND(NOT(ISNUMBER($G250)),LOWER($G250)&lt;&gt;"dnf"),"Not a valid time",OR(LOWER($G250)="dnf",$G250&gt;ScoringTable!$N$161),1,RIGHT($E250,1)="B",_xlfn.XLOOKUP($G250,ScoringTable!$N$2:$N$161,ScoringTable!$L$2:$L$161,,1),TRUE,_xlfn.XLOOKUP($G250,ScoringTable!$T$2:$T$161,ScoringTable!$R$2:$R$161,,1))</f>
        <v>0</v>
      </c>
      <c r="Q250" s="117">
        <f t="shared" si="15"/>
        <v>0</v>
      </c>
      <c r="R250" s="118">
        <f t="shared" si="16"/>
        <v>0</v>
      </c>
      <c r="S250" s="119">
        <f t="shared" si="17"/>
        <v>0</v>
      </c>
      <c r="T250" s="118">
        <f t="shared" si="18"/>
        <v>0</v>
      </c>
      <c r="U250" s="120">
        <f t="shared" si="19"/>
        <v>0</v>
      </c>
    </row>
    <row r="251" spans="1:21" s="7" customFormat="1" ht="16.05" customHeight="1">
      <c r="A251" s="113" t="s">
        <v>95</v>
      </c>
      <c r="B251" s="114" t="str">
        <f>IF(ISNA(VLOOKUP($F251,Declarations!B$6:C$185,2,FALSE)),"",IF(VLOOKUP($F251,Declarations!B$6:C$185,2,FALSE)="","NOT DECLARED",IF(ISNA(_xlfn.TEXTBEFORE(VLOOKUP($F251,Declarations!B$6:C$185,2,FALSE)," ")),VLOOKUP($F251,Declarations!B$6:C$185,2,FALSE),_xlfn.TEXTBEFORE(VLOOKUP($F251,Declarations!B$6:C$185,2,FALSE)," "))))</f>
        <v/>
      </c>
      <c r="C251" s="114" t="str">
        <f>IF(ISNA(VLOOKUP($F251,Declarations!B$6:C$185,2,FALSE)),"",IF(VLOOKUP($F251,Declarations!B$6:C$185,2,FALSE)="","NOT DECLARED",IF(ISNA(_xlfn.TEXTAFTER(VLOOKUP($F251,Declarations!B$6:C$185,2,FALSE)," ")),VLOOKUP($F251,Declarations!B$6:C$185,2,FALSE),_xlfn.TEXTAFTER(VLOOKUP($F251,Declarations!B$6:C$185,2,FALSE)," "))))</f>
        <v/>
      </c>
      <c r="D251" s="114" t="str">
        <f>IF(ISNA(VLOOKUP($F251,Declarations!$B$6:$F$185,5,FALSE)),"",IF(VLOOKUP($F251,Declarations!$B$6:$F$185,5,FALSE)="","NOT DECLARED",VLOOKUP($F251,Declarations!$B$6:$F$185,5,FALSE)))</f>
        <v/>
      </c>
      <c r="E251" s="112" t="str">
        <f>IF(ISNA(VLOOKUP($F251,Declarations!$B$6:$D$185,3,FALSE)),"",IF(VLOOKUP($F251,Declarations!$B$6:$D$185,3,FALSE)="","NOT DECLARED",VLOOKUP($F251,Declarations!$B$6:$D$185,3,FALSE)&amp;LEFT(VLOOKUP($F251,Declarations!$B$6:$E$185,4,FALSE))))</f>
        <v/>
      </c>
      <c r="F251" s="58"/>
      <c r="G251" s="115">
        <v>0</v>
      </c>
      <c r="H251" s="281"/>
      <c r="I251" s="114" t="str">
        <f>IF(ISNA(VLOOKUP(F251,Declarations!B$6:C$185,2,FALSE)),"",IF(VLOOKUP(F251,Declarations!B$6:C$185,2,FALSE)="","NOT DECLARED",VLOOKUP(F251,Declarations!B$6:C$185,2,FALSE)))</f>
        <v/>
      </c>
      <c r="J251" s="116">
        <f>IF(LOWER(G251)="dnf",1,IF(U251&lt;ScoringTable!C$3,ScoringTable!I$2,VLOOKUP((1000-U251),ScoringTable!H$2:I$95,2)))</f>
        <v>0</v>
      </c>
      <c r="K251" s="112" t="str">
        <f>IF(OR(E251="",G251=""),"",IF(RIGHT(E251,1)="G",_xlfn.XLOOKUP(G251,Data!$D$11:$L$11,Data!$D$9:$L$9,"",1,1),_xlfn.XLOOKUP(G251,Data!$D$4:$L$4,Data!$D$2:$L$2,"",1,1)))</f>
        <v/>
      </c>
      <c r="L251" s="160" t="str" cm="1">
        <f t="array" ref="L251">IFERROR(_xlfn.IFNA(
                      _xlfn.IFS(
                      G251="", "",
                      G251=0, "",
                      AND(E251="U12B",G251&lt;=Data!$M$4), "U12 Boys record",
                      AND(E251="U12G",G251&lt;=Data!$M$11), "U12 Girls record"
                       ),""), "")</f>
        <v/>
      </c>
      <c r="M251" s="18" cm="1">
        <f t="array" ref="M251">_xlfn.IFS(OR($G251="",$G251=0),0, AND(NOT(ISNUMBER($G251)),LOWER($G251)&lt;&gt;"dnf"),"Not a valid time",OR(LOWER($G251)="dnf",$G251&gt;ScoringTable!$N$161),1,RIGHT($E251,1)="B",_xlfn.XLOOKUP($G251,ScoringTable!$N$2:$N$161,ScoringTable!$L$2:$L$161,,1),TRUE,_xlfn.XLOOKUP($G251,ScoringTable!$T$2:$T$161,ScoringTable!$R$2:$R$161,,1))</f>
        <v>0</v>
      </c>
      <c r="Q251" s="117">
        <f t="shared" si="15"/>
        <v>0</v>
      </c>
      <c r="R251" s="118">
        <f t="shared" si="16"/>
        <v>0</v>
      </c>
      <c r="S251" s="119">
        <f t="shared" si="17"/>
        <v>0</v>
      </c>
      <c r="T251" s="118">
        <f t="shared" si="18"/>
        <v>0</v>
      </c>
      <c r="U251" s="120">
        <f t="shared" si="19"/>
        <v>0</v>
      </c>
    </row>
    <row r="252" spans="1:21" s="7" customFormat="1" ht="16.05" customHeight="1">
      <c r="A252" s="113" t="s">
        <v>95</v>
      </c>
      <c r="B252" s="114" t="str">
        <f>IF(ISNA(VLOOKUP($F252,Declarations!B$6:C$185,2,FALSE)),"",IF(VLOOKUP($F252,Declarations!B$6:C$185,2,FALSE)="","NOT DECLARED",IF(ISNA(_xlfn.TEXTBEFORE(VLOOKUP($F252,Declarations!B$6:C$185,2,FALSE)," ")),VLOOKUP($F252,Declarations!B$6:C$185,2,FALSE),_xlfn.TEXTBEFORE(VLOOKUP($F252,Declarations!B$6:C$185,2,FALSE)," "))))</f>
        <v/>
      </c>
      <c r="C252" s="114" t="str">
        <f>IF(ISNA(VLOOKUP($F252,Declarations!B$6:C$185,2,FALSE)),"",IF(VLOOKUP($F252,Declarations!B$6:C$185,2,FALSE)="","NOT DECLARED",IF(ISNA(_xlfn.TEXTAFTER(VLOOKUP($F252,Declarations!B$6:C$185,2,FALSE)," ")),VLOOKUP($F252,Declarations!B$6:C$185,2,FALSE),_xlfn.TEXTAFTER(VLOOKUP($F252,Declarations!B$6:C$185,2,FALSE)," "))))</f>
        <v/>
      </c>
      <c r="D252" s="114" t="str">
        <f>IF(ISNA(VLOOKUP($F252,Declarations!$B$6:$F$185,5,FALSE)),"",IF(VLOOKUP($F252,Declarations!$B$6:$F$185,5,FALSE)="","NOT DECLARED",VLOOKUP($F252,Declarations!$B$6:$F$185,5,FALSE)))</f>
        <v/>
      </c>
      <c r="E252" s="112" t="str">
        <f>IF(ISNA(VLOOKUP($F252,Declarations!$B$6:$D$185,3,FALSE)),"",IF(VLOOKUP($F252,Declarations!$B$6:$D$185,3,FALSE)="","NOT DECLARED",VLOOKUP($F252,Declarations!$B$6:$D$185,3,FALSE)&amp;LEFT(VLOOKUP($F252,Declarations!$B$6:$E$185,4,FALSE))))</f>
        <v/>
      </c>
      <c r="F252" s="58"/>
      <c r="G252" s="115">
        <v>0</v>
      </c>
      <c r="H252" s="281"/>
      <c r="I252" s="114" t="str">
        <f>IF(ISNA(VLOOKUP(F252,Declarations!B$6:C$185,2,FALSE)),"",IF(VLOOKUP(F252,Declarations!B$6:C$185,2,FALSE)="","NOT DECLARED",VLOOKUP(F252,Declarations!B$6:C$185,2,FALSE)))</f>
        <v/>
      </c>
      <c r="J252" s="116">
        <f>IF(LOWER(G252)="dnf",1,IF(U252&lt;ScoringTable!C$3,ScoringTable!I$2,VLOOKUP((1000-U252),ScoringTable!H$2:I$95,2)))</f>
        <v>0</v>
      </c>
      <c r="K252" s="112" t="str">
        <f>IF(OR(E252="",G252=""),"",IF(RIGHT(E252,1)="G",_xlfn.XLOOKUP(G252,Data!$D$11:$L$11,Data!$D$9:$L$9,"",1,1),_xlfn.XLOOKUP(G252,Data!$D$4:$L$4,Data!$D$2:$L$2,"",1,1)))</f>
        <v/>
      </c>
      <c r="L252" s="160" t="str" cm="1">
        <f t="array" ref="L252">IFERROR(_xlfn.IFNA(
                      _xlfn.IFS(
                      G252="", "",
                      G252=0, "",
                      AND(E252="U12B",G252&lt;=Data!$M$4), "U12 Boys record",
                      AND(E252="U12G",G252&lt;=Data!$M$11), "U12 Girls record"
                       ),""), "")</f>
        <v/>
      </c>
      <c r="M252" s="18" cm="1">
        <f t="array" ref="M252">_xlfn.IFS(OR($G252="",$G252=0),0, AND(NOT(ISNUMBER($G252)),LOWER($G252)&lt;&gt;"dnf"),"Not a valid time",OR(LOWER($G252)="dnf",$G252&gt;ScoringTable!$N$161),1,RIGHT($E252,1)="B",_xlfn.XLOOKUP($G252,ScoringTable!$N$2:$N$161,ScoringTable!$L$2:$L$161,,1),TRUE,_xlfn.XLOOKUP($G252,ScoringTable!$T$2:$T$161,ScoringTable!$R$2:$R$161,,1))</f>
        <v>0</v>
      </c>
      <c r="Q252" s="117">
        <f t="shared" si="15"/>
        <v>0</v>
      </c>
      <c r="R252" s="118">
        <f t="shared" si="16"/>
        <v>0</v>
      </c>
      <c r="S252" s="119">
        <f t="shared" si="17"/>
        <v>0</v>
      </c>
      <c r="T252" s="118">
        <f t="shared" si="18"/>
        <v>0</v>
      </c>
      <c r="U252" s="120">
        <f t="shared" si="19"/>
        <v>0</v>
      </c>
    </row>
    <row r="253" spans="1:21" s="7" customFormat="1" ht="16.05" customHeight="1">
      <c r="A253" s="113" t="s">
        <v>95</v>
      </c>
      <c r="B253" s="114" t="str">
        <f>IF(ISNA(VLOOKUP($F253,Declarations!B$6:C$185,2,FALSE)),"",IF(VLOOKUP($F253,Declarations!B$6:C$185,2,FALSE)="","NOT DECLARED",IF(ISNA(_xlfn.TEXTBEFORE(VLOOKUP($F253,Declarations!B$6:C$185,2,FALSE)," ")),VLOOKUP($F253,Declarations!B$6:C$185,2,FALSE),_xlfn.TEXTBEFORE(VLOOKUP($F253,Declarations!B$6:C$185,2,FALSE)," "))))</f>
        <v/>
      </c>
      <c r="C253" s="114" t="str">
        <f>IF(ISNA(VLOOKUP($F253,Declarations!B$6:C$185,2,FALSE)),"",IF(VLOOKUP($F253,Declarations!B$6:C$185,2,FALSE)="","NOT DECLARED",IF(ISNA(_xlfn.TEXTAFTER(VLOOKUP($F253,Declarations!B$6:C$185,2,FALSE)," ")),VLOOKUP($F253,Declarations!B$6:C$185,2,FALSE),_xlfn.TEXTAFTER(VLOOKUP($F253,Declarations!B$6:C$185,2,FALSE)," "))))</f>
        <v/>
      </c>
      <c r="D253" s="114" t="str">
        <f>IF(ISNA(VLOOKUP($F253,Declarations!$B$6:$F$185,5,FALSE)),"",IF(VLOOKUP($F253,Declarations!$B$6:$F$185,5,FALSE)="","NOT DECLARED",VLOOKUP($F253,Declarations!$B$6:$F$185,5,FALSE)))</f>
        <v/>
      </c>
      <c r="E253" s="112" t="str">
        <f>IF(ISNA(VLOOKUP($F253,Declarations!$B$6:$D$185,3,FALSE)),"",IF(VLOOKUP($F253,Declarations!$B$6:$D$185,3,FALSE)="","NOT DECLARED",VLOOKUP($F253,Declarations!$B$6:$D$185,3,FALSE)&amp;LEFT(VLOOKUP($F253,Declarations!$B$6:$E$185,4,FALSE))))</f>
        <v/>
      </c>
      <c r="F253" s="58"/>
      <c r="G253" s="115">
        <v>0</v>
      </c>
      <c r="H253" s="281"/>
      <c r="I253" s="114" t="str">
        <f>IF(ISNA(VLOOKUP(F253,Declarations!B$6:C$185,2,FALSE)),"",IF(VLOOKUP(F253,Declarations!B$6:C$185,2,FALSE)="","NOT DECLARED",VLOOKUP(F253,Declarations!B$6:C$185,2,FALSE)))</f>
        <v/>
      </c>
      <c r="J253" s="116">
        <f>IF(LOWER(G253)="dnf",1,IF(U253&lt;ScoringTable!C$3,ScoringTable!I$2,VLOOKUP((1000-U253),ScoringTable!H$2:I$95,2)))</f>
        <v>0</v>
      </c>
      <c r="K253" s="112" t="str">
        <f>IF(OR(E253="",G253=""),"",IF(RIGHT(E253,1)="G",_xlfn.XLOOKUP(G253,Data!$D$11:$L$11,Data!$D$9:$L$9,"",1,1),_xlfn.XLOOKUP(G253,Data!$D$4:$L$4,Data!$D$2:$L$2,"",1,1)))</f>
        <v/>
      </c>
      <c r="L253" s="160" t="str" cm="1">
        <f t="array" ref="L253">IFERROR(_xlfn.IFNA(
                      _xlfn.IFS(
                      G253="", "",
                      G253=0, "",
                      AND(E253="U12B",G253&lt;=Data!$M$4), "U12 Boys record",
                      AND(E253="U12G",G253&lt;=Data!$M$11), "U12 Girls record"
                       ),""), "")</f>
        <v/>
      </c>
      <c r="M253" s="18" cm="1">
        <f t="array" ref="M253">_xlfn.IFS(OR($G253="",$G253=0),0, AND(NOT(ISNUMBER($G253)),LOWER($G253)&lt;&gt;"dnf"),"Not a valid time",OR(LOWER($G253)="dnf",$G253&gt;ScoringTable!$N$161),1,RIGHT($E253,1)="B",_xlfn.XLOOKUP($G253,ScoringTable!$N$2:$N$161,ScoringTable!$L$2:$L$161,,1),TRUE,_xlfn.XLOOKUP($G253,ScoringTable!$T$2:$T$161,ScoringTable!$R$2:$R$161,,1))</f>
        <v>0</v>
      </c>
      <c r="Q253" s="117">
        <f t="shared" si="15"/>
        <v>0</v>
      </c>
      <c r="R253" s="118">
        <f t="shared" si="16"/>
        <v>0</v>
      </c>
      <c r="S253" s="119">
        <f t="shared" si="17"/>
        <v>0</v>
      </c>
      <c r="T253" s="118">
        <f t="shared" si="18"/>
        <v>0</v>
      </c>
      <c r="U253" s="120">
        <f t="shared" si="19"/>
        <v>0</v>
      </c>
    </row>
    <row r="254" spans="1:21" s="7" customFormat="1" ht="16.05" customHeight="1">
      <c r="A254" s="113" t="s">
        <v>95</v>
      </c>
      <c r="B254" s="114" t="str">
        <f>IF(ISNA(VLOOKUP($F254,Declarations!B$6:C$185,2,FALSE)),"",IF(VLOOKUP($F254,Declarations!B$6:C$185,2,FALSE)="","NOT DECLARED",IF(ISNA(_xlfn.TEXTBEFORE(VLOOKUP($F254,Declarations!B$6:C$185,2,FALSE)," ")),VLOOKUP($F254,Declarations!B$6:C$185,2,FALSE),_xlfn.TEXTBEFORE(VLOOKUP($F254,Declarations!B$6:C$185,2,FALSE)," "))))</f>
        <v/>
      </c>
      <c r="C254" s="114" t="str">
        <f>IF(ISNA(VLOOKUP($F254,Declarations!B$6:C$185,2,FALSE)),"",IF(VLOOKUP($F254,Declarations!B$6:C$185,2,FALSE)="","NOT DECLARED",IF(ISNA(_xlfn.TEXTAFTER(VLOOKUP($F254,Declarations!B$6:C$185,2,FALSE)," ")),VLOOKUP($F254,Declarations!B$6:C$185,2,FALSE),_xlfn.TEXTAFTER(VLOOKUP($F254,Declarations!B$6:C$185,2,FALSE)," "))))</f>
        <v/>
      </c>
      <c r="D254" s="114" t="str">
        <f>IF(ISNA(VLOOKUP($F254,Declarations!$B$6:$F$185,5,FALSE)),"",IF(VLOOKUP($F254,Declarations!$B$6:$F$185,5,FALSE)="","NOT DECLARED",VLOOKUP($F254,Declarations!$B$6:$F$185,5,FALSE)))</f>
        <v/>
      </c>
      <c r="E254" s="112" t="str">
        <f>IF(ISNA(VLOOKUP($F254,Declarations!$B$6:$D$185,3,FALSE)),"",IF(VLOOKUP($F254,Declarations!$B$6:$D$185,3,FALSE)="","NOT DECLARED",VLOOKUP($F254,Declarations!$B$6:$D$185,3,FALSE)&amp;LEFT(VLOOKUP($F254,Declarations!$B$6:$E$185,4,FALSE))))</f>
        <v/>
      </c>
      <c r="F254" s="58"/>
      <c r="G254" s="115">
        <v>0</v>
      </c>
      <c r="H254" s="281"/>
      <c r="I254" s="114" t="str">
        <f>IF(ISNA(VLOOKUP(F254,Declarations!B$6:C$185,2,FALSE)),"",IF(VLOOKUP(F254,Declarations!B$6:C$185,2,FALSE)="","NOT DECLARED",VLOOKUP(F254,Declarations!B$6:C$185,2,FALSE)))</f>
        <v/>
      </c>
      <c r="J254" s="116">
        <f>IF(LOWER(G254)="dnf",1,IF(U254&lt;ScoringTable!C$3,ScoringTable!I$2,VLOOKUP((1000-U254),ScoringTable!H$2:I$95,2)))</f>
        <v>0</v>
      </c>
      <c r="K254" s="112" t="str">
        <f>IF(OR(E254="",G254=""),"",IF(RIGHT(E254,1)="G",_xlfn.XLOOKUP(G254,Data!$D$11:$L$11,Data!$D$9:$L$9,"",1,1),_xlfn.XLOOKUP(G254,Data!$D$4:$L$4,Data!$D$2:$L$2,"",1,1)))</f>
        <v/>
      </c>
      <c r="L254" s="160" t="str" cm="1">
        <f t="array" ref="L254">IFERROR(_xlfn.IFNA(
                      _xlfn.IFS(
                      G254="", "",
                      G254=0, "",
                      AND(E254="U12B",G254&lt;=Data!$M$4), "U12 Boys record",
                      AND(E254="U12G",G254&lt;=Data!$M$11), "U12 Girls record"
                       ),""), "")</f>
        <v/>
      </c>
      <c r="M254" s="18" cm="1">
        <f t="array" ref="M254">_xlfn.IFS(OR($G254="",$G254=0),0, AND(NOT(ISNUMBER($G254)),LOWER($G254)&lt;&gt;"dnf"),"Not a valid time",OR(LOWER($G254)="dnf",$G254&gt;ScoringTable!$N$161),1,RIGHT($E254,1)="B",_xlfn.XLOOKUP($G254,ScoringTable!$N$2:$N$161,ScoringTable!$L$2:$L$161,,1),TRUE,_xlfn.XLOOKUP($G254,ScoringTable!$T$2:$T$161,ScoringTable!$R$2:$R$161,,1))</f>
        <v>0</v>
      </c>
      <c r="Q254" s="117">
        <f t="shared" si="15"/>
        <v>0</v>
      </c>
      <c r="R254" s="118">
        <f t="shared" si="16"/>
        <v>0</v>
      </c>
      <c r="S254" s="119">
        <f t="shared" si="17"/>
        <v>0</v>
      </c>
      <c r="T254" s="118">
        <f t="shared" si="18"/>
        <v>0</v>
      </c>
      <c r="U254" s="120">
        <f t="shared" si="19"/>
        <v>0</v>
      </c>
    </row>
    <row r="255" spans="1:21" s="7" customFormat="1" ht="16.05" customHeight="1">
      <c r="A255" s="113" t="s">
        <v>95</v>
      </c>
      <c r="B255" s="114" t="str">
        <f>IF(ISNA(VLOOKUP($F255,Declarations!B$6:C$185,2,FALSE)),"",IF(VLOOKUP($F255,Declarations!B$6:C$185,2,FALSE)="","NOT DECLARED",IF(ISNA(_xlfn.TEXTBEFORE(VLOOKUP($F255,Declarations!B$6:C$185,2,FALSE)," ")),VLOOKUP($F255,Declarations!B$6:C$185,2,FALSE),_xlfn.TEXTBEFORE(VLOOKUP($F255,Declarations!B$6:C$185,2,FALSE)," "))))</f>
        <v/>
      </c>
      <c r="C255" s="114" t="str">
        <f>IF(ISNA(VLOOKUP($F255,Declarations!B$6:C$185,2,FALSE)),"",IF(VLOOKUP($F255,Declarations!B$6:C$185,2,FALSE)="","NOT DECLARED",IF(ISNA(_xlfn.TEXTAFTER(VLOOKUP($F255,Declarations!B$6:C$185,2,FALSE)," ")),VLOOKUP($F255,Declarations!B$6:C$185,2,FALSE),_xlfn.TEXTAFTER(VLOOKUP($F255,Declarations!B$6:C$185,2,FALSE)," "))))</f>
        <v/>
      </c>
      <c r="D255" s="114" t="str">
        <f>IF(ISNA(VLOOKUP($F255,Declarations!$B$6:$F$185,5,FALSE)),"",IF(VLOOKUP($F255,Declarations!$B$6:$F$185,5,FALSE)="","NOT DECLARED",VLOOKUP($F255,Declarations!$B$6:$F$185,5,FALSE)))</f>
        <v/>
      </c>
      <c r="E255" s="112" t="str">
        <f>IF(ISNA(VLOOKUP($F255,Declarations!$B$6:$D$185,3,FALSE)),"",IF(VLOOKUP($F255,Declarations!$B$6:$D$185,3,FALSE)="","NOT DECLARED",VLOOKUP($F255,Declarations!$B$6:$D$185,3,FALSE)&amp;LEFT(VLOOKUP($F255,Declarations!$B$6:$E$185,4,FALSE))))</f>
        <v/>
      </c>
      <c r="F255" s="58"/>
      <c r="G255" s="115">
        <v>0</v>
      </c>
      <c r="H255" s="281"/>
      <c r="I255" s="114" t="str">
        <f>IF(ISNA(VLOOKUP(F255,Declarations!B$6:C$185,2,FALSE)),"",IF(VLOOKUP(F255,Declarations!B$6:C$185,2,FALSE)="","NOT DECLARED",VLOOKUP(F255,Declarations!B$6:C$185,2,FALSE)))</f>
        <v/>
      </c>
      <c r="J255" s="116">
        <f>IF(LOWER(G255)="dnf",1,IF(U255&lt;ScoringTable!C$3,ScoringTable!I$2,VLOOKUP((1000-U255),ScoringTable!H$2:I$95,2)))</f>
        <v>0</v>
      </c>
      <c r="K255" s="112" t="str">
        <f>IF(OR(E255="",G255=""),"",IF(RIGHT(E255,1)="G",_xlfn.XLOOKUP(G255,Data!$D$11:$L$11,Data!$D$9:$L$9,"",1,1),_xlfn.XLOOKUP(G255,Data!$D$4:$L$4,Data!$D$2:$L$2,"",1,1)))</f>
        <v/>
      </c>
      <c r="L255" s="160" t="str" cm="1">
        <f t="array" ref="L255">IFERROR(_xlfn.IFNA(
                      _xlfn.IFS(
                      G255="", "",
                      G255=0, "",
                      AND(E255="U12B",G255&lt;=Data!$M$4), "U12 Boys record",
                      AND(E255="U12G",G255&lt;=Data!$M$11), "U12 Girls record"
                       ),""), "")</f>
        <v/>
      </c>
      <c r="M255" s="18" cm="1">
        <f t="array" ref="M255">_xlfn.IFS(OR($G255="",$G255=0),0, AND(NOT(ISNUMBER($G255)),LOWER($G255)&lt;&gt;"dnf"),"Not a valid time",OR(LOWER($G255)="dnf",$G255&gt;ScoringTable!$N$161),1,RIGHT($E255,1)="B",_xlfn.XLOOKUP($G255,ScoringTable!$N$2:$N$161,ScoringTable!$L$2:$L$161,,1),TRUE,_xlfn.XLOOKUP($G255,ScoringTable!$T$2:$T$161,ScoringTable!$R$2:$R$161,,1))</f>
        <v>0</v>
      </c>
      <c r="Q255" s="117">
        <f t="shared" si="15"/>
        <v>0</v>
      </c>
      <c r="R255" s="118">
        <f t="shared" si="16"/>
        <v>0</v>
      </c>
      <c r="S255" s="119">
        <f t="shared" si="17"/>
        <v>0</v>
      </c>
      <c r="T255" s="118">
        <f t="shared" si="18"/>
        <v>0</v>
      </c>
      <c r="U255" s="120">
        <f t="shared" si="19"/>
        <v>0</v>
      </c>
    </row>
    <row r="256" spans="1:21" s="7" customFormat="1" ht="16.05" customHeight="1">
      <c r="A256" s="113" t="s">
        <v>95</v>
      </c>
      <c r="B256" s="114" t="str">
        <f>IF(ISNA(VLOOKUP($F256,Declarations!B$6:C$185,2,FALSE)),"",IF(VLOOKUP($F256,Declarations!B$6:C$185,2,FALSE)="","NOT DECLARED",IF(ISNA(_xlfn.TEXTBEFORE(VLOOKUP($F256,Declarations!B$6:C$185,2,FALSE)," ")),VLOOKUP($F256,Declarations!B$6:C$185,2,FALSE),_xlfn.TEXTBEFORE(VLOOKUP($F256,Declarations!B$6:C$185,2,FALSE)," "))))</f>
        <v/>
      </c>
      <c r="C256" s="114" t="str">
        <f>IF(ISNA(VLOOKUP($F256,Declarations!B$6:C$185,2,FALSE)),"",IF(VLOOKUP($F256,Declarations!B$6:C$185,2,FALSE)="","NOT DECLARED",IF(ISNA(_xlfn.TEXTAFTER(VLOOKUP($F256,Declarations!B$6:C$185,2,FALSE)," ")),VLOOKUP($F256,Declarations!B$6:C$185,2,FALSE),_xlfn.TEXTAFTER(VLOOKUP($F256,Declarations!B$6:C$185,2,FALSE)," "))))</f>
        <v/>
      </c>
      <c r="D256" s="114" t="str">
        <f>IF(ISNA(VLOOKUP($F256,Declarations!$B$6:$F$185,5,FALSE)),"",IF(VLOOKUP($F256,Declarations!$B$6:$F$185,5,FALSE)="","NOT DECLARED",VLOOKUP($F256,Declarations!$B$6:$F$185,5,FALSE)))</f>
        <v/>
      </c>
      <c r="E256" s="112" t="str">
        <f>IF(ISNA(VLOOKUP($F256,Declarations!$B$6:$D$185,3,FALSE)),"",IF(VLOOKUP($F256,Declarations!$B$6:$D$185,3,FALSE)="","NOT DECLARED",VLOOKUP($F256,Declarations!$B$6:$D$185,3,FALSE)&amp;LEFT(VLOOKUP($F256,Declarations!$B$6:$E$185,4,FALSE))))</f>
        <v/>
      </c>
      <c r="F256" s="58"/>
      <c r="G256" s="115">
        <v>0</v>
      </c>
      <c r="H256" s="281"/>
      <c r="I256" s="114" t="str">
        <f>IF(ISNA(VLOOKUP(F256,Declarations!B$6:C$185,2,FALSE)),"",IF(VLOOKUP(F256,Declarations!B$6:C$185,2,FALSE)="","NOT DECLARED",VLOOKUP(F256,Declarations!B$6:C$185,2,FALSE)))</f>
        <v/>
      </c>
      <c r="J256" s="116">
        <f>IF(LOWER(G256)="dnf",1,IF(U256&lt;ScoringTable!C$3,ScoringTable!I$2,VLOOKUP((1000-U256),ScoringTable!H$2:I$95,2)))</f>
        <v>0</v>
      </c>
      <c r="K256" s="112" t="str">
        <f>IF(OR(E256="",G256=""),"",IF(RIGHT(E256,1)="G",_xlfn.XLOOKUP(G256,Data!$D$11:$L$11,Data!$D$9:$L$9,"",1,1),_xlfn.XLOOKUP(G256,Data!$D$4:$L$4,Data!$D$2:$L$2,"",1,1)))</f>
        <v/>
      </c>
      <c r="L256" s="160" t="str" cm="1">
        <f t="array" ref="L256">IFERROR(_xlfn.IFNA(
                      _xlfn.IFS(
                      G256="", "",
                      G256=0, "",
                      AND(E256="U12B",G256&lt;=Data!$M$4), "U12 Boys record",
                      AND(E256="U12G",G256&lt;=Data!$M$11), "U12 Girls record"
                       ),""), "")</f>
        <v/>
      </c>
      <c r="M256" s="18" cm="1">
        <f t="array" ref="M256">_xlfn.IFS(OR($G256="",$G256=0),0, AND(NOT(ISNUMBER($G256)),LOWER($G256)&lt;&gt;"dnf"),"Not a valid time",OR(LOWER($G256)="dnf",$G256&gt;ScoringTable!$N$161),1,RIGHT($E256,1)="B",_xlfn.XLOOKUP($G256,ScoringTable!$N$2:$N$161,ScoringTable!$L$2:$L$161,,1),TRUE,_xlfn.XLOOKUP($G256,ScoringTable!$T$2:$T$161,ScoringTable!$R$2:$R$161,,1))</f>
        <v>0</v>
      </c>
      <c r="Q256" s="117">
        <f t="shared" si="15"/>
        <v>0</v>
      </c>
      <c r="R256" s="118">
        <f t="shared" si="16"/>
        <v>0</v>
      </c>
      <c r="S256" s="119">
        <f t="shared" si="17"/>
        <v>0</v>
      </c>
      <c r="T256" s="118">
        <f t="shared" si="18"/>
        <v>0</v>
      </c>
      <c r="U256" s="120">
        <f t="shared" si="19"/>
        <v>0</v>
      </c>
    </row>
    <row r="257" spans="1:21" s="7" customFormat="1" ht="16.05" customHeight="1">
      <c r="A257" s="113" t="s">
        <v>95</v>
      </c>
      <c r="B257" s="114" t="str">
        <f>IF(ISNA(VLOOKUP($F257,Declarations!B$6:C$185,2,FALSE)),"",IF(VLOOKUP($F257,Declarations!B$6:C$185,2,FALSE)="","NOT DECLARED",IF(ISNA(_xlfn.TEXTBEFORE(VLOOKUP($F257,Declarations!B$6:C$185,2,FALSE)," ")),VLOOKUP($F257,Declarations!B$6:C$185,2,FALSE),_xlfn.TEXTBEFORE(VLOOKUP($F257,Declarations!B$6:C$185,2,FALSE)," "))))</f>
        <v/>
      </c>
      <c r="C257" s="114" t="str">
        <f>IF(ISNA(VLOOKUP($F257,Declarations!B$6:C$185,2,FALSE)),"",IF(VLOOKUP($F257,Declarations!B$6:C$185,2,FALSE)="","NOT DECLARED",IF(ISNA(_xlfn.TEXTAFTER(VLOOKUP($F257,Declarations!B$6:C$185,2,FALSE)," ")),VLOOKUP($F257,Declarations!B$6:C$185,2,FALSE),_xlfn.TEXTAFTER(VLOOKUP($F257,Declarations!B$6:C$185,2,FALSE)," "))))</f>
        <v/>
      </c>
      <c r="D257" s="114" t="str">
        <f>IF(ISNA(VLOOKUP($F257,Declarations!$B$6:$F$185,5,FALSE)),"",IF(VLOOKUP($F257,Declarations!$B$6:$F$185,5,FALSE)="","NOT DECLARED",VLOOKUP($F257,Declarations!$B$6:$F$185,5,FALSE)))</f>
        <v/>
      </c>
      <c r="E257" s="112" t="str">
        <f>IF(ISNA(VLOOKUP($F257,Declarations!$B$6:$D$185,3,FALSE)),"",IF(VLOOKUP($F257,Declarations!$B$6:$D$185,3,FALSE)="","NOT DECLARED",VLOOKUP($F257,Declarations!$B$6:$D$185,3,FALSE)&amp;LEFT(VLOOKUP($F257,Declarations!$B$6:$E$185,4,FALSE))))</f>
        <v/>
      </c>
      <c r="F257" s="58"/>
      <c r="G257" s="115">
        <v>0</v>
      </c>
      <c r="H257" s="281"/>
      <c r="I257" s="114" t="str">
        <f>IF(ISNA(VLOOKUP(F257,Declarations!B$6:C$185,2,FALSE)),"",IF(VLOOKUP(F257,Declarations!B$6:C$185,2,FALSE)="","NOT DECLARED",VLOOKUP(F257,Declarations!B$6:C$185,2,FALSE)))</f>
        <v/>
      </c>
      <c r="J257" s="116">
        <f>IF(LOWER(G257)="dnf",1,IF(U257&lt;ScoringTable!C$3,ScoringTable!I$2,VLOOKUP((1000-U257),ScoringTable!H$2:I$95,2)))</f>
        <v>0</v>
      </c>
      <c r="K257" s="112" t="str">
        <f>IF(OR(E257="",G257=""),"",IF(RIGHT(E257,1)="G",_xlfn.XLOOKUP(G257,Data!$D$11:$L$11,Data!$D$9:$L$9,"",1,1),_xlfn.XLOOKUP(G257,Data!$D$4:$L$4,Data!$D$2:$L$2,"",1,1)))</f>
        <v/>
      </c>
      <c r="L257" s="160" t="str" cm="1">
        <f t="array" ref="L257">IFERROR(_xlfn.IFNA(
                      _xlfn.IFS(
                      G257="", "",
                      G257=0, "",
                      AND(E257="U12B",G257&lt;=Data!$M$4), "U12 Boys record",
                      AND(E257="U12G",G257&lt;=Data!$M$11), "U12 Girls record"
                       ),""), "")</f>
        <v/>
      </c>
      <c r="M257" s="18" cm="1">
        <f t="array" ref="M257">_xlfn.IFS(OR($G257="",$G257=0),0, AND(NOT(ISNUMBER($G257)),LOWER($G257)&lt;&gt;"dnf"),"Not a valid time",OR(LOWER($G257)="dnf",$G257&gt;ScoringTable!$N$161),1,RIGHT($E257,1)="B",_xlfn.XLOOKUP($G257,ScoringTable!$N$2:$N$161,ScoringTable!$L$2:$L$161,,1),TRUE,_xlfn.XLOOKUP($G257,ScoringTable!$T$2:$T$161,ScoringTable!$R$2:$R$161,,1))</f>
        <v>0</v>
      </c>
      <c r="Q257" s="117">
        <f t="shared" si="15"/>
        <v>0</v>
      </c>
      <c r="R257" s="118">
        <f t="shared" si="16"/>
        <v>0</v>
      </c>
      <c r="S257" s="119">
        <f t="shared" si="17"/>
        <v>0</v>
      </c>
      <c r="T257" s="118">
        <f t="shared" si="18"/>
        <v>0</v>
      </c>
      <c r="U257" s="120">
        <f t="shared" si="19"/>
        <v>0</v>
      </c>
    </row>
    <row r="258" spans="1:21" s="7" customFormat="1" ht="16.05" customHeight="1">
      <c r="A258" s="113" t="s">
        <v>95</v>
      </c>
      <c r="B258" s="114" t="str">
        <f>IF(ISNA(VLOOKUP($F258,Declarations!B$6:C$185,2,FALSE)),"",IF(VLOOKUP($F258,Declarations!B$6:C$185,2,FALSE)="","NOT DECLARED",IF(ISNA(_xlfn.TEXTBEFORE(VLOOKUP($F258,Declarations!B$6:C$185,2,FALSE)," ")),VLOOKUP($F258,Declarations!B$6:C$185,2,FALSE),_xlfn.TEXTBEFORE(VLOOKUP($F258,Declarations!B$6:C$185,2,FALSE)," "))))</f>
        <v/>
      </c>
      <c r="C258" s="114" t="str">
        <f>IF(ISNA(VLOOKUP($F258,Declarations!B$6:C$185,2,FALSE)),"",IF(VLOOKUP($F258,Declarations!B$6:C$185,2,FALSE)="","NOT DECLARED",IF(ISNA(_xlfn.TEXTAFTER(VLOOKUP($F258,Declarations!B$6:C$185,2,FALSE)," ")),VLOOKUP($F258,Declarations!B$6:C$185,2,FALSE),_xlfn.TEXTAFTER(VLOOKUP($F258,Declarations!B$6:C$185,2,FALSE)," "))))</f>
        <v/>
      </c>
      <c r="D258" s="114" t="str">
        <f>IF(ISNA(VLOOKUP($F258,Declarations!$B$6:$F$185,5,FALSE)),"",IF(VLOOKUP($F258,Declarations!$B$6:$F$185,5,FALSE)="","NOT DECLARED",VLOOKUP($F258,Declarations!$B$6:$F$185,5,FALSE)))</f>
        <v/>
      </c>
      <c r="E258" s="112" t="str">
        <f>IF(ISNA(VLOOKUP($F258,Declarations!$B$6:$D$185,3,FALSE)),"",IF(VLOOKUP($F258,Declarations!$B$6:$D$185,3,FALSE)="","NOT DECLARED",VLOOKUP($F258,Declarations!$B$6:$D$185,3,FALSE)&amp;LEFT(VLOOKUP($F258,Declarations!$B$6:$E$185,4,FALSE))))</f>
        <v/>
      </c>
      <c r="F258" s="58"/>
      <c r="G258" s="115">
        <v>0</v>
      </c>
      <c r="H258" s="281"/>
      <c r="I258" s="114" t="str">
        <f>IF(ISNA(VLOOKUP(F258,Declarations!B$6:C$185,2,FALSE)),"",IF(VLOOKUP(F258,Declarations!B$6:C$185,2,FALSE)="","NOT DECLARED",VLOOKUP(F258,Declarations!B$6:C$185,2,FALSE)))</f>
        <v/>
      </c>
      <c r="J258" s="116">
        <f>IF(LOWER(G258)="dnf",1,IF(U258&lt;ScoringTable!C$3,ScoringTable!I$2,VLOOKUP((1000-U258),ScoringTable!H$2:I$95,2)))</f>
        <v>0</v>
      </c>
      <c r="K258" s="112" t="str">
        <f>IF(OR(E258="",G258=""),"",IF(RIGHT(E258,1)="G",_xlfn.XLOOKUP(G258,Data!$D$11:$L$11,Data!$D$9:$L$9,"",1,1),_xlfn.XLOOKUP(G258,Data!$D$4:$L$4,Data!$D$2:$L$2,"",1,1)))</f>
        <v/>
      </c>
      <c r="L258" s="160" t="str" cm="1">
        <f t="array" ref="L258">IFERROR(_xlfn.IFNA(
                      _xlfn.IFS(
                      G258="", "",
                      G258=0, "",
                      AND(E258="U12B",G258&lt;=Data!$M$4), "U12 Boys record",
                      AND(E258="U12G",G258&lt;=Data!$M$11), "U12 Girls record"
                       ),""), "")</f>
        <v/>
      </c>
      <c r="M258" s="18" cm="1">
        <f t="array" ref="M258">_xlfn.IFS(OR($G258="",$G258=0),0, AND(NOT(ISNUMBER($G258)),LOWER($G258)&lt;&gt;"dnf"),"Not a valid time",OR(LOWER($G258)="dnf",$G258&gt;ScoringTable!$N$161),1,RIGHT($E258,1)="B",_xlfn.XLOOKUP($G258,ScoringTable!$N$2:$N$161,ScoringTable!$L$2:$L$161,,1),TRUE,_xlfn.XLOOKUP($G258,ScoringTable!$T$2:$T$161,ScoringTable!$R$2:$R$161,,1))</f>
        <v>0</v>
      </c>
      <c r="Q258" s="117">
        <f t="shared" si="15"/>
        <v>0</v>
      </c>
      <c r="R258" s="118">
        <f t="shared" si="16"/>
        <v>0</v>
      </c>
      <c r="S258" s="119">
        <f t="shared" si="17"/>
        <v>0</v>
      </c>
      <c r="T258" s="118">
        <f t="shared" si="18"/>
        <v>0</v>
      </c>
      <c r="U258" s="120">
        <f t="shared" si="19"/>
        <v>0</v>
      </c>
    </row>
    <row r="259" spans="1:21" s="7" customFormat="1" ht="16.05" customHeight="1">
      <c r="A259" s="113" t="s">
        <v>95</v>
      </c>
      <c r="B259" s="114" t="str">
        <f>IF(ISNA(VLOOKUP($F259,Declarations!B$6:C$185,2,FALSE)),"",IF(VLOOKUP($F259,Declarations!B$6:C$185,2,FALSE)="","NOT DECLARED",IF(ISNA(_xlfn.TEXTBEFORE(VLOOKUP($F259,Declarations!B$6:C$185,2,FALSE)," ")),VLOOKUP($F259,Declarations!B$6:C$185,2,FALSE),_xlfn.TEXTBEFORE(VLOOKUP($F259,Declarations!B$6:C$185,2,FALSE)," "))))</f>
        <v/>
      </c>
      <c r="C259" s="114" t="str">
        <f>IF(ISNA(VLOOKUP($F259,Declarations!B$6:C$185,2,FALSE)),"",IF(VLOOKUP($F259,Declarations!B$6:C$185,2,FALSE)="","NOT DECLARED",IF(ISNA(_xlfn.TEXTAFTER(VLOOKUP($F259,Declarations!B$6:C$185,2,FALSE)," ")),VLOOKUP($F259,Declarations!B$6:C$185,2,FALSE),_xlfn.TEXTAFTER(VLOOKUP($F259,Declarations!B$6:C$185,2,FALSE)," "))))</f>
        <v/>
      </c>
      <c r="D259" s="114" t="str">
        <f>IF(ISNA(VLOOKUP($F259,Declarations!$B$6:$F$185,5,FALSE)),"",IF(VLOOKUP($F259,Declarations!$B$6:$F$185,5,FALSE)="","NOT DECLARED",VLOOKUP($F259,Declarations!$B$6:$F$185,5,FALSE)))</f>
        <v/>
      </c>
      <c r="E259" s="112" t="str">
        <f>IF(ISNA(VLOOKUP($F259,Declarations!$B$6:$D$185,3,FALSE)),"",IF(VLOOKUP($F259,Declarations!$B$6:$D$185,3,FALSE)="","NOT DECLARED",VLOOKUP($F259,Declarations!$B$6:$D$185,3,FALSE)&amp;LEFT(VLOOKUP($F259,Declarations!$B$6:$E$185,4,FALSE))))</f>
        <v/>
      </c>
      <c r="F259" s="58"/>
      <c r="G259" s="115">
        <v>0</v>
      </c>
      <c r="H259" s="281"/>
      <c r="I259" s="114" t="str">
        <f>IF(ISNA(VLOOKUP(F259,Declarations!B$6:C$185,2,FALSE)),"",IF(VLOOKUP(F259,Declarations!B$6:C$185,2,FALSE)="","NOT DECLARED",VLOOKUP(F259,Declarations!B$6:C$185,2,FALSE)))</f>
        <v/>
      </c>
      <c r="J259" s="116">
        <f>IF(LOWER(G259)="dnf",1,IF(U259&lt;ScoringTable!C$3,ScoringTable!I$2,VLOOKUP((1000-U259),ScoringTable!H$2:I$95,2)))</f>
        <v>0</v>
      </c>
      <c r="K259" s="112" t="str">
        <f>IF(OR(E259="",G259=""),"",IF(RIGHT(E259,1)="G",_xlfn.XLOOKUP(G259,Data!$D$11:$L$11,Data!$D$9:$L$9,"",1,1),_xlfn.XLOOKUP(G259,Data!$D$4:$L$4,Data!$D$2:$L$2,"",1,1)))</f>
        <v/>
      </c>
      <c r="L259" s="160" t="str" cm="1">
        <f t="array" ref="L259">IFERROR(_xlfn.IFNA(
                      _xlfn.IFS(
                      G259="", "",
                      G259=0, "",
                      AND(E259="U12B",G259&lt;=Data!$M$4), "U12 Boys record",
                      AND(E259="U12G",G259&lt;=Data!$M$11), "U12 Girls record"
                       ),""), "")</f>
        <v/>
      </c>
      <c r="M259" s="18" cm="1">
        <f t="array" ref="M259">_xlfn.IFS(OR($G259="",$G259=0),0, AND(NOT(ISNUMBER($G259)),LOWER($G259)&lt;&gt;"dnf"),"Not a valid time",OR(LOWER($G259)="dnf",$G259&gt;ScoringTable!$N$161),1,RIGHT($E259,1)="B",_xlfn.XLOOKUP($G259,ScoringTable!$N$2:$N$161,ScoringTable!$L$2:$L$161,,1),TRUE,_xlfn.XLOOKUP($G259,ScoringTable!$T$2:$T$161,ScoringTable!$R$2:$R$161,,1))</f>
        <v>0</v>
      </c>
      <c r="Q259" s="117">
        <f t="shared" si="15"/>
        <v>0</v>
      </c>
      <c r="R259" s="118">
        <f t="shared" si="16"/>
        <v>0</v>
      </c>
      <c r="S259" s="119">
        <f t="shared" si="17"/>
        <v>0</v>
      </c>
      <c r="T259" s="118">
        <f t="shared" si="18"/>
        <v>0</v>
      </c>
      <c r="U259" s="120">
        <f t="shared" si="19"/>
        <v>0</v>
      </c>
    </row>
    <row r="260" spans="1:21" s="7" customFormat="1" ht="16.05" customHeight="1">
      <c r="A260" s="113" t="s">
        <v>95</v>
      </c>
      <c r="B260" s="114" t="str">
        <f>IF(ISNA(VLOOKUP($F260,Declarations!B$6:C$185,2,FALSE)),"",IF(VLOOKUP($F260,Declarations!B$6:C$185,2,FALSE)="","NOT DECLARED",IF(ISNA(_xlfn.TEXTBEFORE(VLOOKUP($F260,Declarations!B$6:C$185,2,FALSE)," ")),VLOOKUP($F260,Declarations!B$6:C$185,2,FALSE),_xlfn.TEXTBEFORE(VLOOKUP($F260,Declarations!B$6:C$185,2,FALSE)," "))))</f>
        <v/>
      </c>
      <c r="C260" s="114" t="str">
        <f>IF(ISNA(VLOOKUP($F260,Declarations!B$6:C$185,2,FALSE)),"",IF(VLOOKUP($F260,Declarations!B$6:C$185,2,FALSE)="","NOT DECLARED",IF(ISNA(_xlfn.TEXTAFTER(VLOOKUP($F260,Declarations!B$6:C$185,2,FALSE)," ")),VLOOKUP($F260,Declarations!B$6:C$185,2,FALSE),_xlfn.TEXTAFTER(VLOOKUP($F260,Declarations!B$6:C$185,2,FALSE)," "))))</f>
        <v/>
      </c>
      <c r="D260" s="114" t="str">
        <f>IF(ISNA(VLOOKUP($F260,Declarations!$B$6:$F$185,5,FALSE)),"",IF(VLOOKUP($F260,Declarations!$B$6:$F$185,5,FALSE)="","NOT DECLARED",VLOOKUP($F260,Declarations!$B$6:$F$185,5,FALSE)))</f>
        <v/>
      </c>
      <c r="E260" s="112" t="str">
        <f>IF(ISNA(VLOOKUP($F260,Declarations!$B$6:$D$185,3,FALSE)),"",IF(VLOOKUP($F260,Declarations!$B$6:$D$185,3,FALSE)="","NOT DECLARED",VLOOKUP($F260,Declarations!$B$6:$D$185,3,FALSE)&amp;LEFT(VLOOKUP($F260,Declarations!$B$6:$E$185,4,FALSE))))</f>
        <v/>
      </c>
      <c r="F260" s="58"/>
      <c r="G260" s="115">
        <v>0</v>
      </c>
      <c r="H260" s="281"/>
      <c r="I260" s="114" t="str">
        <f>IF(ISNA(VLOOKUP(F260,Declarations!B$6:C$185,2,FALSE)),"",IF(VLOOKUP(F260,Declarations!B$6:C$185,2,FALSE)="","NOT DECLARED",VLOOKUP(F260,Declarations!B$6:C$185,2,FALSE)))</f>
        <v/>
      </c>
      <c r="J260" s="116">
        <f>IF(LOWER(G260)="dnf",1,IF(U260&lt;ScoringTable!C$3,ScoringTable!I$2,VLOOKUP((1000-U260),ScoringTable!H$2:I$95,2)))</f>
        <v>0</v>
      </c>
      <c r="K260" s="112" t="str">
        <f>IF(OR(E260="",G260=""),"",IF(RIGHT(E260,1)="G",_xlfn.XLOOKUP(G260,Data!$D$11:$L$11,Data!$D$9:$L$9,"",1,1),_xlfn.XLOOKUP(G260,Data!$D$4:$L$4,Data!$D$2:$L$2,"",1,1)))</f>
        <v/>
      </c>
      <c r="L260" s="160" t="str" cm="1">
        <f t="array" ref="L260">IFERROR(_xlfn.IFNA(
                      _xlfn.IFS(
                      G260="", "",
                      G260=0, "",
                      AND(E260="U12B",G260&lt;=Data!$M$4), "U12 Boys record",
                      AND(E260="U12G",G260&lt;=Data!$M$11), "U12 Girls record"
                       ),""), "")</f>
        <v/>
      </c>
      <c r="M260" s="18" cm="1">
        <f t="array" ref="M260">_xlfn.IFS(OR($G260="",$G260=0),0, AND(NOT(ISNUMBER($G260)),LOWER($G260)&lt;&gt;"dnf"),"Not a valid time",OR(LOWER($G260)="dnf",$G260&gt;ScoringTable!$N$161),1,RIGHT($E260,1)="B",_xlfn.XLOOKUP($G260,ScoringTable!$N$2:$N$161,ScoringTable!$L$2:$L$161,,1),TRUE,_xlfn.XLOOKUP($G260,ScoringTable!$T$2:$T$161,ScoringTable!$R$2:$R$161,,1))</f>
        <v>0</v>
      </c>
      <c r="Q260" s="117">
        <f t="shared" si="15"/>
        <v>0</v>
      </c>
      <c r="R260" s="118">
        <f t="shared" si="16"/>
        <v>0</v>
      </c>
      <c r="S260" s="119">
        <f t="shared" si="17"/>
        <v>0</v>
      </c>
      <c r="T260" s="118">
        <f t="shared" si="18"/>
        <v>0</v>
      </c>
      <c r="U260" s="120">
        <f t="shared" si="19"/>
        <v>0</v>
      </c>
    </row>
    <row r="261" spans="1:21" s="7" customFormat="1" ht="16.05" customHeight="1">
      <c r="A261" s="113" t="s">
        <v>95</v>
      </c>
      <c r="B261" s="114" t="str">
        <f>IF(ISNA(VLOOKUP($F261,Declarations!B$6:C$185,2,FALSE)),"",IF(VLOOKUP($F261,Declarations!B$6:C$185,2,FALSE)="","NOT DECLARED",IF(ISNA(_xlfn.TEXTBEFORE(VLOOKUP($F261,Declarations!B$6:C$185,2,FALSE)," ")),VLOOKUP($F261,Declarations!B$6:C$185,2,FALSE),_xlfn.TEXTBEFORE(VLOOKUP($F261,Declarations!B$6:C$185,2,FALSE)," "))))</f>
        <v/>
      </c>
      <c r="C261" s="114" t="str">
        <f>IF(ISNA(VLOOKUP($F261,Declarations!B$6:C$185,2,FALSE)),"",IF(VLOOKUP($F261,Declarations!B$6:C$185,2,FALSE)="","NOT DECLARED",IF(ISNA(_xlfn.TEXTAFTER(VLOOKUP($F261,Declarations!B$6:C$185,2,FALSE)," ")),VLOOKUP($F261,Declarations!B$6:C$185,2,FALSE),_xlfn.TEXTAFTER(VLOOKUP($F261,Declarations!B$6:C$185,2,FALSE)," "))))</f>
        <v/>
      </c>
      <c r="D261" s="114" t="str">
        <f>IF(ISNA(VLOOKUP($F261,Declarations!$B$6:$F$185,5,FALSE)),"",IF(VLOOKUP($F261,Declarations!$B$6:$F$185,5,FALSE)="","NOT DECLARED",VLOOKUP($F261,Declarations!$B$6:$F$185,5,FALSE)))</f>
        <v/>
      </c>
      <c r="E261" s="112" t="str">
        <f>IF(ISNA(VLOOKUP($F261,Declarations!$B$6:$D$185,3,FALSE)),"",IF(VLOOKUP($F261,Declarations!$B$6:$D$185,3,FALSE)="","NOT DECLARED",VLOOKUP($F261,Declarations!$B$6:$D$185,3,FALSE)&amp;LEFT(VLOOKUP($F261,Declarations!$B$6:$E$185,4,FALSE))))</f>
        <v/>
      </c>
      <c r="F261" s="58"/>
      <c r="G261" s="115">
        <v>0</v>
      </c>
      <c r="H261" s="281"/>
      <c r="I261" s="114" t="str">
        <f>IF(ISNA(VLOOKUP(F261,Declarations!B$6:C$185,2,FALSE)),"",IF(VLOOKUP(F261,Declarations!B$6:C$185,2,FALSE)="","NOT DECLARED",VLOOKUP(F261,Declarations!B$6:C$185,2,FALSE)))</f>
        <v/>
      </c>
      <c r="J261" s="116">
        <f>IF(LOWER(G261)="dnf",1,IF(U261&lt;ScoringTable!C$3,ScoringTable!I$2,VLOOKUP((1000-U261),ScoringTable!H$2:I$95,2)))</f>
        <v>0</v>
      </c>
      <c r="K261" s="112" t="str">
        <f>IF(OR(E261="",G261=""),"",IF(RIGHT(E261,1)="G",_xlfn.XLOOKUP(G261,Data!$D$11:$L$11,Data!$D$9:$L$9,"",1,1),_xlfn.XLOOKUP(G261,Data!$D$4:$L$4,Data!$D$2:$L$2,"",1,1)))</f>
        <v/>
      </c>
      <c r="L261" s="160" t="str" cm="1">
        <f t="array" ref="L261">IFERROR(_xlfn.IFNA(
                      _xlfn.IFS(
                      G261="", "",
                      G261=0, "",
                      AND(E261="U12B",G261&lt;=Data!$M$4), "U12 Boys record",
                      AND(E261="U12G",G261&lt;=Data!$M$11), "U12 Girls record"
                       ),""), "")</f>
        <v/>
      </c>
      <c r="M261" s="18" cm="1">
        <f t="array" ref="M261">_xlfn.IFS(OR($G261="",$G261=0),0, AND(NOT(ISNUMBER($G261)),LOWER($G261)&lt;&gt;"dnf"),"Not a valid time",OR(LOWER($G261)="dnf",$G261&gt;ScoringTable!$N$161),1,RIGHT($E261,1)="B",_xlfn.XLOOKUP($G261,ScoringTable!$N$2:$N$161,ScoringTable!$L$2:$L$161,,1),TRUE,_xlfn.XLOOKUP($G261,ScoringTable!$T$2:$T$161,ScoringTable!$R$2:$R$161,,1))</f>
        <v>0</v>
      </c>
      <c r="Q261" s="117">
        <f t="shared" si="15"/>
        <v>0</v>
      </c>
      <c r="R261" s="118">
        <f t="shared" si="16"/>
        <v>0</v>
      </c>
      <c r="S261" s="119">
        <f t="shared" si="17"/>
        <v>0</v>
      </c>
      <c r="T261" s="118">
        <f t="shared" si="18"/>
        <v>0</v>
      </c>
      <c r="U261" s="120">
        <f t="shared" si="19"/>
        <v>0</v>
      </c>
    </row>
    <row r="262" spans="1:21" s="7" customFormat="1" ht="16.05" customHeight="1">
      <c r="A262" s="113" t="s">
        <v>95</v>
      </c>
      <c r="B262" s="114" t="str">
        <f>IF(ISNA(VLOOKUP($F262,Declarations!B$6:C$185,2,FALSE)),"",IF(VLOOKUP($F262,Declarations!B$6:C$185,2,FALSE)="","NOT DECLARED",IF(ISNA(_xlfn.TEXTBEFORE(VLOOKUP($F262,Declarations!B$6:C$185,2,FALSE)," ")),VLOOKUP($F262,Declarations!B$6:C$185,2,FALSE),_xlfn.TEXTBEFORE(VLOOKUP($F262,Declarations!B$6:C$185,2,FALSE)," "))))</f>
        <v/>
      </c>
      <c r="C262" s="114" t="str">
        <f>IF(ISNA(VLOOKUP($F262,Declarations!B$6:C$185,2,FALSE)),"",IF(VLOOKUP($F262,Declarations!B$6:C$185,2,FALSE)="","NOT DECLARED",IF(ISNA(_xlfn.TEXTAFTER(VLOOKUP($F262,Declarations!B$6:C$185,2,FALSE)," ")),VLOOKUP($F262,Declarations!B$6:C$185,2,FALSE),_xlfn.TEXTAFTER(VLOOKUP($F262,Declarations!B$6:C$185,2,FALSE)," "))))</f>
        <v/>
      </c>
      <c r="D262" s="114" t="str">
        <f>IF(ISNA(VLOOKUP($F262,Declarations!$B$6:$F$185,5,FALSE)),"",IF(VLOOKUP($F262,Declarations!$B$6:$F$185,5,FALSE)="","NOT DECLARED",VLOOKUP($F262,Declarations!$B$6:$F$185,5,FALSE)))</f>
        <v/>
      </c>
      <c r="E262" s="112" t="str">
        <f>IF(ISNA(VLOOKUP($F262,Declarations!$B$6:$D$185,3,FALSE)),"",IF(VLOOKUP($F262,Declarations!$B$6:$D$185,3,FALSE)="","NOT DECLARED",VLOOKUP($F262,Declarations!$B$6:$D$185,3,FALSE)&amp;LEFT(VLOOKUP($F262,Declarations!$B$6:$E$185,4,FALSE))))</f>
        <v/>
      </c>
      <c r="F262" s="58"/>
      <c r="G262" s="115">
        <v>0</v>
      </c>
      <c r="H262" s="281"/>
      <c r="I262" s="114" t="str">
        <f>IF(ISNA(VLOOKUP(F262,Declarations!B$6:C$185,2,FALSE)),"",IF(VLOOKUP(F262,Declarations!B$6:C$185,2,FALSE)="","NOT DECLARED",VLOOKUP(F262,Declarations!B$6:C$185,2,FALSE)))</f>
        <v/>
      </c>
      <c r="J262" s="116">
        <f>IF(LOWER(G262)="dnf",1,IF(U262&lt;ScoringTable!C$3,ScoringTable!I$2,VLOOKUP((1000-U262),ScoringTable!H$2:I$95,2)))</f>
        <v>0</v>
      </c>
      <c r="K262" s="112" t="str">
        <f>IF(OR(E262="",G262=""),"",IF(RIGHT(E262,1)="G",_xlfn.XLOOKUP(G262,Data!$D$11:$L$11,Data!$D$9:$L$9,"",1,1),_xlfn.XLOOKUP(G262,Data!$D$4:$L$4,Data!$D$2:$L$2,"",1,1)))</f>
        <v/>
      </c>
      <c r="L262" s="160" t="str" cm="1">
        <f t="array" ref="L262">IFERROR(_xlfn.IFNA(
                      _xlfn.IFS(
                      G262="", "",
                      G262=0, "",
                      AND(E262="U12B",G262&lt;=Data!$M$4), "U12 Boys record",
                      AND(E262="U12G",G262&lt;=Data!$M$11), "U12 Girls record"
                       ),""), "")</f>
        <v/>
      </c>
      <c r="M262" s="18" cm="1">
        <f t="array" ref="M262">_xlfn.IFS(OR($G262="",$G262=0),0, AND(NOT(ISNUMBER($G262)),LOWER($G262)&lt;&gt;"dnf"),"Not a valid time",OR(LOWER($G262)="dnf",$G262&gt;ScoringTable!$N$161),1,RIGHT($E262,1)="B",_xlfn.XLOOKUP($G262,ScoringTable!$N$2:$N$161,ScoringTable!$L$2:$L$161,,1),TRUE,_xlfn.XLOOKUP($G262,ScoringTable!$T$2:$T$161,ScoringTable!$R$2:$R$161,,1))</f>
        <v>0</v>
      </c>
      <c r="Q262" s="117">
        <f t="shared" si="15"/>
        <v>0</v>
      </c>
      <c r="R262" s="118">
        <f t="shared" si="16"/>
        <v>0</v>
      </c>
      <c r="S262" s="119">
        <f t="shared" si="17"/>
        <v>0</v>
      </c>
      <c r="T262" s="118">
        <f t="shared" si="18"/>
        <v>0</v>
      </c>
      <c r="U262" s="120">
        <f t="shared" si="19"/>
        <v>0</v>
      </c>
    </row>
    <row r="263" spans="1:21" s="7" customFormat="1" ht="16.05" customHeight="1">
      <c r="A263" s="113" t="s">
        <v>95</v>
      </c>
      <c r="B263" s="114" t="str">
        <f>IF(ISNA(VLOOKUP($F263,Declarations!B$6:C$185,2,FALSE)),"",IF(VLOOKUP($F263,Declarations!B$6:C$185,2,FALSE)="","NOT DECLARED",IF(ISNA(_xlfn.TEXTBEFORE(VLOOKUP($F263,Declarations!B$6:C$185,2,FALSE)," ")),VLOOKUP($F263,Declarations!B$6:C$185,2,FALSE),_xlfn.TEXTBEFORE(VLOOKUP($F263,Declarations!B$6:C$185,2,FALSE)," "))))</f>
        <v/>
      </c>
      <c r="C263" s="114" t="str">
        <f>IF(ISNA(VLOOKUP($F263,Declarations!B$6:C$185,2,FALSE)),"",IF(VLOOKUP($F263,Declarations!B$6:C$185,2,FALSE)="","NOT DECLARED",IF(ISNA(_xlfn.TEXTAFTER(VLOOKUP($F263,Declarations!B$6:C$185,2,FALSE)," ")),VLOOKUP($F263,Declarations!B$6:C$185,2,FALSE),_xlfn.TEXTAFTER(VLOOKUP($F263,Declarations!B$6:C$185,2,FALSE)," "))))</f>
        <v/>
      </c>
      <c r="D263" s="114" t="str">
        <f>IF(ISNA(VLOOKUP($F263,Declarations!$B$6:$F$185,5,FALSE)),"",IF(VLOOKUP($F263,Declarations!$B$6:$F$185,5,FALSE)="","NOT DECLARED",VLOOKUP($F263,Declarations!$B$6:$F$185,5,FALSE)))</f>
        <v/>
      </c>
      <c r="E263" s="112" t="str">
        <f>IF(ISNA(VLOOKUP($F263,Declarations!$B$6:$D$185,3,FALSE)),"",IF(VLOOKUP($F263,Declarations!$B$6:$D$185,3,FALSE)="","NOT DECLARED",VLOOKUP($F263,Declarations!$B$6:$D$185,3,FALSE)&amp;LEFT(VLOOKUP($F263,Declarations!$B$6:$E$185,4,FALSE))))</f>
        <v/>
      </c>
      <c r="F263" s="58"/>
      <c r="G263" s="115">
        <v>0</v>
      </c>
      <c r="H263" s="281"/>
      <c r="I263" s="114" t="str">
        <f>IF(ISNA(VLOOKUP(F263,Declarations!B$6:C$185,2,FALSE)),"",IF(VLOOKUP(F263,Declarations!B$6:C$185,2,FALSE)="","NOT DECLARED",VLOOKUP(F263,Declarations!B$6:C$185,2,FALSE)))</f>
        <v/>
      </c>
      <c r="J263" s="116">
        <f>IF(LOWER(G263)="dnf",1,IF(U263&lt;ScoringTable!C$3,ScoringTable!I$2,VLOOKUP((1000-U263),ScoringTable!H$2:I$95,2)))</f>
        <v>0</v>
      </c>
      <c r="K263" s="112" t="str">
        <f>IF(OR(E263="",G263=""),"",IF(RIGHT(E263,1)="G",_xlfn.XLOOKUP(G263,Data!$D$11:$L$11,Data!$D$9:$L$9,"",1,1),_xlfn.XLOOKUP(G263,Data!$D$4:$L$4,Data!$D$2:$L$2,"",1,1)))</f>
        <v/>
      </c>
      <c r="L263" s="160" t="str" cm="1">
        <f t="array" ref="L263">IFERROR(_xlfn.IFNA(
                      _xlfn.IFS(
                      G263="", "",
                      G263=0, "",
                      AND(E263="U12B",G263&lt;=Data!$M$4), "U12 Boys record",
                      AND(E263="U12G",G263&lt;=Data!$M$11), "U12 Girls record"
                       ),""), "")</f>
        <v/>
      </c>
      <c r="M263" s="18" cm="1">
        <f t="array" ref="M263">_xlfn.IFS(OR($G263="",$G263=0),0, AND(NOT(ISNUMBER($G263)),LOWER($G263)&lt;&gt;"dnf"),"Not a valid time",OR(LOWER($G263)="dnf",$G263&gt;ScoringTable!$N$161),1,RIGHT($E263,1)="B",_xlfn.XLOOKUP($G263,ScoringTable!$N$2:$N$161,ScoringTable!$L$2:$L$161,,1),TRUE,_xlfn.XLOOKUP($G263,ScoringTable!$T$2:$T$161,ScoringTable!$R$2:$R$161,,1))</f>
        <v>0</v>
      </c>
      <c r="Q263" s="117">
        <f t="shared" ref="Q263:Q293" si="20">G263*86400</f>
        <v>0</v>
      </c>
      <c r="R263" s="118">
        <f t="shared" ref="R263:R293" si="21">Q263/60</f>
        <v>0</v>
      </c>
      <c r="S263" s="119">
        <f t="shared" ref="S263:S293" si="22">(ROUNDDOWN(R263,0))</f>
        <v>0</v>
      </c>
      <c r="T263" s="118">
        <f t="shared" ref="T263:T293" si="23">Q263-((S263*60))</f>
        <v>0</v>
      </c>
      <c r="U263" s="120">
        <f t="shared" ref="U263:U293" si="24">+(S263)+(T263/100)</f>
        <v>0</v>
      </c>
    </row>
    <row r="264" spans="1:21" s="7" customFormat="1" ht="16.05" customHeight="1">
      <c r="A264" s="113" t="s">
        <v>95</v>
      </c>
      <c r="B264" s="114" t="str">
        <f>IF(ISNA(VLOOKUP($F264,Declarations!B$6:C$185,2,FALSE)),"",IF(VLOOKUP($F264,Declarations!B$6:C$185,2,FALSE)="","NOT DECLARED",IF(ISNA(_xlfn.TEXTBEFORE(VLOOKUP($F264,Declarations!B$6:C$185,2,FALSE)," ")),VLOOKUP($F264,Declarations!B$6:C$185,2,FALSE),_xlfn.TEXTBEFORE(VLOOKUP($F264,Declarations!B$6:C$185,2,FALSE)," "))))</f>
        <v/>
      </c>
      <c r="C264" s="114" t="str">
        <f>IF(ISNA(VLOOKUP($F264,Declarations!B$6:C$185,2,FALSE)),"",IF(VLOOKUP($F264,Declarations!B$6:C$185,2,FALSE)="","NOT DECLARED",IF(ISNA(_xlfn.TEXTAFTER(VLOOKUP($F264,Declarations!B$6:C$185,2,FALSE)," ")),VLOOKUP($F264,Declarations!B$6:C$185,2,FALSE),_xlfn.TEXTAFTER(VLOOKUP($F264,Declarations!B$6:C$185,2,FALSE)," "))))</f>
        <v/>
      </c>
      <c r="D264" s="114" t="str">
        <f>IF(ISNA(VLOOKUP($F264,Declarations!$B$6:$F$185,5,FALSE)),"",IF(VLOOKUP($F264,Declarations!$B$6:$F$185,5,FALSE)="","NOT DECLARED",VLOOKUP($F264,Declarations!$B$6:$F$185,5,FALSE)))</f>
        <v/>
      </c>
      <c r="E264" s="112" t="str">
        <f>IF(ISNA(VLOOKUP($F264,Declarations!$B$6:$D$185,3,FALSE)),"",IF(VLOOKUP($F264,Declarations!$B$6:$D$185,3,FALSE)="","NOT DECLARED",VLOOKUP($F264,Declarations!$B$6:$D$185,3,FALSE)&amp;LEFT(VLOOKUP($F264,Declarations!$B$6:$E$185,4,FALSE))))</f>
        <v/>
      </c>
      <c r="F264" s="58"/>
      <c r="G264" s="115">
        <v>0</v>
      </c>
      <c r="H264" s="281"/>
      <c r="I264" s="114" t="str">
        <f>IF(ISNA(VLOOKUP(F264,Declarations!B$6:C$185,2,FALSE)),"",IF(VLOOKUP(F264,Declarations!B$6:C$185,2,FALSE)="","NOT DECLARED",VLOOKUP(F264,Declarations!B$6:C$185,2,FALSE)))</f>
        <v/>
      </c>
      <c r="J264" s="116">
        <f>IF(LOWER(G264)="dnf",1,IF(U264&lt;ScoringTable!C$3,ScoringTable!I$2,VLOOKUP((1000-U264),ScoringTable!H$2:I$95,2)))</f>
        <v>0</v>
      </c>
      <c r="K264" s="112" t="str">
        <f>IF(OR(E264="",G264=""),"",IF(RIGHT(E264,1)="G",_xlfn.XLOOKUP(G264,Data!$D$11:$L$11,Data!$D$9:$L$9,"",1,1),_xlfn.XLOOKUP(G264,Data!$D$4:$L$4,Data!$D$2:$L$2,"",1,1)))</f>
        <v/>
      </c>
      <c r="L264" s="160" t="str" cm="1">
        <f t="array" ref="L264">IFERROR(_xlfn.IFNA(
                      _xlfn.IFS(
                      G264="", "",
                      G264=0, "",
                      AND(E264="U12B",G264&lt;=Data!$M$4), "U12 Boys record",
                      AND(E264="U12G",G264&lt;=Data!$M$11), "U12 Girls record"
                       ),""), "")</f>
        <v/>
      </c>
      <c r="M264" s="18" cm="1">
        <f t="array" ref="M264">_xlfn.IFS(OR($G264="",$G264=0),0, AND(NOT(ISNUMBER($G264)),LOWER($G264)&lt;&gt;"dnf"),"Not a valid time",OR(LOWER($G264)="dnf",$G264&gt;ScoringTable!$N$161),1,RIGHT($E264,1)="B",_xlfn.XLOOKUP($G264,ScoringTable!$N$2:$N$161,ScoringTable!$L$2:$L$161,,1),TRUE,_xlfn.XLOOKUP($G264,ScoringTable!$T$2:$T$161,ScoringTable!$R$2:$R$161,,1))</f>
        <v>0</v>
      </c>
      <c r="Q264" s="117">
        <f t="shared" si="20"/>
        <v>0</v>
      </c>
      <c r="R264" s="118">
        <f t="shared" si="21"/>
        <v>0</v>
      </c>
      <c r="S264" s="119">
        <f t="shared" si="22"/>
        <v>0</v>
      </c>
      <c r="T264" s="118">
        <f t="shared" si="23"/>
        <v>0</v>
      </c>
      <c r="U264" s="120">
        <f t="shared" si="24"/>
        <v>0</v>
      </c>
    </row>
    <row r="265" spans="1:21" s="7" customFormat="1" ht="16.05" customHeight="1">
      <c r="A265" s="113" t="s">
        <v>95</v>
      </c>
      <c r="B265" s="114" t="str">
        <f>IF(ISNA(VLOOKUP($F265,Declarations!B$6:C$185,2,FALSE)),"",IF(VLOOKUP($F265,Declarations!B$6:C$185,2,FALSE)="","NOT DECLARED",IF(ISNA(_xlfn.TEXTBEFORE(VLOOKUP($F265,Declarations!B$6:C$185,2,FALSE)," ")),VLOOKUP($F265,Declarations!B$6:C$185,2,FALSE),_xlfn.TEXTBEFORE(VLOOKUP($F265,Declarations!B$6:C$185,2,FALSE)," "))))</f>
        <v/>
      </c>
      <c r="C265" s="114" t="str">
        <f>IF(ISNA(VLOOKUP($F265,Declarations!B$6:C$185,2,FALSE)),"",IF(VLOOKUP($F265,Declarations!B$6:C$185,2,FALSE)="","NOT DECLARED",IF(ISNA(_xlfn.TEXTAFTER(VLOOKUP($F265,Declarations!B$6:C$185,2,FALSE)," ")),VLOOKUP($F265,Declarations!B$6:C$185,2,FALSE),_xlfn.TEXTAFTER(VLOOKUP($F265,Declarations!B$6:C$185,2,FALSE)," "))))</f>
        <v/>
      </c>
      <c r="D265" s="114" t="str">
        <f>IF(ISNA(VLOOKUP($F265,Declarations!$B$6:$F$185,5,FALSE)),"",IF(VLOOKUP($F265,Declarations!$B$6:$F$185,5,FALSE)="","NOT DECLARED",VLOOKUP($F265,Declarations!$B$6:$F$185,5,FALSE)))</f>
        <v/>
      </c>
      <c r="E265" s="112" t="str">
        <f>IF(ISNA(VLOOKUP($F265,Declarations!$B$6:$D$185,3,FALSE)),"",IF(VLOOKUP($F265,Declarations!$B$6:$D$185,3,FALSE)="","NOT DECLARED",VLOOKUP($F265,Declarations!$B$6:$D$185,3,FALSE)&amp;LEFT(VLOOKUP($F265,Declarations!$B$6:$E$185,4,FALSE))))</f>
        <v/>
      </c>
      <c r="F265" s="58"/>
      <c r="G265" s="115">
        <v>0</v>
      </c>
      <c r="H265" s="281"/>
      <c r="I265" s="114" t="str">
        <f>IF(ISNA(VLOOKUP(F265,Declarations!B$6:C$185,2,FALSE)),"",IF(VLOOKUP(F265,Declarations!B$6:C$185,2,FALSE)="","NOT DECLARED",VLOOKUP(F265,Declarations!B$6:C$185,2,FALSE)))</f>
        <v/>
      </c>
      <c r="J265" s="116">
        <f>IF(LOWER(G265)="dnf",1,IF(U265&lt;ScoringTable!C$3,ScoringTable!I$2,VLOOKUP((1000-U265),ScoringTable!H$2:I$95,2)))</f>
        <v>0</v>
      </c>
      <c r="K265" s="112" t="str">
        <f>IF(OR(E265="",G265=""),"",IF(RIGHT(E265,1)="G",_xlfn.XLOOKUP(G265,Data!$D$11:$L$11,Data!$D$9:$L$9,"",1,1),_xlfn.XLOOKUP(G265,Data!$D$4:$L$4,Data!$D$2:$L$2,"",1,1)))</f>
        <v/>
      </c>
      <c r="L265" s="160" t="str" cm="1">
        <f t="array" ref="L265">IFERROR(_xlfn.IFNA(
                      _xlfn.IFS(
                      G265="", "",
                      G265=0, "",
                      AND(E265="U12B",G265&lt;=Data!$M$4), "U12 Boys record",
                      AND(E265="U12G",G265&lt;=Data!$M$11), "U12 Girls record"
                       ),""), "")</f>
        <v/>
      </c>
      <c r="M265" s="18" cm="1">
        <f t="array" ref="M265">_xlfn.IFS(OR($G265="",$G265=0),0, AND(NOT(ISNUMBER($G265)),LOWER($G265)&lt;&gt;"dnf"),"Not a valid time",OR(LOWER($G265)="dnf",$G265&gt;ScoringTable!$N$161),1,RIGHT($E265,1)="B",_xlfn.XLOOKUP($G265,ScoringTable!$N$2:$N$161,ScoringTable!$L$2:$L$161,,1),TRUE,_xlfn.XLOOKUP($G265,ScoringTable!$T$2:$T$161,ScoringTable!$R$2:$R$161,,1))</f>
        <v>0</v>
      </c>
      <c r="Q265" s="117">
        <f t="shared" si="20"/>
        <v>0</v>
      </c>
      <c r="R265" s="118">
        <f t="shared" si="21"/>
        <v>0</v>
      </c>
      <c r="S265" s="119">
        <f t="shared" si="22"/>
        <v>0</v>
      </c>
      <c r="T265" s="118">
        <f t="shared" si="23"/>
        <v>0</v>
      </c>
      <c r="U265" s="120">
        <f t="shared" si="24"/>
        <v>0</v>
      </c>
    </row>
    <row r="266" spans="1:21" s="7" customFormat="1" ht="16.05" customHeight="1">
      <c r="A266" s="113" t="s">
        <v>95</v>
      </c>
      <c r="B266" s="114" t="str">
        <f>IF(ISNA(VLOOKUP($F266,Declarations!B$6:C$185,2,FALSE)),"",IF(VLOOKUP($F266,Declarations!B$6:C$185,2,FALSE)="","NOT DECLARED",IF(ISNA(_xlfn.TEXTBEFORE(VLOOKUP($F266,Declarations!B$6:C$185,2,FALSE)," ")),VLOOKUP($F266,Declarations!B$6:C$185,2,FALSE),_xlfn.TEXTBEFORE(VLOOKUP($F266,Declarations!B$6:C$185,2,FALSE)," "))))</f>
        <v/>
      </c>
      <c r="C266" s="114" t="str">
        <f>IF(ISNA(VLOOKUP($F266,Declarations!B$6:C$185,2,FALSE)),"",IF(VLOOKUP($F266,Declarations!B$6:C$185,2,FALSE)="","NOT DECLARED",IF(ISNA(_xlfn.TEXTAFTER(VLOOKUP($F266,Declarations!B$6:C$185,2,FALSE)," ")),VLOOKUP($F266,Declarations!B$6:C$185,2,FALSE),_xlfn.TEXTAFTER(VLOOKUP($F266,Declarations!B$6:C$185,2,FALSE)," "))))</f>
        <v/>
      </c>
      <c r="D266" s="114" t="str">
        <f>IF(ISNA(VLOOKUP($F266,Declarations!$B$6:$F$185,5,FALSE)),"",IF(VLOOKUP($F266,Declarations!$B$6:$F$185,5,FALSE)="","NOT DECLARED",VLOOKUP($F266,Declarations!$B$6:$F$185,5,FALSE)))</f>
        <v/>
      </c>
      <c r="E266" s="112" t="str">
        <f>IF(ISNA(VLOOKUP($F266,Declarations!$B$6:$D$185,3,FALSE)),"",IF(VLOOKUP($F266,Declarations!$B$6:$D$185,3,FALSE)="","NOT DECLARED",VLOOKUP($F266,Declarations!$B$6:$D$185,3,FALSE)&amp;LEFT(VLOOKUP($F266,Declarations!$B$6:$E$185,4,FALSE))))</f>
        <v/>
      </c>
      <c r="F266" s="58"/>
      <c r="G266" s="115">
        <v>0</v>
      </c>
      <c r="H266" s="281"/>
      <c r="I266" s="114" t="str">
        <f>IF(ISNA(VLOOKUP(F266,Declarations!B$6:C$185,2,FALSE)),"",IF(VLOOKUP(F266,Declarations!B$6:C$185,2,FALSE)="","NOT DECLARED",VLOOKUP(F266,Declarations!B$6:C$185,2,FALSE)))</f>
        <v/>
      </c>
      <c r="J266" s="116">
        <f>IF(LOWER(G266)="dnf",1,IF(U266&lt;ScoringTable!C$3,ScoringTable!I$2,VLOOKUP((1000-U266),ScoringTable!H$2:I$95,2)))</f>
        <v>0</v>
      </c>
      <c r="K266" s="112" t="str">
        <f>IF(OR(E266="",G266=""),"",IF(RIGHT(E266,1)="G",_xlfn.XLOOKUP(G266,Data!$D$11:$L$11,Data!$D$9:$L$9,"",1,1),_xlfn.XLOOKUP(G266,Data!$D$4:$L$4,Data!$D$2:$L$2,"",1,1)))</f>
        <v/>
      </c>
      <c r="L266" s="160" t="str" cm="1">
        <f t="array" ref="L266">IFERROR(_xlfn.IFNA(
                      _xlfn.IFS(
                      G266="", "",
                      G266=0, "",
                      AND(E266="U12B",G266&lt;=Data!$M$4), "U12 Boys record",
                      AND(E266="U12G",G266&lt;=Data!$M$11), "U12 Girls record"
                       ),""), "")</f>
        <v/>
      </c>
      <c r="M266" s="18" cm="1">
        <f t="array" ref="M266">_xlfn.IFS(OR($G266="",$G266=0),0, AND(NOT(ISNUMBER($G266)),LOWER($G266)&lt;&gt;"dnf"),"Not a valid time",OR(LOWER($G266)="dnf",$G266&gt;ScoringTable!$N$161),1,RIGHT($E266,1)="B",_xlfn.XLOOKUP($G266,ScoringTable!$N$2:$N$161,ScoringTable!$L$2:$L$161,,1),TRUE,_xlfn.XLOOKUP($G266,ScoringTable!$T$2:$T$161,ScoringTable!$R$2:$R$161,,1))</f>
        <v>0</v>
      </c>
      <c r="Q266" s="117">
        <f t="shared" si="20"/>
        <v>0</v>
      </c>
      <c r="R266" s="118">
        <f t="shared" si="21"/>
        <v>0</v>
      </c>
      <c r="S266" s="119">
        <f t="shared" si="22"/>
        <v>0</v>
      </c>
      <c r="T266" s="118">
        <f t="shared" si="23"/>
        <v>0</v>
      </c>
      <c r="U266" s="120">
        <f t="shared" si="24"/>
        <v>0</v>
      </c>
    </row>
    <row r="267" spans="1:21" s="7" customFormat="1" ht="16.05" customHeight="1">
      <c r="A267" s="113" t="s">
        <v>95</v>
      </c>
      <c r="B267" s="114" t="str">
        <f>IF(ISNA(VLOOKUP($F267,Declarations!B$6:C$185,2,FALSE)),"",IF(VLOOKUP($F267,Declarations!B$6:C$185,2,FALSE)="","NOT DECLARED",IF(ISNA(_xlfn.TEXTBEFORE(VLOOKUP($F267,Declarations!B$6:C$185,2,FALSE)," ")),VLOOKUP($F267,Declarations!B$6:C$185,2,FALSE),_xlfn.TEXTBEFORE(VLOOKUP($F267,Declarations!B$6:C$185,2,FALSE)," "))))</f>
        <v/>
      </c>
      <c r="C267" s="114" t="str">
        <f>IF(ISNA(VLOOKUP($F267,Declarations!B$6:C$185,2,FALSE)),"",IF(VLOOKUP($F267,Declarations!B$6:C$185,2,FALSE)="","NOT DECLARED",IF(ISNA(_xlfn.TEXTAFTER(VLOOKUP($F267,Declarations!B$6:C$185,2,FALSE)," ")),VLOOKUP($F267,Declarations!B$6:C$185,2,FALSE),_xlfn.TEXTAFTER(VLOOKUP($F267,Declarations!B$6:C$185,2,FALSE)," "))))</f>
        <v/>
      </c>
      <c r="D267" s="114" t="str">
        <f>IF(ISNA(VLOOKUP($F267,Declarations!$B$6:$F$185,5,FALSE)),"",IF(VLOOKUP($F267,Declarations!$B$6:$F$185,5,FALSE)="","NOT DECLARED",VLOOKUP($F267,Declarations!$B$6:$F$185,5,FALSE)))</f>
        <v/>
      </c>
      <c r="E267" s="112" t="str">
        <f>IF(ISNA(VLOOKUP($F267,Declarations!$B$6:$D$185,3,FALSE)),"",IF(VLOOKUP($F267,Declarations!$B$6:$D$185,3,FALSE)="","NOT DECLARED",VLOOKUP($F267,Declarations!$B$6:$D$185,3,FALSE)&amp;LEFT(VLOOKUP($F267,Declarations!$B$6:$E$185,4,FALSE))))</f>
        <v/>
      </c>
      <c r="F267" s="58"/>
      <c r="G267" s="115">
        <v>0</v>
      </c>
      <c r="H267" s="281"/>
      <c r="I267" s="114" t="str">
        <f>IF(ISNA(VLOOKUP(F267,Declarations!B$6:C$185,2,FALSE)),"",IF(VLOOKUP(F267,Declarations!B$6:C$185,2,FALSE)="","NOT DECLARED",VLOOKUP(F267,Declarations!B$6:C$185,2,FALSE)))</f>
        <v/>
      </c>
      <c r="J267" s="116">
        <f>IF(LOWER(G267)="dnf",1,IF(U267&lt;ScoringTable!C$3,ScoringTable!I$2,VLOOKUP((1000-U267),ScoringTable!H$2:I$95,2)))</f>
        <v>0</v>
      </c>
      <c r="K267" s="112" t="str">
        <f>IF(OR(E267="",G267=""),"",IF(RIGHT(E267,1)="G",_xlfn.XLOOKUP(G267,Data!$D$11:$L$11,Data!$D$9:$L$9,"",1,1),_xlfn.XLOOKUP(G267,Data!$D$4:$L$4,Data!$D$2:$L$2,"",1,1)))</f>
        <v/>
      </c>
      <c r="L267" s="160" t="str" cm="1">
        <f t="array" ref="L267">IFERROR(_xlfn.IFNA(
                      _xlfn.IFS(
                      G267="", "",
                      G267=0, "",
                      AND(E267="U12B",G267&lt;=Data!$M$4), "U12 Boys record",
                      AND(E267="U12G",G267&lt;=Data!$M$11), "U12 Girls record"
                       ),""), "")</f>
        <v/>
      </c>
      <c r="M267" s="18" cm="1">
        <f t="array" ref="M267">_xlfn.IFS(OR($G267="",$G267=0),0, AND(NOT(ISNUMBER($G267)),LOWER($G267)&lt;&gt;"dnf"),"Not a valid time",OR(LOWER($G267)="dnf",$G267&gt;ScoringTable!$N$161),1,RIGHT($E267,1)="B",_xlfn.XLOOKUP($G267,ScoringTable!$N$2:$N$161,ScoringTable!$L$2:$L$161,,1),TRUE,_xlfn.XLOOKUP($G267,ScoringTable!$T$2:$T$161,ScoringTable!$R$2:$R$161,,1))</f>
        <v>0</v>
      </c>
      <c r="Q267" s="117">
        <f t="shared" si="20"/>
        <v>0</v>
      </c>
      <c r="R267" s="118">
        <f t="shared" si="21"/>
        <v>0</v>
      </c>
      <c r="S267" s="119">
        <f t="shared" si="22"/>
        <v>0</v>
      </c>
      <c r="T267" s="118">
        <f t="shared" si="23"/>
        <v>0</v>
      </c>
      <c r="U267" s="120">
        <f t="shared" si="24"/>
        <v>0</v>
      </c>
    </row>
    <row r="268" spans="1:21" s="7" customFormat="1" ht="16.05" customHeight="1">
      <c r="A268" s="113" t="s">
        <v>95</v>
      </c>
      <c r="B268" s="114" t="str">
        <f>IF(ISNA(VLOOKUP($F268,Declarations!B$6:C$185,2,FALSE)),"",IF(VLOOKUP($F268,Declarations!B$6:C$185,2,FALSE)="","NOT DECLARED",IF(ISNA(_xlfn.TEXTBEFORE(VLOOKUP($F268,Declarations!B$6:C$185,2,FALSE)," ")),VLOOKUP($F268,Declarations!B$6:C$185,2,FALSE),_xlfn.TEXTBEFORE(VLOOKUP($F268,Declarations!B$6:C$185,2,FALSE)," "))))</f>
        <v/>
      </c>
      <c r="C268" s="114" t="str">
        <f>IF(ISNA(VLOOKUP($F268,Declarations!B$6:C$185,2,FALSE)),"",IF(VLOOKUP($F268,Declarations!B$6:C$185,2,FALSE)="","NOT DECLARED",IF(ISNA(_xlfn.TEXTAFTER(VLOOKUP($F268,Declarations!B$6:C$185,2,FALSE)," ")),VLOOKUP($F268,Declarations!B$6:C$185,2,FALSE),_xlfn.TEXTAFTER(VLOOKUP($F268,Declarations!B$6:C$185,2,FALSE)," "))))</f>
        <v/>
      </c>
      <c r="D268" s="114" t="str">
        <f>IF(ISNA(VLOOKUP($F268,Declarations!$B$6:$F$185,5,FALSE)),"",IF(VLOOKUP($F268,Declarations!$B$6:$F$185,5,FALSE)="","NOT DECLARED",VLOOKUP($F268,Declarations!$B$6:$F$185,5,FALSE)))</f>
        <v/>
      </c>
      <c r="E268" s="112" t="str">
        <f>IF(ISNA(VLOOKUP($F268,Declarations!$B$6:$D$185,3,FALSE)),"",IF(VLOOKUP($F268,Declarations!$B$6:$D$185,3,FALSE)="","NOT DECLARED",VLOOKUP($F268,Declarations!$B$6:$D$185,3,FALSE)&amp;LEFT(VLOOKUP($F268,Declarations!$B$6:$E$185,4,FALSE))))</f>
        <v/>
      </c>
      <c r="F268" s="58"/>
      <c r="G268" s="115">
        <v>0</v>
      </c>
      <c r="H268" s="281"/>
      <c r="I268" s="114" t="str">
        <f>IF(ISNA(VLOOKUP(F268,Declarations!B$6:C$185,2,FALSE)),"",IF(VLOOKUP(F268,Declarations!B$6:C$185,2,FALSE)="","NOT DECLARED",VLOOKUP(F268,Declarations!B$6:C$185,2,FALSE)))</f>
        <v/>
      </c>
      <c r="J268" s="116">
        <f>IF(LOWER(G268)="dnf",1,IF(U268&lt;ScoringTable!C$3,ScoringTable!I$2,VLOOKUP((1000-U268),ScoringTable!H$2:I$95,2)))</f>
        <v>0</v>
      </c>
      <c r="K268" s="112" t="str">
        <f>IF(OR(E268="",G268=""),"",IF(RIGHT(E268,1)="G",_xlfn.XLOOKUP(G268,Data!$D$11:$L$11,Data!$D$9:$L$9,"",1,1),_xlfn.XLOOKUP(G268,Data!$D$4:$L$4,Data!$D$2:$L$2,"",1,1)))</f>
        <v/>
      </c>
      <c r="L268" s="160" t="str" cm="1">
        <f t="array" ref="L268">IFERROR(_xlfn.IFNA(
                      _xlfn.IFS(
                      G268="", "",
                      G268=0, "",
                      AND(E268="U12B",G268&lt;=Data!$M$4), "U12 Boys record",
                      AND(E268="U12G",G268&lt;=Data!$M$11), "U12 Girls record"
                       ),""), "")</f>
        <v/>
      </c>
      <c r="M268" s="18" cm="1">
        <f t="array" ref="M268">_xlfn.IFS(OR($G268="",$G268=0),0, AND(NOT(ISNUMBER($G268)),LOWER($G268)&lt;&gt;"dnf"),"Not a valid time",OR(LOWER($G268)="dnf",$G268&gt;ScoringTable!$N$161),1,RIGHT($E268,1)="B",_xlfn.XLOOKUP($G268,ScoringTable!$N$2:$N$161,ScoringTable!$L$2:$L$161,,1),TRUE,_xlfn.XLOOKUP($G268,ScoringTable!$T$2:$T$161,ScoringTable!$R$2:$R$161,,1))</f>
        <v>0</v>
      </c>
      <c r="Q268" s="117">
        <f t="shared" si="20"/>
        <v>0</v>
      </c>
      <c r="R268" s="118">
        <f t="shared" si="21"/>
        <v>0</v>
      </c>
      <c r="S268" s="119">
        <f t="shared" si="22"/>
        <v>0</v>
      </c>
      <c r="T268" s="118">
        <f t="shared" si="23"/>
        <v>0</v>
      </c>
      <c r="U268" s="120">
        <f t="shared" si="24"/>
        <v>0</v>
      </c>
    </row>
    <row r="269" spans="1:21" s="7" customFormat="1" ht="16.05" customHeight="1">
      <c r="A269" s="113" t="s">
        <v>95</v>
      </c>
      <c r="B269" s="114" t="str">
        <f>IF(ISNA(VLOOKUP($F269,Declarations!B$6:C$185,2,FALSE)),"",IF(VLOOKUP($F269,Declarations!B$6:C$185,2,FALSE)="","NOT DECLARED",IF(ISNA(_xlfn.TEXTBEFORE(VLOOKUP($F269,Declarations!B$6:C$185,2,FALSE)," ")),VLOOKUP($F269,Declarations!B$6:C$185,2,FALSE),_xlfn.TEXTBEFORE(VLOOKUP($F269,Declarations!B$6:C$185,2,FALSE)," "))))</f>
        <v/>
      </c>
      <c r="C269" s="114" t="str">
        <f>IF(ISNA(VLOOKUP($F269,Declarations!B$6:C$185,2,FALSE)),"",IF(VLOOKUP($F269,Declarations!B$6:C$185,2,FALSE)="","NOT DECLARED",IF(ISNA(_xlfn.TEXTAFTER(VLOOKUP($F269,Declarations!B$6:C$185,2,FALSE)," ")),VLOOKUP($F269,Declarations!B$6:C$185,2,FALSE),_xlfn.TEXTAFTER(VLOOKUP($F269,Declarations!B$6:C$185,2,FALSE)," "))))</f>
        <v/>
      </c>
      <c r="D269" s="114" t="str">
        <f>IF(ISNA(VLOOKUP($F269,Declarations!$B$6:$F$185,5,FALSE)),"",IF(VLOOKUP($F269,Declarations!$B$6:$F$185,5,FALSE)="","NOT DECLARED",VLOOKUP($F269,Declarations!$B$6:$F$185,5,FALSE)))</f>
        <v/>
      </c>
      <c r="E269" s="112" t="str">
        <f>IF(ISNA(VLOOKUP($F269,Declarations!$B$6:$D$185,3,FALSE)),"",IF(VLOOKUP($F269,Declarations!$B$6:$D$185,3,FALSE)="","NOT DECLARED",VLOOKUP($F269,Declarations!$B$6:$D$185,3,FALSE)&amp;LEFT(VLOOKUP($F269,Declarations!$B$6:$E$185,4,FALSE))))</f>
        <v/>
      </c>
      <c r="F269" s="58"/>
      <c r="G269" s="115">
        <v>0</v>
      </c>
      <c r="H269" s="281"/>
      <c r="I269" s="114" t="str">
        <f>IF(ISNA(VLOOKUP(F269,Declarations!B$6:C$185,2,FALSE)),"",IF(VLOOKUP(F269,Declarations!B$6:C$185,2,FALSE)="","NOT DECLARED",VLOOKUP(F269,Declarations!B$6:C$185,2,FALSE)))</f>
        <v/>
      </c>
      <c r="J269" s="116">
        <f>IF(LOWER(G269)="dnf",1,IF(U269&lt;ScoringTable!C$3,ScoringTable!I$2,VLOOKUP((1000-U269),ScoringTable!H$2:I$95,2)))</f>
        <v>0</v>
      </c>
      <c r="K269" s="112" t="str">
        <f>IF(OR(E269="",G269=""),"",IF(RIGHT(E269,1)="G",_xlfn.XLOOKUP(G269,Data!$D$11:$L$11,Data!$D$9:$L$9,"",1,1),_xlfn.XLOOKUP(G269,Data!$D$4:$L$4,Data!$D$2:$L$2,"",1,1)))</f>
        <v/>
      </c>
      <c r="L269" s="160" t="str" cm="1">
        <f t="array" ref="L269">IFERROR(_xlfn.IFNA(
                      _xlfn.IFS(
                      G269="", "",
                      G269=0, "",
                      AND(E269="U12B",G269&lt;=Data!$M$4), "U12 Boys record",
                      AND(E269="U12G",G269&lt;=Data!$M$11), "U12 Girls record"
                       ),""), "")</f>
        <v/>
      </c>
      <c r="M269" s="18" cm="1">
        <f t="array" ref="M269">_xlfn.IFS(OR($G269="",$G269=0),0, AND(NOT(ISNUMBER($G269)),LOWER($G269)&lt;&gt;"dnf"),"Not a valid time",OR(LOWER($G269)="dnf",$G269&gt;ScoringTable!$N$161),1,RIGHT($E269,1)="B",_xlfn.XLOOKUP($G269,ScoringTable!$N$2:$N$161,ScoringTable!$L$2:$L$161,,1),TRUE,_xlfn.XLOOKUP($G269,ScoringTable!$T$2:$T$161,ScoringTable!$R$2:$R$161,,1))</f>
        <v>0</v>
      </c>
      <c r="Q269" s="117">
        <f t="shared" si="20"/>
        <v>0</v>
      </c>
      <c r="R269" s="118">
        <f t="shared" si="21"/>
        <v>0</v>
      </c>
      <c r="S269" s="119">
        <f t="shared" si="22"/>
        <v>0</v>
      </c>
      <c r="T269" s="118">
        <f t="shared" si="23"/>
        <v>0</v>
      </c>
      <c r="U269" s="120">
        <f t="shared" si="24"/>
        <v>0</v>
      </c>
    </row>
    <row r="270" spans="1:21" s="7" customFormat="1" ht="16.05" customHeight="1">
      <c r="A270" s="113" t="s">
        <v>95</v>
      </c>
      <c r="B270" s="114" t="str">
        <f>IF(ISNA(VLOOKUP($F270,Declarations!B$6:C$185,2,FALSE)),"",IF(VLOOKUP($F270,Declarations!B$6:C$185,2,FALSE)="","NOT DECLARED",IF(ISNA(_xlfn.TEXTBEFORE(VLOOKUP($F270,Declarations!B$6:C$185,2,FALSE)," ")),VLOOKUP($F270,Declarations!B$6:C$185,2,FALSE),_xlfn.TEXTBEFORE(VLOOKUP($F270,Declarations!B$6:C$185,2,FALSE)," "))))</f>
        <v/>
      </c>
      <c r="C270" s="114" t="str">
        <f>IF(ISNA(VLOOKUP($F270,Declarations!B$6:C$185,2,FALSE)),"",IF(VLOOKUP($F270,Declarations!B$6:C$185,2,FALSE)="","NOT DECLARED",IF(ISNA(_xlfn.TEXTAFTER(VLOOKUP($F270,Declarations!B$6:C$185,2,FALSE)," ")),VLOOKUP($F270,Declarations!B$6:C$185,2,FALSE),_xlfn.TEXTAFTER(VLOOKUP($F270,Declarations!B$6:C$185,2,FALSE)," "))))</f>
        <v/>
      </c>
      <c r="D270" s="114" t="str">
        <f>IF(ISNA(VLOOKUP($F270,Declarations!$B$6:$F$185,5,FALSE)),"",IF(VLOOKUP($F270,Declarations!$B$6:$F$185,5,FALSE)="","NOT DECLARED",VLOOKUP($F270,Declarations!$B$6:$F$185,5,FALSE)))</f>
        <v/>
      </c>
      <c r="E270" s="112" t="str">
        <f>IF(ISNA(VLOOKUP($F270,Declarations!$B$6:$D$185,3,FALSE)),"",IF(VLOOKUP($F270,Declarations!$B$6:$D$185,3,FALSE)="","NOT DECLARED",VLOOKUP($F270,Declarations!$B$6:$D$185,3,FALSE)&amp;LEFT(VLOOKUP($F270,Declarations!$B$6:$E$185,4,FALSE))))</f>
        <v/>
      </c>
      <c r="F270" s="58"/>
      <c r="G270" s="115">
        <v>0</v>
      </c>
      <c r="H270" s="281"/>
      <c r="I270" s="114" t="str">
        <f>IF(ISNA(VLOOKUP(F270,Declarations!B$6:C$185,2,FALSE)),"",IF(VLOOKUP(F270,Declarations!B$6:C$185,2,FALSE)="","NOT DECLARED",VLOOKUP(F270,Declarations!B$6:C$185,2,FALSE)))</f>
        <v/>
      </c>
      <c r="J270" s="116">
        <f>IF(LOWER(G270)="dnf",1,IF(U270&lt;ScoringTable!C$3,ScoringTable!I$2,VLOOKUP((1000-U270),ScoringTable!H$2:I$95,2)))</f>
        <v>0</v>
      </c>
      <c r="K270" s="112" t="str">
        <f>IF(OR(E270="",G270=""),"",IF(RIGHT(E270,1)="G",_xlfn.XLOOKUP(G270,Data!$D$11:$L$11,Data!$D$9:$L$9,"",1,1),_xlfn.XLOOKUP(G270,Data!$D$4:$L$4,Data!$D$2:$L$2,"",1,1)))</f>
        <v/>
      </c>
      <c r="L270" s="160" t="str" cm="1">
        <f t="array" ref="L270">IFERROR(_xlfn.IFNA(
                      _xlfn.IFS(
                      G270="", "",
                      G270=0, "",
                      AND(E270="U12B",G270&lt;=Data!$M$4), "U12 Boys record",
                      AND(E270="U12G",G270&lt;=Data!$M$11), "U12 Girls record"
                       ),""), "")</f>
        <v/>
      </c>
      <c r="M270" s="18" cm="1">
        <f t="array" ref="M270">_xlfn.IFS(OR($G270="",$G270=0),0, AND(NOT(ISNUMBER($G270)),LOWER($G270)&lt;&gt;"dnf"),"Not a valid time",OR(LOWER($G270)="dnf",$G270&gt;ScoringTable!$N$161),1,RIGHT($E270,1)="B",_xlfn.XLOOKUP($G270,ScoringTable!$N$2:$N$161,ScoringTable!$L$2:$L$161,,1),TRUE,_xlfn.XLOOKUP($G270,ScoringTable!$T$2:$T$161,ScoringTable!$R$2:$R$161,,1))</f>
        <v>0</v>
      </c>
      <c r="Q270" s="117">
        <f t="shared" si="20"/>
        <v>0</v>
      </c>
      <c r="R270" s="118">
        <f t="shared" si="21"/>
        <v>0</v>
      </c>
      <c r="S270" s="119">
        <f t="shared" si="22"/>
        <v>0</v>
      </c>
      <c r="T270" s="118">
        <f t="shared" si="23"/>
        <v>0</v>
      </c>
      <c r="U270" s="120">
        <f t="shared" si="24"/>
        <v>0</v>
      </c>
    </row>
    <row r="271" spans="1:21" s="7" customFormat="1" ht="16.05" customHeight="1">
      <c r="A271" s="113" t="s">
        <v>95</v>
      </c>
      <c r="B271" s="114" t="str">
        <f>IF(ISNA(VLOOKUP($F271,Declarations!B$6:C$185,2,FALSE)),"",IF(VLOOKUP($F271,Declarations!B$6:C$185,2,FALSE)="","NOT DECLARED",IF(ISNA(_xlfn.TEXTBEFORE(VLOOKUP($F271,Declarations!B$6:C$185,2,FALSE)," ")),VLOOKUP($F271,Declarations!B$6:C$185,2,FALSE),_xlfn.TEXTBEFORE(VLOOKUP($F271,Declarations!B$6:C$185,2,FALSE)," "))))</f>
        <v/>
      </c>
      <c r="C271" s="114" t="str">
        <f>IF(ISNA(VLOOKUP($F271,Declarations!B$6:C$185,2,FALSE)),"",IF(VLOOKUP($F271,Declarations!B$6:C$185,2,FALSE)="","NOT DECLARED",IF(ISNA(_xlfn.TEXTAFTER(VLOOKUP($F271,Declarations!B$6:C$185,2,FALSE)," ")),VLOOKUP($F271,Declarations!B$6:C$185,2,FALSE),_xlfn.TEXTAFTER(VLOOKUP($F271,Declarations!B$6:C$185,2,FALSE)," "))))</f>
        <v/>
      </c>
      <c r="D271" s="114" t="str">
        <f>IF(ISNA(VLOOKUP($F271,Declarations!$B$6:$F$185,5,FALSE)),"",IF(VLOOKUP($F271,Declarations!$B$6:$F$185,5,FALSE)="","NOT DECLARED",VLOOKUP($F271,Declarations!$B$6:$F$185,5,FALSE)))</f>
        <v/>
      </c>
      <c r="E271" s="112" t="str">
        <f>IF(ISNA(VLOOKUP($F271,Declarations!$B$6:$D$185,3,FALSE)),"",IF(VLOOKUP($F271,Declarations!$B$6:$D$185,3,FALSE)="","NOT DECLARED",VLOOKUP($F271,Declarations!$B$6:$D$185,3,FALSE)&amp;LEFT(VLOOKUP($F271,Declarations!$B$6:$E$185,4,FALSE))))</f>
        <v/>
      </c>
      <c r="F271" s="58"/>
      <c r="G271" s="115">
        <v>0</v>
      </c>
      <c r="H271" s="281"/>
      <c r="I271" s="114" t="str">
        <f>IF(ISNA(VLOOKUP(F271,Declarations!B$6:C$185,2,FALSE)),"",IF(VLOOKUP(F271,Declarations!B$6:C$185,2,FALSE)="","NOT DECLARED",VLOOKUP(F271,Declarations!B$6:C$185,2,FALSE)))</f>
        <v/>
      </c>
      <c r="J271" s="116">
        <f>IF(LOWER(G271)="dnf",1,IF(U271&lt;ScoringTable!C$3,ScoringTable!I$2,VLOOKUP((1000-U271),ScoringTable!H$2:I$95,2)))</f>
        <v>0</v>
      </c>
      <c r="K271" s="112" t="str">
        <f>IF(OR(E271="",G271=""),"",IF(RIGHT(E271,1)="G",_xlfn.XLOOKUP(G271,Data!$D$11:$L$11,Data!$D$9:$L$9,"",1,1),_xlfn.XLOOKUP(G271,Data!$D$4:$L$4,Data!$D$2:$L$2,"",1,1)))</f>
        <v/>
      </c>
      <c r="L271" s="160" t="str" cm="1">
        <f t="array" ref="L271">IFERROR(_xlfn.IFNA(
                      _xlfn.IFS(
                      G271="", "",
                      G271=0, "",
                      AND(E271="U12B",G271&lt;=Data!$M$4), "U12 Boys record",
                      AND(E271="U12G",G271&lt;=Data!$M$11), "U12 Girls record"
                       ),""), "")</f>
        <v/>
      </c>
      <c r="M271" s="18" cm="1">
        <f t="array" ref="M271">_xlfn.IFS(OR($G271="",$G271=0),0, AND(NOT(ISNUMBER($G271)),LOWER($G271)&lt;&gt;"dnf"),"Not a valid time",OR(LOWER($G271)="dnf",$G271&gt;ScoringTable!$N$161),1,RIGHT($E271,1)="B",_xlfn.XLOOKUP($G271,ScoringTable!$N$2:$N$161,ScoringTable!$L$2:$L$161,,1),TRUE,_xlfn.XLOOKUP($G271,ScoringTable!$T$2:$T$161,ScoringTable!$R$2:$R$161,,1))</f>
        <v>0</v>
      </c>
      <c r="Q271" s="117">
        <f t="shared" si="20"/>
        <v>0</v>
      </c>
      <c r="R271" s="118">
        <f t="shared" si="21"/>
        <v>0</v>
      </c>
      <c r="S271" s="119">
        <f t="shared" si="22"/>
        <v>0</v>
      </c>
      <c r="T271" s="118">
        <f t="shared" si="23"/>
        <v>0</v>
      </c>
      <c r="U271" s="120">
        <f t="shared" si="24"/>
        <v>0</v>
      </c>
    </row>
    <row r="272" spans="1:21" s="7" customFormat="1" ht="16.05" customHeight="1">
      <c r="A272" s="113" t="s">
        <v>95</v>
      </c>
      <c r="B272" s="114" t="str">
        <f>IF(ISNA(VLOOKUP($F272,Declarations!B$6:C$185,2,FALSE)),"",IF(VLOOKUP($F272,Declarations!B$6:C$185,2,FALSE)="","NOT DECLARED",IF(ISNA(_xlfn.TEXTBEFORE(VLOOKUP($F272,Declarations!B$6:C$185,2,FALSE)," ")),VLOOKUP($F272,Declarations!B$6:C$185,2,FALSE),_xlfn.TEXTBEFORE(VLOOKUP($F272,Declarations!B$6:C$185,2,FALSE)," "))))</f>
        <v/>
      </c>
      <c r="C272" s="114" t="str">
        <f>IF(ISNA(VLOOKUP($F272,Declarations!B$6:C$185,2,FALSE)),"",IF(VLOOKUP($F272,Declarations!B$6:C$185,2,FALSE)="","NOT DECLARED",IF(ISNA(_xlfn.TEXTAFTER(VLOOKUP($F272,Declarations!B$6:C$185,2,FALSE)," ")),VLOOKUP($F272,Declarations!B$6:C$185,2,FALSE),_xlfn.TEXTAFTER(VLOOKUP($F272,Declarations!B$6:C$185,2,FALSE)," "))))</f>
        <v/>
      </c>
      <c r="D272" s="114" t="str">
        <f>IF(ISNA(VLOOKUP($F272,Declarations!$B$6:$F$185,5,FALSE)),"",IF(VLOOKUP($F272,Declarations!$B$6:$F$185,5,FALSE)="","NOT DECLARED",VLOOKUP($F272,Declarations!$B$6:$F$185,5,FALSE)))</f>
        <v/>
      </c>
      <c r="E272" s="112" t="str">
        <f>IF(ISNA(VLOOKUP($F272,Declarations!$B$6:$D$185,3,FALSE)),"",IF(VLOOKUP($F272,Declarations!$B$6:$D$185,3,FALSE)="","NOT DECLARED",VLOOKUP($F272,Declarations!$B$6:$D$185,3,FALSE)&amp;LEFT(VLOOKUP($F272,Declarations!$B$6:$E$185,4,FALSE))))</f>
        <v/>
      </c>
      <c r="F272" s="58"/>
      <c r="G272" s="115">
        <v>0</v>
      </c>
      <c r="H272" s="281"/>
      <c r="I272" s="114" t="str">
        <f>IF(ISNA(VLOOKUP(F272,Declarations!B$6:C$185,2,FALSE)),"",IF(VLOOKUP(F272,Declarations!B$6:C$185,2,FALSE)="","NOT DECLARED",VLOOKUP(F272,Declarations!B$6:C$185,2,FALSE)))</f>
        <v/>
      </c>
      <c r="J272" s="116">
        <f>IF(LOWER(G272)="dnf",1,IF(U272&lt;ScoringTable!C$3,ScoringTable!I$2,VLOOKUP((1000-U272),ScoringTable!H$2:I$95,2)))</f>
        <v>0</v>
      </c>
      <c r="K272" s="112" t="str">
        <f>IF(OR(E272="",G272=""),"",IF(RIGHT(E272,1)="G",_xlfn.XLOOKUP(G272,Data!$D$11:$L$11,Data!$D$9:$L$9,"",1,1),_xlfn.XLOOKUP(G272,Data!$D$4:$L$4,Data!$D$2:$L$2,"",1,1)))</f>
        <v/>
      </c>
      <c r="L272" s="160" t="str" cm="1">
        <f t="array" ref="L272">IFERROR(_xlfn.IFNA(
                      _xlfn.IFS(
                      G272="", "",
                      G272=0, "",
                      AND(E272="U12B",G272&lt;=Data!$M$4), "U12 Boys record",
                      AND(E272="U12G",G272&lt;=Data!$M$11), "U12 Girls record"
                       ),""), "")</f>
        <v/>
      </c>
      <c r="M272" s="18" cm="1">
        <f t="array" ref="M272">_xlfn.IFS(OR($G272="",$G272=0),0, AND(NOT(ISNUMBER($G272)),LOWER($G272)&lt;&gt;"dnf"),"Not a valid time",OR(LOWER($G272)="dnf",$G272&gt;ScoringTable!$N$161),1,RIGHT($E272,1)="B",_xlfn.XLOOKUP($G272,ScoringTable!$N$2:$N$161,ScoringTable!$L$2:$L$161,,1),TRUE,_xlfn.XLOOKUP($G272,ScoringTable!$T$2:$T$161,ScoringTable!$R$2:$R$161,,1))</f>
        <v>0</v>
      </c>
      <c r="Q272" s="117">
        <f t="shared" si="20"/>
        <v>0</v>
      </c>
      <c r="R272" s="118">
        <f t="shared" si="21"/>
        <v>0</v>
      </c>
      <c r="S272" s="119">
        <f t="shared" si="22"/>
        <v>0</v>
      </c>
      <c r="T272" s="118">
        <f t="shared" si="23"/>
        <v>0</v>
      </c>
      <c r="U272" s="120">
        <f t="shared" si="24"/>
        <v>0</v>
      </c>
    </row>
    <row r="273" spans="1:21" s="7" customFormat="1" ht="16.05" customHeight="1">
      <c r="A273" s="113" t="s">
        <v>95</v>
      </c>
      <c r="B273" s="114" t="str">
        <f>IF(ISNA(VLOOKUP($F273,Declarations!B$6:C$185,2,FALSE)),"",IF(VLOOKUP($F273,Declarations!B$6:C$185,2,FALSE)="","NOT DECLARED",IF(ISNA(_xlfn.TEXTBEFORE(VLOOKUP($F273,Declarations!B$6:C$185,2,FALSE)," ")),VLOOKUP($F273,Declarations!B$6:C$185,2,FALSE),_xlfn.TEXTBEFORE(VLOOKUP($F273,Declarations!B$6:C$185,2,FALSE)," "))))</f>
        <v/>
      </c>
      <c r="C273" s="114" t="str">
        <f>IF(ISNA(VLOOKUP($F273,Declarations!B$6:C$185,2,FALSE)),"",IF(VLOOKUP($F273,Declarations!B$6:C$185,2,FALSE)="","NOT DECLARED",IF(ISNA(_xlfn.TEXTAFTER(VLOOKUP($F273,Declarations!B$6:C$185,2,FALSE)," ")),VLOOKUP($F273,Declarations!B$6:C$185,2,FALSE),_xlfn.TEXTAFTER(VLOOKUP($F273,Declarations!B$6:C$185,2,FALSE)," "))))</f>
        <v/>
      </c>
      <c r="D273" s="114" t="str">
        <f>IF(ISNA(VLOOKUP($F273,Declarations!$B$6:$F$185,5,FALSE)),"",IF(VLOOKUP($F273,Declarations!$B$6:$F$185,5,FALSE)="","NOT DECLARED",VLOOKUP($F273,Declarations!$B$6:$F$185,5,FALSE)))</f>
        <v/>
      </c>
      <c r="E273" s="112" t="str">
        <f>IF(ISNA(VLOOKUP($F273,Declarations!$B$6:$D$185,3,FALSE)),"",IF(VLOOKUP($F273,Declarations!$B$6:$D$185,3,FALSE)="","NOT DECLARED",VLOOKUP($F273,Declarations!$B$6:$D$185,3,FALSE)&amp;LEFT(VLOOKUP($F273,Declarations!$B$6:$E$185,4,FALSE))))</f>
        <v/>
      </c>
      <c r="F273" s="58"/>
      <c r="G273" s="115">
        <v>0</v>
      </c>
      <c r="H273" s="281"/>
      <c r="I273" s="114" t="str">
        <f>IF(ISNA(VLOOKUP(F273,Declarations!B$6:C$185,2,FALSE)),"",IF(VLOOKUP(F273,Declarations!B$6:C$185,2,FALSE)="","NOT DECLARED",VLOOKUP(F273,Declarations!B$6:C$185,2,FALSE)))</f>
        <v/>
      </c>
      <c r="J273" s="116">
        <f>IF(LOWER(G273)="dnf",1,IF(U273&lt;ScoringTable!C$3,ScoringTable!I$2,VLOOKUP((1000-U273),ScoringTable!H$2:I$95,2)))</f>
        <v>0</v>
      </c>
      <c r="K273" s="112" t="str">
        <f>IF(OR(E273="",G273=""),"",IF(RIGHT(E273,1)="G",_xlfn.XLOOKUP(G273,Data!$D$11:$L$11,Data!$D$9:$L$9,"",1,1),_xlfn.XLOOKUP(G273,Data!$D$4:$L$4,Data!$D$2:$L$2,"",1,1)))</f>
        <v/>
      </c>
      <c r="L273" s="160" t="str" cm="1">
        <f t="array" ref="L273">IFERROR(_xlfn.IFNA(
                      _xlfn.IFS(
                      G273="", "",
                      G273=0, "",
                      AND(E273="U12B",G273&lt;=Data!$M$4), "U12 Boys record",
                      AND(E273="U12G",G273&lt;=Data!$M$11), "U12 Girls record"
                       ),""), "")</f>
        <v/>
      </c>
      <c r="M273" s="18" cm="1">
        <f t="array" ref="M273">_xlfn.IFS(OR($G273="",$G273=0),0, AND(NOT(ISNUMBER($G273)),LOWER($G273)&lt;&gt;"dnf"),"Not a valid time",OR(LOWER($G273)="dnf",$G273&gt;ScoringTable!$N$161),1,RIGHT($E273,1)="B",_xlfn.XLOOKUP($G273,ScoringTable!$N$2:$N$161,ScoringTable!$L$2:$L$161,,1),TRUE,_xlfn.XLOOKUP($G273,ScoringTable!$T$2:$T$161,ScoringTable!$R$2:$R$161,,1))</f>
        <v>0</v>
      </c>
      <c r="Q273" s="117">
        <f t="shared" si="20"/>
        <v>0</v>
      </c>
      <c r="R273" s="118">
        <f t="shared" si="21"/>
        <v>0</v>
      </c>
      <c r="S273" s="119">
        <f t="shared" si="22"/>
        <v>0</v>
      </c>
      <c r="T273" s="118">
        <f t="shared" si="23"/>
        <v>0</v>
      </c>
      <c r="U273" s="120">
        <f t="shared" si="24"/>
        <v>0</v>
      </c>
    </row>
    <row r="274" spans="1:21" s="7" customFormat="1" ht="16.05" customHeight="1">
      <c r="A274" s="113" t="s">
        <v>95</v>
      </c>
      <c r="B274" s="114" t="str">
        <f>IF(ISNA(VLOOKUP($F274,Declarations!B$6:C$185,2,FALSE)),"",IF(VLOOKUP($F274,Declarations!B$6:C$185,2,FALSE)="","NOT DECLARED",IF(ISNA(_xlfn.TEXTBEFORE(VLOOKUP($F274,Declarations!B$6:C$185,2,FALSE)," ")),VLOOKUP($F274,Declarations!B$6:C$185,2,FALSE),_xlfn.TEXTBEFORE(VLOOKUP($F274,Declarations!B$6:C$185,2,FALSE)," "))))</f>
        <v/>
      </c>
      <c r="C274" s="114" t="str">
        <f>IF(ISNA(VLOOKUP($F274,Declarations!B$6:C$185,2,FALSE)),"",IF(VLOOKUP($F274,Declarations!B$6:C$185,2,FALSE)="","NOT DECLARED",IF(ISNA(_xlfn.TEXTAFTER(VLOOKUP($F274,Declarations!B$6:C$185,2,FALSE)," ")),VLOOKUP($F274,Declarations!B$6:C$185,2,FALSE),_xlfn.TEXTAFTER(VLOOKUP($F274,Declarations!B$6:C$185,2,FALSE)," "))))</f>
        <v/>
      </c>
      <c r="D274" s="114" t="str">
        <f>IF(ISNA(VLOOKUP($F274,Declarations!$B$6:$F$185,5,FALSE)),"",IF(VLOOKUP($F274,Declarations!$B$6:$F$185,5,FALSE)="","NOT DECLARED",VLOOKUP($F274,Declarations!$B$6:$F$185,5,FALSE)))</f>
        <v/>
      </c>
      <c r="E274" s="112" t="str">
        <f>IF(ISNA(VLOOKUP($F274,Declarations!$B$6:$D$185,3,FALSE)),"",IF(VLOOKUP($F274,Declarations!$B$6:$D$185,3,FALSE)="","NOT DECLARED",VLOOKUP($F274,Declarations!$B$6:$D$185,3,FALSE)&amp;LEFT(VLOOKUP($F274,Declarations!$B$6:$E$185,4,FALSE))))</f>
        <v/>
      </c>
      <c r="F274" s="58"/>
      <c r="G274" s="115">
        <v>0</v>
      </c>
      <c r="H274" s="281"/>
      <c r="I274" s="114" t="str">
        <f>IF(ISNA(VLOOKUP(F274,Declarations!B$6:C$185,2,FALSE)),"",IF(VLOOKUP(F274,Declarations!B$6:C$185,2,FALSE)="","NOT DECLARED",VLOOKUP(F274,Declarations!B$6:C$185,2,FALSE)))</f>
        <v/>
      </c>
      <c r="J274" s="116">
        <f>IF(LOWER(G274)="dnf",1,IF(U274&lt;ScoringTable!C$3,ScoringTable!I$2,VLOOKUP((1000-U274),ScoringTable!H$2:I$95,2)))</f>
        <v>0</v>
      </c>
      <c r="K274" s="112" t="str">
        <f>IF(OR(E274="",G274=""),"",IF(RIGHT(E274,1)="G",_xlfn.XLOOKUP(G274,Data!$D$11:$L$11,Data!$D$9:$L$9,"",1,1),_xlfn.XLOOKUP(G274,Data!$D$4:$L$4,Data!$D$2:$L$2,"",1,1)))</f>
        <v/>
      </c>
      <c r="L274" s="160" t="str" cm="1">
        <f t="array" ref="L274">IFERROR(_xlfn.IFNA(
                      _xlfn.IFS(
                      G274="", "",
                      G274=0, "",
                      AND(E274="U12B",G274&lt;=Data!$M$4), "U12 Boys record",
                      AND(E274="U12G",G274&lt;=Data!$M$11), "U12 Girls record"
                       ),""), "")</f>
        <v/>
      </c>
      <c r="M274" s="18" cm="1">
        <f t="array" ref="M274">_xlfn.IFS(OR($G274="",$G274=0),0, AND(NOT(ISNUMBER($G274)),LOWER($G274)&lt;&gt;"dnf"),"Not a valid time",OR(LOWER($G274)="dnf",$G274&gt;ScoringTable!$N$161),1,RIGHT($E274,1)="B",_xlfn.XLOOKUP($G274,ScoringTable!$N$2:$N$161,ScoringTable!$L$2:$L$161,,1),TRUE,_xlfn.XLOOKUP($G274,ScoringTable!$T$2:$T$161,ScoringTable!$R$2:$R$161,,1))</f>
        <v>0</v>
      </c>
      <c r="Q274" s="117">
        <f t="shared" si="20"/>
        <v>0</v>
      </c>
      <c r="R274" s="118">
        <f t="shared" si="21"/>
        <v>0</v>
      </c>
      <c r="S274" s="119">
        <f t="shared" si="22"/>
        <v>0</v>
      </c>
      <c r="T274" s="118">
        <f t="shared" si="23"/>
        <v>0</v>
      </c>
      <c r="U274" s="120">
        <f t="shared" si="24"/>
        <v>0</v>
      </c>
    </row>
    <row r="275" spans="1:21" s="7" customFormat="1" ht="16.05" customHeight="1">
      <c r="A275" s="113" t="s">
        <v>95</v>
      </c>
      <c r="B275" s="114" t="str">
        <f>IF(ISNA(VLOOKUP($F275,Declarations!B$6:C$185,2,FALSE)),"",IF(VLOOKUP($F275,Declarations!B$6:C$185,2,FALSE)="","NOT DECLARED",IF(ISNA(_xlfn.TEXTBEFORE(VLOOKUP($F275,Declarations!B$6:C$185,2,FALSE)," ")),VLOOKUP($F275,Declarations!B$6:C$185,2,FALSE),_xlfn.TEXTBEFORE(VLOOKUP($F275,Declarations!B$6:C$185,2,FALSE)," "))))</f>
        <v/>
      </c>
      <c r="C275" s="114" t="str">
        <f>IF(ISNA(VLOOKUP($F275,Declarations!B$6:C$185,2,FALSE)),"",IF(VLOOKUP($F275,Declarations!B$6:C$185,2,FALSE)="","NOT DECLARED",IF(ISNA(_xlfn.TEXTAFTER(VLOOKUP($F275,Declarations!B$6:C$185,2,FALSE)," ")),VLOOKUP($F275,Declarations!B$6:C$185,2,FALSE),_xlfn.TEXTAFTER(VLOOKUP($F275,Declarations!B$6:C$185,2,FALSE)," "))))</f>
        <v/>
      </c>
      <c r="D275" s="114" t="str">
        <f>IF(ISNA(VLOOKUP($F275,Declarations!$B$6:$F$185,5,FALSE)),"",IF(VLOOKUP($F275,Declarations!$B$6:$F$185,5,FALSE)="","NOT DECLARED",VLOOKUP($F275,Declarations!$B$6:$F$185,5,FALSE)))</f>
        <v/>
      </c>
      <c r="E275" s="112" t="str">
        <f>IF(ISNA(VLOOKUP($F275,Declarations!$B$6:$D$185,3,FALSE)),"",IF(VLOOKUP($F275,Declarations!$B$6:$D$185,3,FALSE)="","NOT DECLARED",VLOOKUP($F275,Declarations!$B$6:$D$185,3,FALSE)&amp;LEFT(VLOOKUP($F275,Declarations!$B$6:$E$185,4,FALSE))))</f>
        <v/>
      </c>
      <c r="F275" s="58"/>
      <c r="G275" s="115">
        <v>0</v>
      </c>
      <c r="H275" s="281"/>
      <c r="I275" s="114" t="str">
        <f>IF(ISNA(VLOOKUP(F275,Declarations!B$6:C$185,2,FALSE)),"",IF(VLOOKUP(F275,Declarations!B$6:C$185,2,FALSE)="","NOT DECLARED",VLOOKUP(F275,Declarations!B$6:C$185,2,FALSE)))</f>
        <v/>
      </c>
      <c r="J275" s="116">
        <f>IF(LOWER(G275)="dnf",1,IF(U275&lt;ScoringTable!C$3,ScoringTable!I$2,VLOOKUP((1000-U275),ScoringTable!H$2:I$95,2)))</f>
        <v>0</v>
      </c>
      <c r="K275" s="112" t="str">
        <f>IF(OR(E275="",G275=""),"",IF(RIGHT(E275,1)="G",_xlfn.XLOOKUP(G275,Data!$D$11:$L$11,Data!$D$9:$L$9,"",1,1),_xlfn.XLOOKUP(G275,Data!$D$4:$L$4,Data!$D$2:$L$2,"",1,1)))</f>
        <v/>
      </c>
      <c r="L275" s="160" t="str" cm="1">
        <f t="array" ref="L275">IFERROR(_xlfn.IFNA(
                      _xlfn.IFS(
                      G275="", "",
                      G275=0, "",
                      AND(E275="U12B",G275&lt;=Data!$M$4), "U12 Boys record",
                      AND(E275="U12G",G275&lt;=Data!$M$11), "U12 Girls record"
                       ),""), "")</f>
        <v/>
      </c>
      <c r="M275" s="18" cm="1">
        <f t="array" ref="M275">_xlfn.IFS(OR($G275="",$G275=0),0, AND(NOT(ISNUMBER($G275)),LOWER($G275)&lt;&gt;"dnf"),"Not a valid time",OR(LOWER($G275)="dnf",$G275&gt;ScoringTable!$N$161),1,RIGHT($E275,1)="B",_xlfn.XLOOKUP($G275,ScoringTable!$N$2:$N$161,ScoringTable!$L$2:$L$161,,1),TRUE,_xlfn.XLOOKUP($G275,ScoringTable!$T$2:$T$161,ScoringTable!$R$2:$R$161,,1))</f>
        <v>0</v>
      </c>
      <c r="Q275" s="117">
        <f t="shared" si="20"/>
        <v>0</v>
      </c>
      <c r="R275" s="118">
        <f t="shared" si="21"/>
        <v>0</v>
      </c>
      <c r="S275" s="119">
        <f t="shared" si="22"/>
        <v>0</v>
      </c>
      <c r="T275" s="118">
        <f t="shared" si="23"/>
        <v>0</v>
      </c>
      <c r="U275" s="120">
        <f t="shared" si="24"/>
        <v>0</v>
      </c>
    </row>
    <row r="276" spans="1:21" s="7" customFormat="1" ht="16.05" customHeight="1">
      <c r="A276" s="113" t="s">
        <v>95</v>
      </c>
      <c r="B276" s="114" t="str">
        <f>IF(ISNA(VLOOKUP($F276,Declarations!B$6:C$185,2,FALSE)),"",IF(VLOOKUP($F276,Declarations!B$6:C$185,2,FALSE)="","NOT DECLARED",IF(ISNA(_xlfn.TEXTBEFORE(VLOOKUP($F276,Declarations!B$6:C$185,2,FALSE)," ")),VLOOKUP($F276,Declarations!B$6:C$185,2,FALSE),_xlfn.TEXTBEFORE(VLOOKUP($F276,Declarations!B$6:C$185,2,FALSE)," "))))</f>
        <v/>
      </c>
      <c r="C276" s="114" t="str">
        <f>IF(ISNA(VLOOKUP($F276,Declarations!B$6:C$185,2,FALSE)),"",IF(VLOOKUP($F276,Declarations!B$6:C$185,2,FALSE)="","NOT DECLARED",IF(ISNA(_xlfn.TEXTAFTER(VLOOKUP($F276,Declarations!B$6:C$185,2,FALSE)," ")),VLOOKUP($F276,Declarations!B$6:C$185,2,FALSE),_xlfn.TEXTAFTER(VLOOKUP($F276,Declarations!B$6:C$185,2,FALSE)," "))))</f>
        <v/>
      </c>
      <c r="D276" s="114" t="str">
        <f>IF(ISNA(VLOOKUP($F276,Declarations!$B$6:$F$185,5,FALSE)),"",IF(VLOOKUP($F276,Declarations!$B$6:$F$185,5,FALSE)="","NOT DECLARED",VLOOKUP($F276,Declarations!$B$6:$F$185,5,FALSE)))</f>
        <v/>
      </c>
      <c r="E276" s="112" t="str">
        <f>IF(ISNA(VLOOKUP($F276,Declarations!$B$6:$D$185,3,FALSE)),"",IF(VLOOKUP($F276,Declarations!$B$6:$D$185,3,FALSE)="","NOT DECLARED",VLOOKUP($F276,Declarations!$B$6:$D$185,3,FALSE)&amp;LEFT(VLOOKUP($F276,Declarations!$B$6:$E$185,4,FALSE))))</f>
        <v/>
      </c>
      <c r="F276" s="58"/>
      <c r="G276" s="115">
        <v>0</v>
      </c>
      <c r="H276" s="281"/>
      <c r="I276" s="114" t="str">
        <f>IF(ISNA(VLOOKUP(F276,Declarations!B$6:C$185,2,FALSE)),"",IF(VLOOKUP(F276,Declarations!B$6:C$185,2,FALSE)="","NOT DECLARED",VLOOKUP(F276,Declarations!B$6:C$185,2,FALSE)))</f>
        <v/>
      </c>
      <c r="J276" s="116">
        <f>IF(LOWER(G276)="dnf",1,IF(U276&lt;ScoringTable!C$3,ScoringTable!I$2,VLOOKUP((1000-U276),ScoringTable!H$2:I$95,2)))</f>
        <v>0</v>
      </c>
      <c r="K276" s="112" t="str">
        <f>IF(OR(E276="",G276=""),"",IF(RIGHT(E276,1)="G",_xlfn.XLOOKUP(G276,Data!$D$11:$L$11,Data!$D$9:$L$9,"",1,1),_xlfn.XLOOKUP(G276,Data!$D$4:$L$4,Data!$D$2:$L$2,"",1,1)))</f>
        <v/>
      </c>
      <c r="L276" s="160" t="str" cm="1">
        <f t="array" ref="L276">IFERROR(_xlfn.IFNA(
                      _xlfn.IFS(
                      G276="", "",
                      G276=0, "",
                      AND(E276="U12B",G276&lt;=Data!$M$4), "U12 Boys record",
                      AND(E276="U12G",G276&lt;=Data!$M$11), "U12 Girls record"
                       ),""), "")</f>
        <v/>
      </c>
      <c r="M276" s="18" cm="1">
        <f t="array" ref="M276">_xlfn.IFS(OR($G276="",$G276=0),0, AND(NOT(ISNUMBER($G276)),LOWER($G276)&lt;&gt;"dnf"),"Not a valid time",OR(LOWER($G276)="dnf",$G276&gt;ScoringTable!$N$161),1,RIGHT($E276,1)="B",_xlfn.XLOOKUP($G276,ScoringTable!$N$2:$N$161,ScoringTable!$L$2:$L$161,,1),TRUE,_xlfn.XLOOKUP($G276,ScoringTable!$T$2:$T$161,ScoringTable!$R$2:$R$161,,1))</f>
        <v>0</v>
      </c>
      <c r="Q276" s="117">
        <f t="shared" si="20"/>
        <v>0</v>
      </c>
      <c r="R276" s="118">
        <f t="shared" si="21"/>
        <v>0</v>
      </c>
      <c r="S276" s="119">
        <f t="shared" si="22"/>
        <v>0</v>
      </c>
      <c r="T276" s="118">
        <f t="shared" si="23"/>
        <v>0</v>
      </c>
      <c r="U276" s="120">
        <f t="shared" si="24"/>
        <v>0</v>
      </c>
    </row>
    <row r="277" spans="1:21" s="7" customFormat="1" ht="16.05" customHeight="1">
      <c r="A277" s="113" t="s">
        <v>95</v>
      </c>
      <c r="B277" s="114" t="str">
        <f>IF(ISNA(VLOOKUP($F277,Declarations!B$6:C$185,2,FALSE)),"",IF(VLOOKUP($F277,Declarations!B$6:C$185,2,FALSE)="","NOT DECLARED",IF(ISNA(_xlfn.TEXTBEFORE(VLOOKUP($F277,Declarations!B$6:C$185,2,FALSE)," ")),VLOOKUP($F277,Declarations!B$6:C$185,2,FALSE),_xlfn.TEXTBEFORE(VLOOKUP($F277,Declarations!B$6:C$185,2,FALSE)," "))))</f>
        <v/>
      </c>
      <c r="C277" s="114" t="str">
        <f>IF(ISNA(VLOOKUP($F277,Declarations!B$6:C$185,2,FALSE)),"",IF(VLOOKUP($F277,Declarations!B$6:C$185,2,FALSE)="","NOT DECLARED",IF(ISNA(_xlfn.TEXTAFTER(VLOOKUP($F277,Declarations!B$6:C$185,2,FALSE)," ")),VLOOKUP($F277,Declarations!B$6:C$185,2,FALSE),_xlfn.TEXTAFTER(VLOOKUP($F277,Declarations!B$6:C$185,2,FALSE)," "))))</f>
        <v/>
      </c>
      <c r="D277" s="114" t="str">
        <f>IF(ISNA(VLOOKUP($F277,Declarations!$B$6:$F$185,5,FALSE)),"",IF(VLOOKUP($F277,Declarations!$B$6:$F$185,5,FALSE)="","NOT DECLARED",VLOOKUP($F277,Declarations!$B$6:$F$185,5,FALSE)))</f>
        <v/>
      </c>
      <c r="E277" s="112" t="str">
        <f>IF(ISNA(VLOOKUP($F277,Declarations!$B$6:$D$185,3,FALSE)),"",IF(VLOOKUP($F277,Declarations!$B$6:$D$185,3,FALSE)="","NOT DECLARED",VLOOKUP($F277,Declarations!$B$6:$D$185,3,FALSE)&amp;LEFT(VLOOKUP($F277,Declarations!$B$6:$E$185,4,FALSE))))</f>
        <v/>
      </c>
      <c r="F277" s="58"/>
      <c r="G277" s="115">
        <v>0</v>
      </c>
      <c r="H277" s="281"/>
      <c r="I277" s="114" t="str">
        <f>IF(ISNA(VLOOKUP(F277,Declarations!B$6:C$185,2,FALSE)),"",IF(VLOOKUP(F277,Declarations!B$6:C$185,2,FALSE)="","NOT DECLARED",VLOOKUP(F277,Declarations!B$6:C$185,2,FALSE)))</f>
        <v/>
      </c>
      <c r="J277" s="116">
        <f>IF(LOWER(G277)="dnf",1,IF(U277&lt;ScoringTable!C$3,ScoringTable!I$2,VLOOKUP((1000-U277),ScoringTable!H$2:I$95,2)))</f>
        <v>0</v>
      </c>
      <c r="K277" s="112" t="str">
        <f>IF(OR(E277="",G277=""),"",IF(RIGHT(E277,1)="G",_xlfn.XLOOKUP(G277,Data!$D$11:$L$11,Data!$D$9:$L$9,"",1,1),_xlfn.XLOOKUP(G277,Data!$D$4:$L$4,Data!$D$2:$L$2,"",1,1)))</f>
        <v/>
      </c>
      <c r="L277" s="160" t="str" cm="1">
        <f t="array" ref="L277">IFERROR(_xlfn.IFNA(
                      _xlfn.IFS(
                      G277="", "",
                      G277=0, "",
                      AND(E277="U12B",G277&lt;=Data!$M$4), "U12 Boys record",
                      AND(E277="U12G",G277&lt;=Data!$M$11), "U12 Girls record"
                       ),""), "")</f>
        <v/>
      </c>
      <c r="M277" s="18" cm="1">
        <f t="array" ref="M277">_xlfn.IFS(OR($G277="",$G277=0),0, AND(NOT(ISNUMBER($G277)),LOWER($G277)&lt;&gt;"dnf"),"Not a valid time",OR(LOWER($G277)="dnf",$G277&gt;ScoringTable!$N$161),1,RIGHT($E277,1)="B",_xlfn.XLOOKUP($G277,ScoringTable!$N$2:$N$161,ScoringTable!$L$2:$L$161,,1),TRUE,_xlfn.XLOOKUP($G277,ScoringTable!$T$2:$T$161,ScoringTable!$R$2:$R$161,,1))</f>
        <v>0</v>
      </c>
      <c r="Q277" s="117">
        <f t="shared" si="20"/>
        <v>0</v>
      </c>
      <c r="R277" s="118">
        <f t="shared" si="21"/>
        <v>0</v>
      </c>
      <c r="S277" s="119">
        <f t="shared" si="22"/>
        <v>0</v>
      </c>
      <c r="T277" s="118">
        <f t="shared" si="23"/>
        <v>0</v>
      </c>
      <c r="U277" s="120">
        <f t="shared" si="24"/>
        <v>0</v>
      </c>
    </row>
    <row r="278" spans="1:21" s="7" customFormat="1" ht="16.05" customHeight="1">
      <c r="A278" s="113" t="s">
        <v>95</v>
      </c>
      <c r="B278" s="114" t="str">
        <f>IF(ISNA(VLOOKUP($F278,Declarations!B$6:C$185,2,FALSE)),"",IF(VLOOKUP($F278,Declarations!B$6:C$185,2,FALSE)="","NOT DECLARED",IF(ISNA(_xlfn.TEXTBEFORE(VLOOKUP($F278,Declarations!B$6:C$185,2,FALSE)," ")),VLOOKUP($F278,Declarations!B$6:C$185,2,FALSE),_xlfn.TEXTBEFORE(VLOOKUP($F278,Declarations!B$6:C$185,2,FALSE)," "))))</f>
        <v/>
      </c>
      <c r="C278" s="114" t="str">
        <f>IF(ISNA(VLOOKUP($F278,Declarations!B$6:C$185,2,FALSE)),"",IF(VLOOKUP($F278,Declarations!B$6:C$185,2,FALSE)="","NOT DECLARED",IF(ISNA(_xlfn.TEXTAFTER(VLOOKUP($F278,Declarations!B$6:C$185,2,FALSE)," ")),VLOOKUP($F278,Declarations!B$6:C$185,2,FALSE),_xlfn.TEXTAFTER(VLOOKUP($F278,Declarations!B$6:C$185,2,FALSE)," "))))</f>
        <v/>
      </c>
      <c r="D278" s="114" t="str">
        <f>IF(ISNA(VLOOKUP($F278,Declarations!$B$6:$F$185,5,FALSE)),"",IF(VLOOKUP($F278,Declarations!$B$6:$F$185,5,FALSE)="","NOT DECLARED",VLOOKUP($F278,Declarations!$B$6:$F$185,5,FALSE)))</f>
        <v/>
      </c>
      <c r="E278" s="112" t="str">
        <f>IF(ISNA(VLOOKUP($F278,Declarations!$B$6:$D$185,3,FALSE)),"",IF(VLOOKUP($F278,Declarations!$B$6:$D$185,3,FALSE)="","NOT DECLARED",VLOOKUP($F278,Declarations!$B$6:$D$185,3,FALSE)&amp;LEFT(VLOOKUP($F278,Declarations!$B$6:$E$185,4,FALSE))))</f>
        <v/>
      </c>
      <c r="F278" s="58"/>
      <c r="G278" s="115">
        <v>0</v>
      </c>
      <c r="H278" s="281"/>
      <c r="I278" s="114" t="str">
        <f>IF(ISNA(VLOOKUP(F278,Declarations!B$6:C$185,2,FALSE)),"",IF(VLOOKUP(F278,Declarations!B$6:C$185,2,FALSE)="","NOT DECLARED",VLOOKUP(F278,Declarations!B$6:C$185,2,FALSE)))</f>
        <v/>
      </c>
      <c r="J278" s="116">
        <f>IF(LOWER(G278)="dnf",1,IF(U278&lt;ScoringTable!C$3,ScoringTable!I$2,VLOOKUP((1000-U278),ScoringTable!H$2:I$95,2)))</f>
        <v>0</v>
      </c>
      <c r="K278" s="112" t="str">
        <f>IF(OR(E278="",G278=""),"",IF(RIGHT(E278,1)="G",_xlfn.XLOOKUP(G278,Data!$D$11:$L$11,Data!$D$9:$L$9,"",1,1),_xlfn.XLOOKUP(G278,Data!$D$4:$L$4,Data!$D$2:$L$2,"",1,1)))</f>
        <v/>
      </c>
      <c r="L278" s="160" t="str" cm="1">
        <f t="array" ref="L278">IFERROR(_xlfn.IFNA(
                      _xlfn.IFS(
                      G278="", "",
                      G278=0, "",
                      AND(E278="U12B",G278&lt;=Data!$M$4), "U12 Boys record",
                      AND(E278="U12G",G278&lt;=Data!$M$11), "U12 Girls record"
                       ),""), "")</f>
        <v/>
      </c>
      <c r="M278" s="18" cm="1">
        <f t="array" ref="M278">_xlfn.IFS(OR($G278="",$G278=0),0, AND(NOT(ISNUMBER($G278)),LOWER($G278)&lt;&gt;"dnf"),"Not a valid time",OR(LOWER($G278)="dnf",$G278&gt;ScoringTable!$N$161),1,RIGHT($E278,1)="B",_xlfn.XLOOKUP($G278,ScoringTable!$N$2:$N$161,ScoringTable!$L$2:$L$161,,1),TRUE,_xlfn.XLOOKUP($G278,ScoringTable!$T$2:$T$161,ScoringTable!$R$2:$R$161,,1))</f>
        <v>0</v>
      </c>
      <c r="Q278" s="117">
        <f t="shared" si="20"/>
        <v>0</v>
      </c>
      <c r="R278" s="118">
        <f t="shared" si="21"/>
        <v>0</v>
      </c>
      <c r="S278" s="119">
        <f t="shared" si="22"/>
        <v>0</v>
      </c>
      <c r="T278" s="118">
        <f t="shared" si="23"/>
        <v>0</v>
      </c>
      <c r="U278" s="120">
        <f t="shared" si="24"/>
        <v>0</v>
      </c>
    </row>
    <row r="279" spans="1:21" s="7" customFormat="1" ht="16.05" customHeight="1">
      <c r="A279" s="113" t="s">
        <v>95</v>
      </c>
      <c r="B279" s="114" t="str">
        <f>IF(ISNA(VLOOKUP($F279,Declarations!B$6:C$185,2,FALSE)),"",IF(VLOOKUP($F279,Declarations!B$6:C$185,2,FALSE)="","NOT DECLARED",IF(ISNA(_xlfn.TEXTBEFORE(VLOOKUP($F279,Declarations!B$6:C$185,2,FALSE)," ")),VLOOKUP($F279,Declarations!B$6:C$185,2,FALSE),_xlfn.TEXTBEFORE(VLOOKUP($F279,Declarations!B$6:C$185,2,FALSE)," "))))</f>
        <v/>
      </c>
      <c r="C279" s="114" t="str">
        <f>IF(ISNA(VLOOKUP($F279,Declarations!B$6:C$185,2,FALSE)),"",IF(VLOOKUP($F279,Declarations!B$6:C$185,2,FALSE)="","NOT DECLARED",IF(ISNA(_xlfn.TEXTAFTER(VLOOKUP($F279,Declarations!B$6:C$185,2,FALSE)," ")),VLOOKUP($F279,Declarations!B$6:C$185,2,FALSE),_xlfn.TEXTAFTER(VLOOKUP($F279,Declarations!B$6:C$185,2,FALSE)," "))))</f>
        <v/>
      </c>
      <c r="D279" s="114" t="str">
        <f>IF(ISNA(VLOOKUP($F279,Declarations!$B$6:$F$185,5,FALSE)),"",IF(VLOOKUP($F279,Declarations!$B$6:$F$185,5,FALSE)="","NOT DECLARED",VLOOKUP($F279,Declarations!$B$6:$F$185,5,FALSE)))</f>
        <v/>
      </c>
      <c r="E279" s="112" t="str">
        <f>IF(ISNA(VLOOKUP($F279,Declarations!$B$6:$D$185,3,FALSE)),"",IF(VLOOKUP($F279,Declarations!$B$6:$D$185,3,FALSE)="","NOT DECLARED",VLOOKUP($F279,Declarations!$B$6:$D$185,3,FALSE)&amp;LEFT(VLOOKUP($F279,Declarations!$B$6:$E$185,4,FALSE))))</f>
        <v/>
      </c>
      <c r="F279" s="58"/>
      <c r="G279" s="115">
        <v>0</v>
      </c>
      <c r="H279" s="281"/>
      <c r="I279" s="114" t="str">
        <f>IF(ISNA(VLOOKUP(F279,Declarations!B$6:C$185,2,FALSE)),"",IF(VLOOKUP(F279,Declarations!B$6:C$185,2,FALSE)="","NOT DECLARED",VLOOKUP(F279,Declarations!B$6:C$185,2,FALSE)))</f>
        <v/>
      </c>
      <c r="J279" s="116">
        <f>IF(LOWER(G279)="dnf",1,IF(U279&lt;ScoringTable!C$3,ScoringTable!I$2,VLOOKUP((1000-U279),ScoringTable!H$2:I$95,2)))</f>
        <v>0</v>
      </c>
      <c r="K279" s="112" t="str">
        <f>IF(OR(E279="",G279=""),"",IF(RIGHT(E279,1)="G",_xlfn.XLOOKUP(G279,Data!$D$11:$L$11,Data!$D$9:$L$9,"",1,1),_xlfn.XLOOKUP(G279,Data!$D$4:$L$4,Data!$D$2:$L$2,"",1,1)))</f>
        <v/>
      </c>
      <c r="L279" s="160" t="str" cm="1">
        <f t="array" ref="L279">IFERROR(_xlfn.IFNA(
                      _xlfn.IFS(
                      G279="", "",
                      G279=0, "",
                      AND(E279="U12B",G279&lt;=Data!$M$4), "U12 Boys record",
                      AND(E279="U12G",G279&lt;=Data!$M$11), "U12 Girls record"
                       ),""), "")</f>
        <v/>
      </c>
      <c r="M279" s="18" cm="1">
        <f t="array" ref="M279">_xlfn.IFS(OR($G279="",$G279=0),0, AND(NOT(ISNUMBER($G279)),LOWER($G279)&lt;&gt;"dnf"),"Not a valid time",OR(LOWER($G279)="dnf",$G279&gt;ScoringTable!$N$161),1,RIGHT($E279,1)="B",_xlfn.XLOOKUP($G279,ScoringTable!$N$2:$N$161,ScoringTable!$L$2:$L$161,,1),TRUE,_xlfn.XLOOKUP($G279,ScoringTable!$T$2:$T$161,ScoringTable!$R$2:$R$161,,1))</f>
        <v>0</v>
      </c>
      <c r="Q279" s="117">
        <f t="shared" si="20"/>
        <v>0</v>
      </c>
      <c r="R279" s="118">
        <f t="shared" si="21"/>
        <v>0</v>
      </c>
      <c r="S279" s="119">
        <f t="shared" si="22"/>
        <v>0</v>
      </c>
      <c r="T279" s="118">
        <f t="shared" si="23"/>
        <v>0</v>
      </c>
      <c r="U279" s="120">
        <f t="shared" si="24"/>
        <v>0</v>
      </c>
    </row>
    <row r="280" spans="1:21" s="7" customFormat="1" ht="16.05" customHeight="1">
      <c r="A280" s="113" t="s">
        <v>95</v>
      </c>
      <c r="B280" s="114" t="str">
        <f>IF(ISNA(VLOOKUP($F280,Declarations!B$6:C$185,2,FALSE)),"",IF(VLOOKUP($F280,Declarations!B$6:C$185,2,FALSE)="","NOT DECLARED",IF(ISNA(_xlfn.TEXTBEFORE(VLOOKUP($F280,Declarations!B$6:C$185,2,FALSE)," ")),VLOOKUP($F280,Declarations!B$6:C$185,2,FALSE),_xlfn.TEXTBEFORE(VLOOKUP($F280,Declarations!B$6:C$185,2,FALSE)," "))))</f>
        <v/>
      </c>
      <c r="C280" s="114" t="str">
        <f>IF(ISNA(VLOOKUP($F280,Declarations!B$6:C$185,2,FALSE)),"",IF(VLOOKUP($F280,Declarations!B$6:C$185,2,FALSE)="","NOT DECLARED",IF(ISNA(_xlfn.TEXTAFTER(VLOOKUP($F280,Declarations!B$6:C$185,2,FALSE)," ")),VLOOKUP($F280,Declarations!B$6:C$185,2,FALSE),_xlfn.TEXTAFTER(VLOOKUP($F280,Declarations!B$6:C$185,2,FALSE)," "))))</f>
        <v/>
      </c>
      <c r="D280" s="114" t="str">
        <f>IF(ISNA(VLOOKUP($F280,Declarations!$B$6:$F$185,5,FALSE)),"",IF(VLOOKUP($F280,Declarations!$B$6:$F$185,5,FALSE)="","NOT DECLARED",VLOOKUP($F280,Declarations!$B$6:$F$185,5,FALSE)))</f>
        <v/>
      </c>
      <c r="E280" s="112" t="str">
        <f>IF(ISNA(VLOOKUP($F280,Declarations!$B$6:$D$185,3,FALSE)),"",IF(VLOOKUP($F280,Declarations!$B$6:$D$185,3,FALSE)="","NOT DECLARED",VLOOKUP($F280,Declarations!$B$6:$D$185,3,FALSE)&amp;LEFT(VLOOKUP($F280,Declarations!$B$6:$E$185,4,FALSE))))</f>
        <v/>
      </c>
      <c r="F280" s="58"/>
      <c r="G280" s="115">
        <v>0</v>
      </c>
      <c r="H280" s="281"/>
      <c r="I280" s="114" t="str">
        <f>IF(ISNA(VLOOKUP(F280,Declarations!B$6:C$185,2,FALSE)),"",IF(VLOOKUP(F280,Declarations!B$6:C$185,2,FALSE)="","NOT DECLARED",VLOOKUP(F280,Declarations!B$6:C$185,2,FALSE)))</f>
        <v/>
      </c>
      <c r="J280" s="116">
        <f>IF(LOWER(G280)="dnf",1,IF(U280&lt;ScoringTable!C$3,ScoringTable!I$2,VLOOKUP((1000-U280),ScoringTable!H$2:I$95,2)))</f>
        <v>0</v>
      </c>
      <c r="K280" s="112" t="str">
        <f>IF(OR(E280="",G280=""),"",IF(RIGHT(E280,1)="G",_xlfn.XLOOKUP(G280,Data!$D$11:$L$11,Data!$D$9:$L$9,"",1,1),_xlfn.XLOOKUP(G280,Data!$D$4:$L$4,Data!$D$2:$L$2,"",1,1)))</f>
        <v/>
      </c>
      <c r="L280" s="160" t="str" cm="1">
        <f t="array" ref="L280">IFERROR(_xlfn.IFNA(
                      _xlfn.IFS(
                      G280="", "",
                      G280=0, "",
                      AND(E280="U12B",G280&lt;=Data!$M$4), "U12 Boys record",
                      AND(E280="U12G",G280&lt;=Data!$M$11), "U12 Girls record"
                       ),""), "")</f>
        <v/>
      </c>
      <c r="M280" s="18" cm="1">
        <f t="array" ref="M280">_xlfn.IFS(OR($G280="",$G280=0),0, AND(NOT(ISNUMBER($G280)),LOWER($G280)&lt;&gt;"dnf"),"Not a valid time",OR(LOWER($G280)="dnf",$G280&gt;ScoringTable!$N$161),1,RIGHT($E280,1)="B",_xlfn.XLOOKUP($G280,ScoringTable!$N$2:$N$161,ScoringTable!$L$2:$L$161,,1),TRUE,_xlfn.XLOOKUP($G280,ScoringTable!$T$2:$T$161,ScoringTable!$R$2:$R$161,,1))</f>
        <v>0</v>
      </c>
      <c r="Q280" s="117">
        <f t="shared" si="20"/>
        <v>0</v>
      </c>
      <c r="R280" s="118">
        <f t="shared" si="21"/>
        <v>0</v>
      </c>
      <c r="S280" s="119">
        <f t="shared" si="22"/>
        <v>0</v>
      </c>
      <c r="T280" s="118">
        <f t="shared" si="23"/>
        <v>0</v>
      </c>
      <c r="U280" s="120">
        <f t="shared" si="24"/>
        <v>0</v>
      </c>
    </row>
    <row r="281" spans="1:21" s="7" customFormat="1" ht="16.05" customHeight="1">
      <c r="A281" s="113" t="s">
        <v>95</v>
      </c>
      <c r="B281" s="114" t="str">
        <f>IF(ISNA(VLOOKUP($F281,Declarations!B$6:C$185,2,FALSE)),"",IF(VLOOKUP($F281,Declarations!B$6:C$185,2,FALSE)="","NOT DECLARED",IF(ISNA(_xlfn.TEXTBEFORE(VLOOKUP($F281,Declarations!B$6:C$185,2,FALSE)," ")),VLOOKUP($F281,Declarations!B$6:C$185,2,FALSE),_xlfn.TEXTBEFORE(VLOOKUP($F281,Declarations!B$6:C$185,2,FALSE)," "))))</f>
        <v/>
      </c>
      <c r="C281" s="114" t="str">
        <f>IF(ISNA(VLOOKUP($F281,Declarations!B$6:C$185,2,FALSE)),"",IF(VLOOKUP($F281,Declarations!B$6:C$185,2,FALSE)="","NOT DECLARED",IF(ISNA(_xlfn.TEXTAFTER(VLOOKUP($F281,Declarations!B$6:C$185,2,FALSE)," ")),VLOOKUP($F281,Declarations!B$6:C$185,2,FALSE),_xlfn.TEXTAFTER(VLOOKUP($F281,Declarations!B$6:C$185,2,FALSE)," "))))</f>
        <v/>
      </c>
      <c r="D281" s="114" t="str">
        <f>IF(ISNA(VLOOKUP($F281,Declarations!$B$6:$F$185,5,FALSE)),"",IF(VLOOKUP($F281,Declarations!$B$6:$F$185,5,FALSE)="","NOT DECLARED",VLOOKUP($F281,Declarations!$B$6:$F$185,5,FALSE)))</f>
        <v/>
      </c>
      <c r="E281" s="112" t="str">
        <f>IF(ISNA(VLOOKUP($F281,Declarations!$B$6:$D$185,3,FALSE)),"",IF(VLOOKUP($F281,Declarations!$B$6:$D$185,3,FALSE)="","NOT DECLARED",VLOOKUP($F281,Declarations!$B$6:$D$185,3,FALSE)&amp;LEFT(VLOOKUP($F281,Declarations!$B$6:$E$185,4,FALSE))))</f>
        <v/>
      </c>
      <c r="F281" s="58"/>
      <c r="G281" s="115">
        <v>0</v>
      </c>
      <c r="H281" s="281"/>
      <c r="I281" s="114" t="str">
        <f>IF(ISNA(VLOOKUP(F281,Declarations!B$6:C$185,2,FALSE)),"",IF(VLOOKUP(F281,Declarations!B$6:C$185,2,FALSE)="","NOT DECLARED",VLOOKUP(F281,Declarations!B$6:C$185,2,FALSE)))</f>
        <v/>
      </c>
      <c r="J281" s="116">
        <f>IF(LOWER(G281)="dnf",1,IF(U281&lt;ScoringTable!C$3,ScoringTable!I$2,VLOOKUP((1000-U281),ScoringTable!H$2:I$95,2)))</f>
        <v>0</v>
      </c>
      <c r="K281" s="112" t="str">
        <f>IF(OR(E281="",G281=""),"",IF(RIGHT(E281,1)="G",_xlfn.XLOOKUP(G281,Data!$D$11:$L$11,Data!$D$9:$L$9,"",1,1),_xlfn.XLOOKUP(G281,Data!$D$4:$L$4,Data!$D$2:$L$2,"",1,1)))</f>
        <v/>
      </c>
      <c r="L281" s="160" t="str" cm="1">
        <f t="array" ref="L281">IFERROR(_xlfn.IFNA(
                      _xlfn.IFS(
                      G281="", "",
                      G281=0, "",
                      AND(E281="U12B",G281&lt;=Data!$M$4), "U12 Boys record",
                      AND(E281="U12G",G281&lt;=Data!$M$11), "U12 Girls record"
                       ),""), "")</f>
        <v/>
      </c>
      <c r="M281" s="18" cm="1">
        <f t="array" ref="M281">_xlfn.IFS(OR($G281="",$G281=0),0, AND(NOT(ISNUMBER($G281)),LOWER($G281)&lt;&gt;"dnf"),"Not a valid time",OR(LOWER($G281)="dnf",$G281&gt;ScoringTable!$N$161),1,RIGHT($E281,1)="B",_xlfn.XLOOKUP($G281,ScoringTable!$N$2:$N$161,ScoringTable!$L$2:$L$161,,1),TRUE,_xlfn.XLOOKUP($G281,ScoringTable!$T$2:$T$161,ScoringTable!$R$2:$R$161,,1))</f>
        <v>0</v>
      </c>
      <c r="Q281" s="117">
        <f t="shared" si="20"/>
        <v>0</v>
      </c>
      <c r="R281" s="118">
        <f t="shared" si="21"/>
        <v>0</v>
      </c>
      <c r="S281" s="119">
        <f t="shared" si="22"/>
        <v>0</v>
      </c>
      <c r="T281" s="118">
        <f t="shared" si="23"/>
        <v>0</v>
      </c>
      <c r="U281" s="120">
        <f t="shared" si="24"/>
        <v>0</v>
      </c>
    </row>
    <row r="282" spans="1:21" s="7" customFormat="1" ht="16.05" customHeight="1">
      <c r="A282" s="113" t="s">
        <v>95</v>
      </c>
      <c r="B282" s="114" t="str">
        <f>IF(ISNA(VLOOKUP($F282,Declarations!B$6:C$185,2,FALSE)),"",IF(VLOOKUP($F282,Declarations!B$6:C$185,2,FALSE)="","NOT DECLARED",IF(ISNA(_xlfn.TEXTBEFORE(VLOOKUP($F282,Declarations!B$6:C$185,2,FALSE)," ")),VLOOKUP($F282,Declarations!B$6:C$185,2,FALSE),_xlfn.TEXTBEFORE(VLOOKUP($F282,Declarations!B$6:C$185,2,FALSE)," "))))</f>
        <v/>
      </c>
      <c r="C282" s="114" t="str">
        <f>IF(ISNA(VLOOKUP($F282,Declarations!B$6:C$185,2,FALSE)),"",IF(VLOOKUP($F282,Declarations!B$6:C$185,2,FALSE)="","NOT DECLARED",IF(ISNA(_xlfn.TEXTAFTER(VLOOKUP($F282,Declarations!B$6:C$185,2,FALSE)," ")),VLOOKUP($F282,Declarations!B$6:C$185,2,FALSE),_xlfn.TEXTAFTER(VLOOKUP($F282,Declarations!B$6:C$185,2,FALSE)," "))))</f>
        <v/>
      </c>
      <c r="D282" s="114" t="str">
        <f>IF(ISNA(VLOOKUP($F282,Declarations!$B$6:$F$185,5,FALSE)),"",IF(VLOOKUP($F282,Declarations!$B$6:$F$185,5,FALSE)="","NOT DECLARED",VLOOKUP($F282,Declarations!$B$6:$F$185,5,FALSE)))</f>
        <v/>
      </c>
      <c r="E282" s="112" t="str">
        <f>IF(ISNA(VLOOKUP($F282,Declarations!$B$6:$D$185,3,FALSE)),"",IF(VLOOKUP($F282,Declarations!$B$6:$D$185,3,FALSE)="","NOT DECLARED",VLOOKUP($F282,Declarations!$B$6:$D$185,3,FALSE)&amp;LEFT(VLOOKUP($F282,Declarations!$B$6:$E$185,4,FALSE))))</f>
        <v/>
      </c>
      <c r="F282" s="58"/>
      <c r="G282" s="115">
        <v>0</v>
      </c>
      <c r="H282" s="281"/>
      <c r="I282" s="114" t="str">
        <f>IF(ISNA(VLOOKUP(F282,Declarations!B$6:C$185,2,FALSE)),"",IF(VLOOKUP(F282,Declarations!B$6:C$185,2,FALSE)="","NOT DECLARED",VLOOKUP(F282,Declarations!B$6:C$185,2,FALSE)))</f>
        <v/>
      </c>
      <c r="J282" s="116">
        <f>IF(LOWER(G282)="dnf",1,IF(U282&lt;ScoringTable!C$3,ScoringTable!I$2,VLOOKUP((1000-U282),ScoringTable!H$2:I$95,2)))</f>
        <v>0</v>
      </c>
      <c r="K282" s="112" t="str">
        <f>IF(OR(E282="",G282=""),"",IF(RIGHT(E282,1)="G",_xlfn.XLOOKUP(G282,Data!$D$11:$L$11,Data!$D$9:$L$9,"",1,1),_xlfn.XLOOKUP(G282,Data!$D$4:$L$4,Data!$D$2:$L$2,"",1,1)))</f>
        <v/>
      </c>
      <c r="L282" s="160" t="str" cm="1">
        <f t="array" ref="L282">IFERROR(_xlfn.IFNA(
                      _xlfn.IFS(
                      G282="", "",
                      G282=0, "",
                      AND(E282="U12B",G282&lt;=Data!$M$4), "U12 Boys record",
                      AND(E282="U12G",G282&lt;=Data!$M$11), "U12 Girls record"
                       ),""), "")</f>
        <v/>
      </c>
      <c r="M282" s="18" cm="1">
        <f t="array" ref="M282">_xlfn.IFS(OR($G282="",$G282=0),0, AND(NOT(ISNUMBER($G282)),LOWER($G282)&lt;&gt;"dnf"),"Not a valid time",OR(LOWER($G282)="dnf",$G282&gt;ScoringTable!$N$161),1,RIGHT($E282,1)="B",_xlfn.XLOOKUP($G282,ScoringTable!$N$2:$N$161,ScoringTable!$L$2:$L$161,,1),TRUE,_xlfn.XLOOKUP($G282,ScoringTable!$T$2:$T$161,ScoringTable!$R$2:$R$161,,1))</f>
        <v>0</v>
      </c>
      <c r="Q282" s="117">
        <f t="shared" si="20"/>
        <v>0</v>
      </c>
      <c r="R282" s="118">
        <f t="shared" si="21"/>
        <v>0</v>
      </c>
      <c r="S282" s="119">
        <f t="shared" si="22"/>
        <v>0</v>
      </c>
      <c r="T282" s="118">
        <f t="shared" si="23"/>
        <v>0</v>
      </c>
      <c r="U282" s="120">
        <f t="shared" si="24"/>
        <v>0</v>
      </c>
    </row>
    <row r="283" spans="1:21" s="7" customFormat="1" ht="16.05" customHeight="1">
      <c r="A283" s="113" t="s">
        <v>95</v>
      </c>
      <c r="B283" s="114" t="str">
        <f>IF(ISNA(VLOOKUP($F283,Declarations!B$6:C$185,2,FALSE)),"",IF(VLOOKUP($F283,Declarations!B$6:C$185,2,FALSE)="","NOT DECLARED",IF(ISNA(_xlfn.TEXTBEFORE(VLOOKUP($F283,Declarations!B$6:C$185,2,FALSE)," ")),VLOOKUP($F283,Declarations!B$6:C$185,2,FALSE),_xlfn.TEXTBEFORE(VLOOKUP($F283,Declarations!B$6:C$185,2,FALSE)," "))))</f>
        <v/>
      </c>
      <c r="C283" s="114" t="str">
        <f>IF(ISNA(VLOOKUP($F283,Declarations!B$6:C$185,2,FALSE)),"",IF(VLOOKUP($F283,Declarations!B$6:C$185,2,FALSE)="","NOT DECLARED",IF(ISNA(_xlfn.TEXTAFTER(VLOOKUP($F283,Declarations!B$6:C$185,2,FALSE)," ")),VLOOKUP($F283,Declarations!B$6:C$185,2,FALSE),_xlfn.TEXTAFTER(VLOOKUP($F283,Declarations!B$6:C$185,2,FALSE)," "))))</f>
        <v/>
      </c>
      <c r="D283" s="114" t="str">
        <f>IF(ISNA(VLOOKUP($F283,Declarations!$B$6:$F$185,5,FALSE)),"",IF(VLOOKUP($F283,Declarations!$B$6:$F$185,5,FALSE)="","NOT DECLARED",VLOOKUP($F283,Declarations!$B$6:$F$185,5,FALSE)))</f>
        <v/>
      </c>
      <c r="E283" s="112" t="str">
        <f>IF(ISNA(VLOOKUP($F283,Declarations!$B$6:$D$185,3,FALSE)),"",IF(VLOOKUP($F283,Declarations!$B$6:$D$185,3,FALSE)="","NOT DECLARED",VLOOKUP($F283,Declarations!$B$6:$D$185,3,FALSE)&amp;LEFT(VLOOKUP($F283,Declarations!$B$6:$E$185,4,FALSE))))</f>
        <v/>
      </c>
      <c r="F283" s="58"/>
      <c r="G283" s="115">
        <v>0</v>
      </c>
      <c r="H283" s="281"/>
      <c r="I283" s="114" t="str">
        <f>IF(ISNA(VLOOKUP(F283,Declarations!B$6:C$185,2,FALSE)),"",IF(VLOOKUP(F283,Declarations!B$6:C$185,2,FALSE)="","NOT DECLARED",VLOOKUP(F283,Declarations!B$6:C$185,2,FALSE)))</f>
        <v/>
      </c>
      <c r="J283" s="116">
        <f>IF(LOWER(G283)="dnf",1,IF(U283&lt;ScoringTable!C$3,ScoringTable!I$2,VLOOKUP((1000-U283),ScoringTable!H$2:I$95,2)))</f>
        <v>0</v>
      </c>
      <c r="K283" s="112" t="str">
        <f>IF(OR(E283="",G283=""),"",IF(RIGHT(E283,1)="G",_xlfn.XLOOKUP(G283,Data!$D$11:$L$11,Data!$D$9:$L$9,"",1,1),_xlfn.XLOOKUP(G283,Data!$D$4:$L$4,Data!$D$2:$L$2,"",1,1)))</f>
        <v/>
      </c>
      <c r="L283" s="160" t="str" cm="1">
        <f t="array" ref="L283">IFERROR(_xlfn.IFNA(
                      _xlfn.IFS(
                      G283="", "",
                      G283=0, "",
                      AND(E283="U12B",G283&lt;=Data!$M$4), "U12 Boys record",
                      AND(E283="U12G",G283&lt;=Data!$M$11), "U12 Girls record"
                       ),""), "")</f>
        <v/>
      </c>
      <c r="M283" s="18" cm="1">
        <f t="array" ref="M283">_xlfn.IFS(OR($G283="",$G283=0),0, AND(NOT(ISNUMBER($G283)),LOWER($G283)&lt;&gt;"dnf"),"Not a valid time",OR(LOWER($G283)="dnf",$G283&gt;ScoringTable!$N$161),1,RIGHT($E283,1)="B",_xlfn.XLOOKUP($G283,ScoringTable!$N$2:$N$161,ScoringTable!$L$2:$L$161,,1),TRUE,_xlfn.XLOOKUP($G283,ScoringTable!$T$2:$T$161,ScoringTable!$R$2:$R$161,,1))</f>
        <v>0</v>
      </c>
      <c r="Q283" s="117">
        <f t="shared" si="20"/>
        <v>0</v>
      </c>
      <c r="R283" s="118">
        <f t="shared" si="21"/>
        <v>0</v>
      </c>
      <c r="S283" s="119">
        <f t="shared" si="22"/>
        <v>0</v>
      </c>
      <c r="T283" s="118">
        <f t="shared" si="23"/>
        <v>0</v>
      </c>
      <c r="U283" s="120">
        <f t="shared" si="24"/>
        <v>0</v>
      </c>
    </row>
    <row r="284" spans="1:21" s="7" customFormat="1" ht="16.05" customHeight="1">
      <c r="A284" s="113" t="s">
        <v>95</v>
      </c>
      <c r="B284" s="114" t="str">
        <f>IF(ISNA(VLOOKUP($F284,Declarations!B$6:C$185,2,FALSE)),"",IF(VLOOKUP($F284,Declarations!B$6:C$185,2,FALSE)="","NOT DECLARED",IF(ISNA(_xlfn.TEXTBEFORE(VLOOKUP($F284,Declarations!B$6:C$185,2,FALSE)," ")),VLOOKUP($F284,Declarations!B$6:C$185,2,FALSE),_xlfn.TEXTBEFORE(VLOOKUP($F284,Declarations!B$6:C$185,2,FALSE)," "))))</f>
        <v/>
      </c>
      <c r="C284" s="114" t="str">
        <f>IF(ISNA(VLOOKUP($F284,Declarations!B$6:C$185,2,FALSE)),"",IF(VLOOKUP($F284,Declarations!B$6:C$185,2,FALSE)="","NOT DECLARED",IF(ISNA(_xlfn.TEXTAFTER(VLOOKUP($F284,Declarations!B$6:C$185,2,FALSE)," ")),VLOOKUP($F284,Declarations!B$6:C$185,2,FALSE),_xlfn.TEXTAFTER(VLOOKUP($F284,Declarations!B$6:C$185,2,FALSE)," "))))</f>
        <v/>
      </c>
      <c r="D284" s="114" t="str">
        <f>IF(ISNA(VLOOKUP($F284,Declarations!$B$6:$F$185,5,FALSE)),"",IF(VLOOKUP($F284,Declarations!$B$6:$F$185,5,FALSE)="","NOT DECLARED",VLOOKUP($F284,Declarations!$B$6:$F$185,5,FALSE)))</f>
        <v/>
      </c>
      <c r="E284" s="112" t="str">
        <f>IF(ISNA(VLOOKUP($F284,Declarations!$B$6:$D$185,3,FALSE)),"",IF(VLOOKUP($F284,Declarations!$B$6:$D$185,3,FALSE)="","NOT DECLARED",VLOOKUP($F284,Declarations!$B$6:$D$185,3,FALSE)&amp;LEFT(VLOOKUP($F284,Declarations!$B$6:$E$185,4,FALSE))))</f>
        <v/>
      </c>
      <c r="F284" s="58"/>
      <c r="G284" s="115">
        <v>0</v>
      </c>
      <c r="H284" s="281"/>
      <c r="I284" s="114" t="str">
        <f>IF(ISNA(VLOOKUP(F284,Declarations!B$6:C$185,2,FALSE)),"",IF(VLOOKUP(F284,Declarations!B$6:C$185,2,FALSE)="","NOT DECLARED",VLOOKUP(F284,Declarations!B$6:C$185,2,FALSE)))</f>
        <v/>
      </c>
      <c r="J284" s="116">
        <f>IF(LOWER(G284)="dnf",1,IF(U284&lt;ScoringTable!C$3,ScoringTable!I$2,VLOOKUP((1000-U284),ScoringTable!H$2:I$95,2)))</f>
        <v>0</v>
      </c>
      <c r="K284" s="112" t="str">
        <f>IF(OR(E284="",G284=""),"",IF(RIGHT(E284,1)="G",_xlfn.XLOOKUP(G284,Data!$D$11:$L$11,Data!$D$9:$L$9,"",1,1),_xlfn.XLOOKUP(G284,Data!$D$4:$L$4,Data!$D$2:$L$2,"",1,1)))</f>
        <v/>
      </c>
      <c r="L284" s="160" t="str" cm="1">
        <f t="array" ref="L284">IFERROR(_xlfn.IFNA(
                      _xlfn.IFS(
                      G284="", "",
                      G284=0, "",
                      AND(E284="U12B",G284&lt;=Data!$M$4), "U12 Boys record",
                      AND(E284="U12G",G284&lt;=Data!$M$11), "U12 Girls record"
                       ),""), "")</f>
        <v/>
      </c>
      <c r="M284" s="18" cm="1">
        <f t="array" ref="M284">_xlfn.IFS(OR($G284="",$G284=0),0, AND(NOT(ISNUMBER($G284)),LOWER($G284)&lt;&gt;"dnf"),"Not a valid time",OR(LOWER($G284)="dnf",$G284&gt;ScoringTable!$N$161),1,RIGHT($E284,1)="B",_xlfn.XLOOKUP($G284,ScoringTable!$N$2:$N$161,ScoringTable!$L$2:$L$161,,1),TRUE,_xlfn.XLOOKUP($G284,ScoringTable!$T$2:$T$161,ScoringTable!$R$2:$R$161,,1))</f>
        <v>0</v>
      </c>
      <c r="Q284" s="117">
        <f t="shared" si="20"/>
        <v>0</v>
      </c>
      <c r="R284" s="118">
        <f t="shared" si="21"/>
        <v>0</v>
      </c>
      <c r="S284" s="119">
        <f t="shared" si="22"/>
        <v>0</v>
      </c>
      <c r="T284" s="118">
        <f t="shared" si="23"/>
        <v>0</v>
      </c>
      <c r="U284" s="120">
        <f t="shared" si="24"/>
        <v>0</v>
      </c>
    </row>
    <row r="285" spans="1:21" s="7" customFormat="1" ht="16.05" customHeight="1">
      <c r="A285" s="113" t="s">
        <v>95</v>
      </c>
      <c r="B285" s="114" t="str">
        <f>IF(ISNA(VLOOKUP($F285,Declarations!B$6:C$185,2,FALSE)),"",IF(VLOOKUP($F285,Declarations!B$6:C$185,2,FALSE)="","NOT DECLARED",IF(ISNA(_xlfn.TEXTBEFORE(VLOOKUP($F285,Declarations!B$6:C$185,2,FALSE)," ")),VLOOKUP($F285,Declarations!B$6:C$185,2,FALSE),_xlfn.TEXTBEFORE(VLOOKUP($F285,Declarations!B$6:C$185,2,FALSE)," "))))</f>
        <v/>
      </c>
      <c r="C285" s="114" t="str">
        <f>IF(ISNA(VLOOKUP($F285,Declarations!B$6:C$185,2,FALSE)),"",IF(VLOOKUP($F285,Declarations!B$6:C$185,2,FALSE)="","NOT DECLARED",IF(ISNA(_xlfn.TEXTAFTER(VLOOKUP($F285,Declarations!B$6:C$185,2,FALSE)," ")),VLOOKUP($F285,Declarations!B$6:C$185,2,FALSE),_xlfn.TEXTAFTER(VLOOKUP($F285,Declarations!B$6:C$185,2,FALSE)," "))))</f>
        <v/>
      </c>
      <c r="D285" s="114" t="str">
        <f>IF(ISNA(VLOOKUP($F285,Declarations!$B$6:$F$185,5,FALSE)),"",IF(VLOOKUP($F285,Declarations!$B$6:$F$185,5,FALSE)="","NOT DECLARED",VLOOKUP($F285,Declarations!$B$6:$F$185,5,FALSE)))</f>
        <v/>
      </c>
      <c r="E285" s="112" t="str">
        <f>IF(ISNA(VLOOKUP($F285,Declarations!$B$6:$D$185,3,FALSE)),"",IF(VLOOKUP($F285,Declarations!$B$6:$D$185,3,FALSE)="","NOT DECLARED",VLOOKUP($F285,Declarations!$B$6:$D$185,3,FALSE)&amp;LEFT(VLOOKUP($F285,Declarations!$B$6:$E$185,4,FALSE))))</f>
        <v/>
      </c>
      <c r="F285" s="58"/>
      <c r="G285" s="115">
        <v>0</v>
      </c>
      <c r="H285" s="281"/>
      <c r="I285" s="114" t="str">
        <f>IF(ISNA(VLOOKUP(F285,Declarations!B$6:C$185,2,FALSE)),"",IF(VLOOKUP(F285,Declarations!B$6:C$185,2,FALSE)="","NOT DECLARED",VLOOKUP(F285,Declarations!B$6:C$185,2,FALSE)))</f>
        <v/>
      </c>
      <c r="J285" s="116">
        <f>IF(LOWER(G285)="dnf",1,IF(U285&lt;ScoringTable!C$3,ScoringTable!I$2,VLOOKUP((1000-U285),ScoringTable!H$2:I$95,2)))</f>
        <v>0</v>
      </c>
      <c r="K285" s="112" t="str">
        <f>IF(OR(E285="",G285=""),"",IF(RIGHT(E285,1)="G",_xlfn.XLOOKUP(G285,Data!$D$11:$L$11,Data!$D$9:$L$9,"",1,1),_xlfn.XLOOKUP(G285,Data!$D$4:$L$4,Data!$D$2:$L$2,"",1,1)))</f>
        <v/>
      </c>
      <c r="L285" s="160" t="str" cm="1">
        <f t="array" ref="L285">IFERROR(_xlfn.IFNA(
                      _xlfn.IFS(
                      G285="", "",
                      G285=0, "",
                      AND(E285="U12B",G285&lt;=Data!$M$4), "U12 Boys record",
                      AND(E285="U12G",G285&lt;=Data!$M$11), "U12 Girls record"
                       ),""), "")</f>
        <v/>
      </c>
      <c r="M285" s="18" cm="1">
        <f t="array" ref="M285">_xlfn.IFS(OR($G285="",$G285=0),0, AND(NOT(ISNUMBER($G285)),LOWER($G285)&lt;&gt;"dnf"),"Not a valid time",OR(LOWER($G285)="dnf",$G285&gt;ScoringTable!$N$161),1,RIGHT($E285,1)="B",_xlfn.XLOOKUP($G285,ScoringTable!$N$2:$N$161,ScoringTable!$L$2:$L$161,,1),TRUE,_xlfn.XLOOKUP($G285,ScoringTable!$T$2:$T$161,ScoringTable!$R$2:$R$161,,1))</f>
        <v>0</v>
      </c>
      <c r="Q285" s="117">
        <f t="shared" si="20"/>
        <v>0</v>
      </c>
      <c r="R285" s="118">
        <f t="shared" si="21"/>
        <v>0</v>
      </c>
      <c r="S285" s="119">
        <f t="shared" si="22"/>
        <v>0</v>
      </c>
      <c r="T285" s="118">
        <f t="shared" si="23"/>
        <v>0</v>
      </c>
      <c r="U285" s="120">
        <f t="shared" si="24"/>
        <v>0</v>
      </c>
    </row>
    <row r="286" spans="1:21" s="7" customFormat="1" ht="16.05" customHeight="1">
      <c r="A286" s="113" t="s">
        <v>95</v>
      </c>
      <c r="B286" s="114" t="str">
        <f>IF(ISNA(VLOOKUP($F286,Declarations!B$6:C$185,2,FALSE)),"",IF(VLOOKUP($F286,Declarations!B$6:C$185,2,FALSE)="","NOT DECLARED",IF(ISNA(_xlfn.TEXTBEFORE(VLOOKUP($F286,Declarations!B$6:C$185,2,FALSE)," ")),VLOOKUP($F286,Declarations!B$6:C$185,2,FALSE),_xlfn.TEXTBEFORE(VLOOKUP($F286,Declarations!B$6:C$185,2,FALSE)," "))))</f>
        <v/>
      </c>
      <c r="C286" s="114" t="str">
        <f>IF(ISNA(VLOOKUP($F286,Declarations!B$6:C$185,2,FALSE)),"",IF(VLOOKUP($F286,Declarations!B$6:C$185,2,FALSE)="","NOT DECLARED",IF(ISNA(_xlfn.TEXTAFTER(VLOOKUP($F286,Declarations!B$6:C$185,2,FALSE)," ")),VLOOKUP($F286,Declarations!B$6:C$185,2,FALSE),_xlfn.TEXTAFTER(VLOOKUP($F286,Declarations!B$6:C$185,2,FALSE)," "))))</f>
        <v/>
      </c>
      <c r="D286" s="114" t="str">
        <f>IF(ISNA(VLOOKUP($F286,Declarations!$B$6:$F$185,5,FALSE)),"",IF(VLOOKUP($F286,Declarations!$B$6:$F$185,5,FALSE)="","NOT DECLARED",VLOOKUP($F286,Declarations!$B$6:$F$185,5,FALSE)))</f>
        <v/>
      </c>
      <c r="E286" s="112" t="str">
        <f>IF(ISNA(VLOOKUP($F286,Declarations!$B$6:$D$185,3,FALSE)),"",IF(VLOOKUP($F286,Declarations!$B$6:$D$185,3,FALSE)="","NOT DECLARED",VLOOKUP($F286,Declarations!$B$6:$D$185,3,FALSE)&amp;LEFT(VLOOKUP($F286,Declarations!$B$6:$E$185,4,FALSE))))</f>
        <v/>
      </c>
      <c r="F286" s="58"/>
      <c r="G286" s="115">
        <v>0</v>
      </c>
      <c r="H286" s="281"/>
      <c r="I286" s="114" t="str">
        <f>IF(ISNA(VLOOKUP(F286,Declarations!B$6:C$185,2,FALSE)),"",IF(VLOOKUP(F286,Declarations!B$6:C$185,2,FALSE)="","NOT DECLARED",VLOOKUP(F286,Declarations!B$6:C$185,2,FALSE)))</f>
        <v/>
      </c>
      <c r="J286" s="116">
        <f>IF(LOWER(G286)="dnf",1,IF(U286&lt;ScoringTable!C$3,ScoringTable!I$2,VLOOKUP((1000-U286),ScoringTable!H$2:I$95,2)))</f>
        <v>0</v>
      </c>
      <c r="K286" s="112" t="str">
        <f>IF(OR(E286="",G286=""),"",IF(RIGHT(E286,1)="G",_xlfn.XLOOKUP(G286,Data!$D$11:$L$11,Data!$D$9:$L$9,"",1,1),_xlfn.XLOOKUP(G286,Data!$D$4:$L$4,Data!$D$2:$L$2,"",1,1)))</f>
        <v/>
      </c>
      <c r="L286" s="160" t="str" cm="1">
        <f t="array" ref="L286">IFERROR(_xlfn.IFNA(
                      _xlfn.IFS(
                      G286="", "",
                      G286=0, "",
                      AND(E286="U12B",G286&lt;=Data!$M$4), "U12 Boys record",
                      AND(E286="U12G",G286&lt;=Data!$M$11), "U12 Girls record"
                       ),""), "")</f>
        <v/>
      </c>
      <c r="M286" s="18" cm="1">
        <f t="array" ref="M286">_xlfn.IFS(OR($G286="",$G286=0),0, AND(NOT(ISNUMBER($G286)),LOWER($G286)&lt;&gt;"dnf"),"Not a valid time",OR(LOWER($G286)="dnf",$G286&gt;ScoringTable!$N$161),1,RIGHT($E286,1)="B",_xlfn.XLOOKUP($G286,ScoringTable!$N$2:$N$161,ScoringTable!$L$2:$L$161,,1),TRUE,_xlfn.XLOOKUP($G286,ScoringTable!$T$2:$T$161,ScoringTable!$R$2:$R$161,,1))</f>
        <v>0</v>
      </c>
      <c r="Q286" s="117">
        <f t="shared" si="20"/>
        <v>0</v>
      </c>
      <c r="R286" s="118">
        <f t="shared" si="21"/>
        <v>0</v>
      </c>
      <c r="S286" s="119">
        <f t="shared" si="22"/>
        <v>0</v>
      </c>
      <c r="T286" s="118">
        <f t="shared" si="23"/>
        <v>0</v>
      </c>
      <c r="U286" s="120">
        <f t="shared" si="24"/>
        <v>0</v>
      </c>
    </row>
    <row r="287" spans="1:21" s="7" customFormat="1" ht="16.05" customHeight="1">
      <c r="A287" s="113" t="s">
        <v>95</v>
      </c>
      <c r="B287" s="114" t="str">
        <f>IF(ISNA(VLOOKUP($F287,Declarations!B$6:C$185,2,FALSE)),"",IF(VLOOKUP($F287,Declarations!B$6:C$185,2,FALSE)="","NOT DECLARED",IF(ISNA(_xlfn.TEXTBEFORE(VLOOKUP($F287,Declarations!B$6:C$185,2,FALSE)," ")),VLOOKUP($F287,Declarations!B$6:C$185,2,FALSE),_xlfn.TEXTBEFORE(VLOOKUP($F287,Declarations!B$6:C$185,2,FALSE)," "))))</f>
        <v/>
      </c>
      <c r="C287" s="114" t="str">
        <f>IF(ISNA(VLOOKUP($F287,Declarations!B$6:C$185,2,FALSE)),"",IF(VLOOKUP($F287,Declarations!B$6:C$185,2,FALSE)="","NOT DECLARED",IF(ISNA(_xlfn.TEXTAFTER(VLOOKUP($F287,Declarations!B$6:C$185,2,FALSE)," ")),VLOOKUP($F287,Declarations!B$6:C$185,2,FALSE),_xlfn.TEXTAFTER(VLOOKUP($F287,Declarations!B$6:C$185,2,FALSE)," "))))</f>
        <v/>
      </c>
      <c r="D287" s="114" t="str">
        <f>IF(ISNA(VLOOKUP($F287,Declarations!$B$6:$F$185,5,FALSE)),"",IF(VLOOKUP($F287,Declarations!$B$6:$F$185,5,FALSE)="","NOT DECLARED",VLOOKUP($F287,Declarations!$B$6:$F$185,5,FALSE)))</f>
        <v/>
      </c>
      <c r="E287" s="112" t="str">
        <f>IF(ISNA(VLOOKUP($F287,Declarations!$B$6:$D$185,3,FALSE)),"",IF(VLOOKUP($F287,Declarations!$B$6:$D$185,3,FALSE)="","NOT DECLARED",VLOOKUP($F287,Declarations!$B$6:$D$185,3,FALSE)&amp;LEFT(VLOOKUP($F287,Declarations!$B$6:$E$185,4,FALSE))))</f>
        <v/>
      </c>
      <c r="F287" s="58"/>
      <c r="G287" s="115">
        <v>0</v>
      </c>
      <c r="H287" s="281"/>
      <c r="I287" s="114" t="str">
        <f>IF(ISNA(VLOOKUP(F287,Declarations!B$6:C$185,2,FALSE)),"",IF(VLOOKUP(F287,Declarations!B$6:C$185,2,FALSE)="","NOT DECLARED",VLOOKUP(F287,Declarations!B$6:C$185,2,FALSE)))</f>
        <v/>
      </c>
      <c r="J287" s="116">
        <f>IF(LOWER(G287)="dnf",1,IF(U287&lt;ScoringTable!C$3,ScoringTable!I$2,VLOOKUP((1000-U287),ScoringTable!H$2:I$95,2)))</f>
        <v>0</v>
      </c>
      <c r="K287" s="112" t="str">
        <f>IF(OR(E287="",G287=""),"",IF(RIGHT(E287,1)="G",_xlfn.XLOOKUP(G287,Data!$D$11:$L$11,Data!$D$9:$L$9,"",1,1),_xlfn.XLOOKUP(G287,Data!$D$4:$L$4,Data!$D$2:$L$2,"",1,1)))</f>
        <v/>
      </c>
      <c r="L287" s="160" t="str" cm="1">
        <f t="array" ref="L287">IFERROR(_xlfn.IFNA(
                      _xlfn.IFS(
                      G287="", "",
                      G287=0, "",
                      AND(E287="U12B",G287&lt;=Data!$M$4), "U12 Boys record",
                      AND(E287="U12G",G287&lt;=Data!$M$11), "U12 Girls record"
                       ),""), "")</f>
        <v/>
      </c>
      <c r="M287" s="18" cm="1">
        <f t="array" ref="M287">_xlfn.IFS(OR($G287="",$G287=0),0, AND(NOT(ISNUMBER($G287)),LOWER($G287)&lt;&gt;"dnf"),"Not a valid time",OR(LOWER($G287)="dnf",$G287&gt;ScoringTable!$N$161),1,RIGHT($E287,1)="B",_xlfn.XLOOKUP($G287,ScoringTable!$N$2:$N$161,ScoringTable!$L$2:$L$161,,1),TRUE,_xlfn.XLOOKUP($G287,ScoringTable!$T$2:$T$161,ScoringTable!$R$2:$R$161,,1))</f>
        <v>0</v>
      </c>
      <c r="Q287" s="117">
        <f t="shared" si="20"/>
        <v>0</v>
      </c>
      <c r="R287" s="118">
        <f t="shared" si="21"/>
        <v>0</v>
      </c>
      <c r="S287" s="119">
        <f t="shared" si="22"/>
        <v>0</v>
      </c>
      <c r="T287" s="118">
        <f t="shared" si="23"/>
        <v>0</v>
      </c>
      <c r="U287" s="120">
        <f t="shared" si="24"/>
        <v>0</v>
      </c>
    </row>
    <row r="288" spans="1:21" s="7" customFormat="1" ht="16.05" customHeight="1">
      <c r="A288" s="113" t="s">
        <v>95</v>
      </c>
      <c r="B288" s="114" t="str">
        <f>IF(ISNA(VLOOKUP($F288,Declarations!B$6:C$185,2,FALSE)),"",IF(VLOOKUP($F288,Declarations!B$6:C$185,2,FALSE)="","NOT DECLARED",IF(ISNA(_xlfn.TEXTBEFORE(VLOOKUP($F288,Declarations!B$6:C$185,2,FALSE)," ")),VLOOKUP($F288,Declarations!B$6:C$185,2,FALSE),_xlfn.TEXTBEFORE(VLOOKUP($F288,Declarations!B$6:C$185,2,FALSE)," "))))</f>
        <v/>
      </c>
      <c r="C288" s="114" t="str">
        <f>IF(ISNA(VLOOKUP($F288,Declarations!B$6:C$185,2,FALSE)),"",IF(VLOOKUP($F288,Declarations!B$6:C$185,2,FALSE)="","NOT DECLARED",IF(ISNA(_xlfn.TEXTAFTER(VLOOKUP($F288,Declarations!B$6:C$185,2,FALSE)," ")),VLOOKUP($F288,Declarations!B$6:C$185,2,FALSE),_xlfn.TEXTAFTER(VLOOKUP($F288,Declarations!B$6:C$185,2,FALSE)," "))))</f>
        <v/>
      </c>
      <c r="D288" s="114" t="str">
        <f>IF(ISNA(VLOOKUP($F288,Declarations!$B$6:$F$185,5,FALSE)),"",IF(VLOOKUP($F288,Declarations!$B$6:$F$185,5,FALSE)="","NOT DECLARED",VLOOKUP($F288,Declarations!$B$6:$F$185,5,FALSE)))</f>
        <v/>
      </c>
      <c r="E288" s="112" t="str">
        <f>IF(ISNA(VLOOKUP($F288,Declarations!$B$6:$D$185,3,FALSE)),"",IF(VLOOKUP($F288,Declarations!$B$6:$D$185,3,FALSE)="","NOT DECLARED",VLOOKUP($F288,Declarations!$B$6:$D$185,3,FALSE)&amp;LEFT(VLOOKUP($F288,Declarations!$B$6:$E$185,4,FALSE))))</f>
        <v/>
      </c>
      <c r="F288" s="58"/>
      <c r="G288" s="115">
        <v>0</v>
      </c>
      <c r="H288" s="281"/>
      <c r="I288" s="114" t="str">
        <f>IF(ISNA(VLOOKUP(F288,Declarations!B$6:C$185,2,FALSE)),"",IF(VLOOKUP(F288,Declarations!B$6:C$185,2,FALSE)="","NOT DECLARED",VLOOKUP(F288,Declarations!B$6:C$185,2,FALSE)))</f>
        <v/>
      </c>
      <c r="J288" s="116">
        <f>IF(LOWER(G288)="dnf",1,IF(U288&lt;ScoringTable!C$3,ScoringTable!I$2,VLOOKUP((1000-U288),ScoringTable!H$2:I$95,2)))</f>
        <v>0</v>
      </c>
      <c r="K288" s="112" t="str">
        <f>IF(OR(E288="",G288=""),"",IF(RIGHT(E288,1)="G",_xlfn.XLOOKUP(G288,Data!$D$11:$L$11,Data!$D$9:$L$9,"",1,1),_xlfn.XLOOKUP(G288,Data!$D$4:$L$4,Data!$D$2:$L$2,"",1,1)))</f>
        <v/>
      </c>
      <c r="L288" s="160" t="str" cm="1">
        <f t="array" ref="L288">IFERROR(_xlfn.IFNA(
                      _xlfn.IFS(
                      G288="", "",
                      G288=0, "",
                      AND(E288="U12B",G288&lt;=Data!$M$4), "U12 Boys record",
                      AND(E288="U12G",G288&lt;=Data!$M$11), "U12 Girls record"
                       ),""), "")</f>
        <v/>
      </c>
      <c r="M288" s="18" cm="1">
        <f t="array" ref="M288">_xlfn.IFS(OR($G288="",$G288=0),0, AND(NOT(ISNUMBER($G288)),LOWER($G288)&lt;&gt;"dnf"),"Not a valid time",OR(LOWER($G288)="dnf",$G288&gt;ScoringTable!$N$161),1,RIGHT($E288,1)="B",_xlfn.XLOOKUP($G288,ScoringTable!$N$2:$N$161,ScoringTable!$L$2:$L$161,,1),TRUE,_xlfn.XLOOKUP($G288,ScoringTable!$T$2:$T$161,ScoringTable!$R$2:$R$161,,1))</f>
        <v>0</v>
      </c>
      <c r="Q288" s="117">
        <f t="shared" si="20"/>
        <v>0</v>
      </c>
      <c r="R288" s="118">
        <f t="shared" si="21"/>
        <v>0</v>
      </c>
      <c r="S288" s="119">
        <f t="shared" si="22"/>
        <v>0</v>
      </c>
      <c r="T288" s="118">
        <f t="shared" si="23"/>
        <v>0</v>
      </c>
      <c r="U288" s="120">
        <f t="shared" si="24"/>
        <v>0</v>
      </c>
    </row>
    <row r="289" spans="1:21" s="7" customFormat="1" ht="16.05" customHeight="1">
      <c r="A289" s="113" t="s">
        <v>95</v>
      </c>
      <c r="B289" s="114" t="str">
        <f>IF(ISNA(VLOOKUP($F289,Declarations!B$6:C$185,2,FALSE)),"",IF(VLOOKUP($F289,Declarations!B$6:C$185,2,FALSE)="","NOT DECLARED",IF(ISNA(_xlfn.TEXTBEFORE(VLOOKUP($F289,Declarations!B$6:C$185,2,FALSE)," ")),VLOOKUP($F289,Declarations!B$6:C$185,2,FALSE),_xlfn.TEXTBEFORE(VLOOKUP($F289,Declarations!B$6:C$185,2,FALSE)," "))))</f>
        <v/>
      </c>
      <c r="C289" s="114" t="str">
        <f>IF(ISNA(VLOOKUP($F289,Declarations!B$6:C$185,2,FALSE)),"",IF(VLOOKUP($F289,Declarations!B$6:C$185,2,FALSE)="","NOT DECLARED",IF(ISNA(_xlfn.TEXTAFTER(VLOOKUP($F289,Declarations!B$6:C$185,2,FALSE)," ")),VLOOKUP($F289,Declarations!B$6:C$185,2,FALSE),_xlfn.TEXTAFTER(VLOOKUP($F289,Declarations!B$6:C$185,2,FALSE)," "))))</f>
        <v/>
      </c>
      <c r="D289" s="114" t="str">
        <f>IF(ISNA(VLOOKUP($F289,Declarations!$B$6:$F$185,5,FALSE)),"",IF(VLOOKUP($F289,Declarations!$B$6:$F$185,5,FALSE)="","NOT DECLARED",VLOOKUP($F289,Declarations!$B$6:$F$185,5,FALSE)))</f>
        <v/>
      </c>
      <c r="E289" s="112" t="str">
        <f>IF(ISNA(VLOOKUP($F289,Declarations!$B$6:$D$185,3,FALSE)),"",IF(VLOOKUP($F289,Declarations!$B$6:$D$185,3,FALSE)="","NOT DECLARED",VLOOKUP($F289,Declarations!$B$6:$D$185,3,FALSE)&amp;LEFT(VLOOKUP($F289,Declarations!$B$6:$E$185,4,FALSE))))</f>
        <v/>
      </c>
      <c r="F289" s="58"/>
      <c r="G289" s="115">
        <v>0</v>
      </c>
      <c r="H289" s="281"/>
      <c r="I289" s="114" t="str">
        <f>IF(ISNA(VLOOKUP(F289,Declarations!B$6:C$185,2,FALSE)),"",IF(VLOOKUP(F289,Declarations!B$6:C$185,2,FALSE)="","NOT DECLARED",VLOOKUP(F289,Declarations!B$6:C$185,2,FALSE)))</f>
        <v/>
      </c>
      <c r="J289" s="116">
        <f>IF(LOWER(G289)="dnf",1,IF(U289&lt;ScoringTable!C$3,ScoringTable!I$2,VLOOKUP((1000-U289),ScoringTable!H$2:I$95,2)))</f>
        <v>0</v>
      </c>
      <c r="K289" s="112" t="str">
        <f>IF(OR(E289="",G289=""),"",IF(RIGHT(E289,1)="G",_xlfn.XLOOKUP(G289,Data!$D$11:$L$11,Data!$D$9:$L$9,"",1,1),_xlfn.XLOOKUP(G289,Data!$D$4:$L$4,Data!$D$2:$L$2,"",1,1)))</f>
        <v/>
      </c>
      <c r="L289" s="160" t="str" cm="1">
        <f t="array" ref="L289">IFERROR(_xlfn.IFNA(
                      _xlfn.IFS(
                      G289="", "",
                      G289=0, "",
                      AND(E289="U12B",G289&lt;=Data!$M$4), "U12 Boys record",
                      AND(E289="U12G",G289&lt;=Data!$M$11), "U12 Girls record"
                       ),""), "")</f>
        <v/>
      </c>
      <c r="M289" s="18" cm="1">
        <f t="array" ref="M289">_xlfn.IFS(OR($G289="",$G289=0),0, AND(NOT(ISNUMBER($G289)),LOWER($G289)&lt;&gt;"dnf"),"Not a valid time",OR(LOWER($G289)="dnf",$G289&gt;ScoringTable!$N$161),1,RIGHT($E289,1)="B",_xlfn.XLOOKUP($G289,ScoringTable!$N$2:$N$161,ScoringTable!$L$2:$L$161,,1),TRUE,_xlfn.XLOOKUP($G289,ScoringTable!$T$2:$T$161,ScoringTable!$R$2:$R$161,,1))</f>
        <v>0</v>
      </c>
      <c r="Q289" s="117">
        <f t="shared" si="20"/>
        <v>0</v>
      </c>
      <c r="R289" s="118">
        <f t="shared" si="21"/>
        <v>0</v>
      </c>
      <c r="S289" s="119">
        <f t="shared" si="22"/>
        <v>0</v>
      </c>
      <c r="T289" s="118">
        <f t="shared" si="23"/>
        <v>0</v>
      </c>
      <c r="U289" s="120">
        <f t="shared" si="24"/>
        <v>0</v>
      </c>
    </row>
    <row r="290" spans="1:21" s="7" customFormat="1" ht="16.05" customHeight="1">
      <c r="A290" s="113" t="s">
        <v>95</v>
      </c>
      <c r="B290" s="114" t="str">
        <f>IF(ISNA(VLOOKUP($F290,Declarations!B$6:C$185,2,FALSE)),"",IF(VLOOKUP($F290,Declarations!B$6:C$185,2,FALSE)="","NOT DECLARED",IF(ISNA(_xlfn.TEXTBEFORE(VLOOKUP($F290,Declarations!B$6:C$185,2,FALSE)," ")),VLOOKUP($F290,Declarations!B$6:C$185,2,FALSE),_xlfn.TEXTBEFORE(VLOOKUP($F290,Declarations!B$6:C$185,2,FALSE)," "))))</f>
        <v/>
      </c>
      <c r="C290" s="114" t="str">
        <f>IF(ISNA(VLOOKUP($F290,Declarations!B$6:C$185,2,FALSE)),"",IF(VLOOKUP($F290,Declarations!B$6:C$185,2,FALSE)="","NOT DECLARED",IF(ISNA(_xlfn.TEXTAFTER(VLOOKUP($F290,Declarations!B$6:C$185,2,FALSE)," ")),VLOOKUP($F290,Declarations!B$6:C$185,2,FALSE),_xlfn.TEXTAFTER(VLOOKUP($F290,Declarations!B$6:C$185,2,FALSE)," "))))</f>
        <v/>
      </c>
      <c r="D290" s="114" t="str">
        <f>IF(ISNA(VLOOKUP($F290,Declarations!$B$6:$F$185,5,FALSE)),"",IF(VLOOKUP($F290,Declarations!$B$6:$F$185,5,FALSE)="","NOT DECLARED",VLOOKUP($F290,Declarations!$B$6:$F$185,5,FALSE)))</f>
        <v/>
      </c>
      <c r="E290" s="112" t="str">
        <f>IF(ISNA(VLOOKUP($F290,Declarations!$B$6:$D$185,3,FALSE)),"",IF(VLOOKUP($F290,Declarations!$B$6:$D$185,3,FALSE)="","NOT DECLARED",VLOOKUP($F290,Declarations!$B$6:$D$185,3,FALSE)&amp;LEFT(VLOOKUP($F290,Declarations!$B$6:$E$185,4,FALSE))))</f>
        <v/>
      </c>
      <c r="F290" s="58"/>
      <c r="G290" s="115">
        <v>0</v>
      </c>
      <c r="H290" s="281"/>
      <c r="I290" s="114" t="str">
        <f>IF(ISNA(VLOOKUP(F290,Declarations!B$6:C$185,2,FALSE)),"",IF(VLOOKUP(F290,Declarations!B$6:C$185,2,FALSE)="","NOT DECLARED",VLOOKUP(F290,Declarations!B$6:C$185,2,FALSE)))</f>
        <v/>
      </c>
      <c r="J290" s="116">
        <f>IF(LOWER(G290)="dnf",1,IF(U290&lt;ScoringTable!C$3,ScoringTable!I$2,VLOOKUP((1000-U290),ScoringTable!H$2:I$95,2)))</f>
        <v>0</v>
      </c>
      <c r="K290" s="112" t="str">
        <f>IF(OR(E290="",G290=""),"",IF(RIGHT(E290,1)="G",_xlfn.XLOOKUP(G290,Data!$D$11:$L$11,Data!$D$9:$L$9,"",1,1),_xlfn.XLOOKUP(G290,Data!$D$4:$L$4,Data!$D$2:$L$2,"",1,1)))</f>
        <v/>
      </c>
      <c r="L290" s="160" t="str" cm="1">
        <f t="array" ref="L290">IFERROR(_xlfn.IFNA(
                      _xlfn.IFS(
                      G290="", "",
                      G290=0, "",
                      AND(E290="U12B",G290&lt;=Data!$M$4), "U12 Boys record",
                      AND(E290="U12G",G290&lt;=Data!$M$11), "U12 Girls record"
                       ),""), "")</f>
        <v/>
      </c>
      <c r="M290" s="18" cm="1">
        <f t="array" ref="M290">_xlfn.IFS(OR($G290="",$G290=0),0, AND(NOT(ISNUMBER($G290)),LOWER($G290)&lt;&gt;"dnf"),"Not a valid time",OR(LOWER($G290)="dnf",$G290&gt;ScoringTable!$N$161),1,RIGHT($E290,1)="B",_xlfn.XLOOKUP($G290,ScoringTable!$N$2:$N$161,ScoringTable!$L$2:$L$161,,1),TRUE,_xlfn.XLOOKUP($G290,ScoringTable!$T$2:$T$161,ScoringTable!$R$2:$R$161,,1))</f>
        <v>0</v>
      </c>
      <c r="Q290" s="117">
        <f t="shared" si="20"/>
        <v>0</v>
      </c>
      <c r="R290" s="118">
        <f t="shared" si="21"/>
        <v>0</v>
      </c>
      <c r="S290" s="119">
        <f t="shared" si="22"/>
        <v>0</v>
      </c>
      <c r="T290" s="118">
        <f t="shared" si="23"/>
        <v>0</v>
      </c>
      <c r="U290" s="120">
        <f t="shared" si="24"/>
        <v>0</v>
      </c>
    </row>
    <row r="291" spans="1:21" s="7" customFormat="1" ht="16.05" customHeight="1">
      <c r="A291" s="113" t="s">
        <v>95</v>
      </c>
      <c r="B291" s="114" t="str">
        <f>IF(ISNA(VLOOKUP($F291,Declarations!B$6:C$185,2,FALSE)),"",IF(VLOOKUP($F291,Declarations!B$6:C$185,2,FALSE)="","NOT DECLARED",IF(ISNA(_xlfn.TEXTBEFORE(VLOOKUP($F291,Declarations!B$6:C$185,2,FALSE)," ")),VLOOKUP($F291,Declarations!B$6:C$185,2,FALSE),_xlfn.TEXTBEFORE(VLOOKUP($F291,Declarations!B$6:C$185,2,FALSE)," "))))</f>
        <v/>
      </c>
      <c r="C291" s="114" t="str">
        <f>IF(ISNA(VLOOKUP($F291,Declarations!B$6:C$185,2,FALSE)),"",IF(VLOOKUP($F291,Declarations!B$6:C$185,2,FALSE)="","NOT DECLARED",IF(ISNA(_xlfn.TEXTAFTER(VLOOKUP($F291,Declarations!B$6:C$185,2,FALSE)," ")),VLOOKUP($F291,Declarations!B$6:C$185,2,FALSE),_xlfn.TEXTAFTER(VLOOKUP($F291,Declarations!B$6:C$185,2,FALSE)," "))))</f>
        <v/>
      </c>
      <c r="D291" s="114" t="str">
        <f>IF(ISNA(VLOOKUP($F291,Declarations!$B$6:$F$185,5,FALSE)),"",IF(VLOOKUP($F291,Declarations!$B$6:$F$185,5,FALSE)="","NOT DECLARED",VLOOKUP($F291,Declarations!$B$6:$F$185,5,FALSE)))</f>
        <v/>
      </c>
      <c r="E291" s="112" t="str">
        <f>IF(ISNA(VLOOKUP($F291,Declarations!$B$6:$D$185,3,FALSE)),"",IF(VLOOKUP($F291,Declarations!$B$6:$D$185,3,FALSE)="","NOT DECLARED",VLOOKUP($F291,Declarations!$B$6:$D$185,3,FALSE)&amp;LEFT(VLOOKUP($F291,Declarations!$B$6:$E$185,4,FALSE))))</f>
        <v/>
      </c>
      <c r="F291" s="58"/>
      <c r="G291" s="115">
        <v>0</v>
      </c>
      <c r="H291" s="281"/>
      <c r="I291" s="114" t="str">
        <f>IF(ISNA(VLOOKUP(F291,Declarations!B$6:C$185,2,FALSE)),"",IF(VLOOKUP(F291,Declarations!B$6:C$185,2,FALSE)="","NOT DECLARED",VLOOKUP(F291,Declarations!B$6:C$185,2,FALSE)))</f>
        <v/>
      </c>
      <c r="J291" s="116">
        <f>IF(LOWER(G291)="dnf",1,IF(U291&lt;ScoringTable!C$3,ScoringTable!I$2,VLOOKUP((1000-U291),ScoringTable!H$2:I$95,2)))</f>
        <v>0</v>
      </c>
      <c r="K291" s="112" t="str">
        <f>IF(OR(E291="",G291=""),"",IF(RIGHT(E291,1)="G",_xlfn.XLOOKUP(G291,Data!$D$11:$L$11,Data!$D$9:$L$9,"",1,1),_xlfn.XLOOKUP(G291,Data!$D$4:$L$4,Data!$D$2:$L$2,"",1,1)))</f>
        <v/>
      </c>
      <c r="L291" s="160" t="str" cm="1">
        <f t="array" ref="L291">IFERROR(_xlfn.IFNA(
                      _xlfn.IFS(
                      G291="", "",
                      G291=0, "",
                      AND(E291="U12B",G291&lt;=Data!$M$4), "U12 Boys record",
                      AND(E291="U12G",G291&lt;=Data!$M$11), "U12 Girls record"
                       ),""), "")</f>
        <v/>
      </c>
      <c r="M291" s="18" cm="1">
        <f t="array" ref="M291">_xlfn.IFS(OR($G291="",$G291=0),0, AND(NOT(ISNUMBER($G291)),LOWER($G291)&lt;&gt;"dnf"),"Not a valid time",OR(LOWER($G291)="dnf",$G291&gt;ScoringTable!$N$161),1,RIGHT($E291,1)="B",_xlfn.XLOOKUP($G291,ScoringTable!$N$2:$N$161,ScoringTable!$L$2:$L$161,,1),TRUE,_xlfn.XLOOKUP($G291,ScoringTable!$T$2:$T$161,ScoringTable!$R$2:$R$161,,1))</f>
        <v>0</v>
      </c>
      <c r="Q291" s="117">
        <f t="shared" si="20"/>
        <v>0</v>
      </c>
      <c r="R291" s="118">
        <f t="shared" si="21"/>
        <v>0</v>
      </c>
      <c r="S291" s="119">
        <f t="shared" si="22"/>
        <v>0</v>
      </c>
      <c r="T291" s="118">
        <f t="shared" si="23"/>
        <v>0</v>
      </c>
      <c r="U291" s="120">
        <f t="shared" si="24"/>
        <v>0</v>
      </c>
    </row>
    <row r="292" spans="1:21" s="7" customFormat="1" ht="16.05" customHeight="1">
      <c r="A292" s="113" t="s">
        <v>95</v>
      </c>
      <c r="B292" s="114" t="str">
        <f>IF(ISNA(VLOOKUP($F292,Declarations!B$6:C$185,2,FALSE)),"",IF(VLOOKUP($F292,Declarations!B$6:C$185,2,FALSE)="","NOT DECLARED",IF(ISNA(_xlfn.TEXTBEFORE(VLOOKUP($F292,Declarations!B$6:C$185,2,FALSE)," ")),VLOOKUP($F292,Declarations!B$6:C$185,2,FALSE),_xlfn.TEXTBEFORE(VLOOKUP($F292,Declarations!B$6:C$185,2,FALSE)," "))))</f>
        <v/>
      </c>
      <c r="C292" s="114" t="str">
        <f>IF(ISNA(VLOOKUP($F292,Declarations!B$6:C$185,2,FALSE)),"",IF(VLOOKUP($F292,Declarations!B$6:C$185,2,FALSE)="","NOT DECLARED",IF(ISNA(_xlfn.TEXTAFTER(VLOOKUP($F292,Declarations!B$6:C$185,2,FALSE)," ")),VLOOKUP($F292,Declarations!B$6:C$185,2,FALSE),_xlfn.TEXTAFTER(VLOOKUP($F292,Declarations!B$6:C$185,2,FALSE)," "))))</f>
        <v/>
      </c>
      <c r="D292" s="114" t="str">
        <f>IF(ISNA(VLOOKUP($F292,Declarations!$B$6:$F$185,5,FALSE)),"",IF(VLOOKUP($F292,Declarations!$B$6:$F$185,5,FALSE)="","NOT DECLARED",VLOOKUP($F292,Declarations!$B$6:$F$185,5,FALSE)))</f>
        <v/>
      </c>
      <c r="E292" s="112" t="str">
        <f>IF(ISNA(VLOOKUP($F292,Declarations!$B$6:$D$185,3,FALSE)),"",IF(VLOOKUP($F292,Declarations!$B$6:$D$185,3,FALSE)="","NOT DECLARED",VLOOKUP($F292,Declarations!$B$6:$D$185,3,FALSE)&amp;LEFT(VLOOKUP($F292,Declarations!$B$6:$E$185,4,FALSE))))</f>
        <v/>
      </c>
      <c r="F292" s="58"/>
      <c r="G292" s="115">
        <v>0</v>
      </c>
      <c r="H292" s="281"/>
      <c r="I292" s="114" t="str">
        <f>IF(ISNA(VLOOKUP(F292,Declarations!B$6:C$185,2,FALSE)),"",IF(VLOOKUP(F292,Declarations!B$6:C$185,2,FALSE)="","NOT DECLARED",VLOOKUP(F292,Declarations!B$6:C$185,2,FALSE)))</f>
        <v/>
      </c>
      <c r="J292" s="116">
        <f>IF(LOWER(G292)="dnf",1,IF(U292&lt;ScoringTable!C$3,ScoringTable!I$2,VLOOKUP((1000-U292),ScoringTable!H$2:I$95,2)))</f>
        <v>0</v>
      </c>
      <c r="K292" s="112" t="str">
        <f>IF(OR(E292="",G292=""),"",IF(RIGHT(E292,1)="G",_xlfn.XLOOKUP(G292,Data!$D$11:$L$11,Data!$D$9:$L$9,"",1,1),_xlfn.XLOOKUP(G292,Data!$D$4:$L$4,Data!$D$2:$L$2,"",1,1)))</f>
        <v/>
      </c>
      <c r="L292" s="160" t="str" cm="1">
        <f t="array" ref="L292">IFERROR(_xlfn.IFNA(
                      _xlfn.IFS(
                      G292="", "",
                      G292=0, "",
                      AND(E292="U12B",G292&lt;=Data!$M$4), "U12 Boys record",
                      AND(E292="U12G",G292&lt;=Data!$M$11), "U12 Girls record"
                       ),""), "")</f>
        <v/>
      </c>
      <c r="M292" s="18" cm="1">
        <f t="array" ref="M292">_xlfn.IFS(OR($G292="",$G292=0),0, AND(NOT(ISNUMBER($G292)),LOWER($G292)&lt;&gt;"dnf"),"Not a valid time",OR(LOWER($G292)="dnf",$G292&gt;ScoringTable!$N$161),1,RIGHT($E292,1)="B",_xlfn.XLOOKUP($G292,ScoringTable!$N$2:$N$161,ScoringTable!$L$2:$L$161,,1),TRUE,_xlfn.XLOOKUP($G292,ScoringTable!$T$2:$T$161,ScoringTable!$R$2:$R$161,,1))</f>
        <v>0</v>
      </c>
      <c r="Q292" s="117">
        <f t="shared" si="20"/>
        <v>0</v>
      </c>
      <c r="R292" s="118">
        <f t="shared" si="21"/>
        <v>0</v>
      </c>
      <c r="S292" s="119">
        <f t="shared" si="22"/>
        <v>0</v>
      </c>
      <c r="T292" s="118">
        <f t="shared" si="23"/>
        <v>0</v>
      </c>
      <c r="U292" s="120">
        <f t="shared" si="24"/>
        <v>0</v>
      </c>
    </row>
    <row r="293" spans="1:21" s="7" customFormat="1" ht="16.05" customHeight="1">
      <c r="A293" s="113" t="s">
        <v>95</v>
      </c>
      <c r="B293" s="114" t="str">
        <f>IF(ISNA(VLOOKUP($F293,Declarations!B$6:C$185,2,FALSE)),"",IF(VLOOKUP($F293,Declarations!B$6:C$185,2,FALSE)="","NOT DECLARED",IF(ISNA(_xlfn.TEXTBEFORE(VLOOKUP($F293,Declarations!B$6:C$185,2,FALSE)," ")),VLOOKUP($F293,Declarations!B$6:C$185,2,FALSE),_xlfn.TEXTBEFORE(VLOOKUP($F293,Declarations!B$6:C$185,2,FALSE)," "))))</f>
        <v/>
      </c>
      <c r="C293" s="114" t="str">
        <f>IF(ISNA(VLOOKUP($F293,Declarations!B$6:C$185,2,FALSE)),"",IF(VLOOKUP($F293,Declarations!B$6:C$185,2,FALSE)="","NOT DECLARED",IF(ISNA(_xlfn.TEXTAFTER(VLOOKUP($F293,Declarations!B$6:C$185,2,FALSE)," ")),VLOOKUP($F293,Declarations!B$6:C$185,2,FALSE),_xlfn.TEXTAFTER(VLOOKUP($F293,Declarations!B$6:C$185,2,FALSE)," "))))</f>
        <v/>
      </c>
      <c r="D293" s="114" t="str">
        <f>IF(ISNA(VLOOKUP($F293,Declarations!$B$6:$F$185,5,FALSE)),"",IF(VLOOKUP($F293,Declarations!$B$6:$F$185,5,FALSE)="","NOT DECLARED",VLOOKUP($F293,Declarations!$B$6:$F$185,5,FALSE)))</f>
        <v/>
      </c>
      <c r="E293" s="112" t="str">
        <f>IF(ISNA(VLOOKUP($F293,Declarations!$B$6:$D$185,3,FALSE)),"",IF(VLOOKUP($F293,Declarations!$B$6:$D$185,3,FALSE)="","NOT DECLARED",VLOOKUP($F293,Declarations!$B$6:$D$185,3,FALSE)&amp;LEFT(VLOOKUP($F293,Declarations!$B$6:$E$185,4,FALSE))))</f>
        <v/>
      </c>
      <c r="F293" s="58"/>
      <c r="G293" s="115">
        <v>0</v>
      </c>
      <c r="H293" s="281"/>
      <c r="I293" s="114" t="str">
        <f>IF(ISNA(VLOOKUP(F293,Declarations!B$6:C$185,2,FALSE)),"",IF(VLOOKUP(F293,Declarations!B$6:C$185,2,FALSE)="","NOT DECLARED",VLOOKUP(F293,Declarations!B$6:C$185,2,FALSE)))</f>
        <v/>
      </c>
      <c r="J293" s="116">
        <f>IF(LOWER(G293)="dnf",1,IF(U293&lt;ScoringTable!C$3,ScoringTable!I$2,VLOOKUP((1000-U293),ScoringTable!H$2:I$95,2)))</f>
        <v>0</v>
      </c>
      <c r="K293" s="112" t="str">
        <f>IF(OR(E293="",G293=""),"",IF(RIGHT(E293,1)="G",_xlfn.XLOOKUP(G293,Data!$D$11:$L$11,Data!$D$9:$L$9,"",1,1),_xlfn.XLOOKUP(G293,Data!$D$4:$L$4,Data!$D$2:$L$2,"",1,1)))</f>
        <v/>
      </c>
      <c r="L293" s="160" t="str" cm="1">
        <f t="array" ref="L293">IFERROR(_xlfn.IFNA(
                      _xlfn.IFS(
                      G293="", "",
                      G293=0, "",
                      AND(E293="U12B",G293&lt;=Data!$M$4), "U12 Boys record",
                      AND(E293="U12G",G293&lt;=Data!$M$11), "U12 Girls record"
                       ),""), "")</f>
        <v/>
      </c>
      <c r="M293" s="18" cm="1">
        <f t="array" ref="M293">_xlfn.IFS(OR($G293="",$G293=0),0, AND(NOT(ISNUMBER($G293)),LOWER($G293)&lt;&gt;"dnf"),"Not a valid time",OR(LOWER($G293)="dnf",$G293&gt;ScoringTable!$N$161),1,RIGHT($E293,1)="B",_xlfn.XLOOKUP($G293,ScoringTable!$N$2:$N$161,ScoringTable!$L$2:$L$161,,1),TRUE,_xlfn.XLOOKUP($G293,ScoringTable!$T$2:$T$161,ScoringTable!$R$2:$R$161,,1))</f>
        <v>0</v>
      </c>
      <c r="Q293" s="117">
        <f t="shared" si="20"/>
        <v>0</v>
      </c>
      <c r="R293" s="118">
        <f t="shared" si="21"/>
        <v>0</v>
      </c>
      <c r="S293" s="119">
        <f t="shared" si="22"/>
        <v>0</v>
      </c>
      <c r="T293" s="118">
        <f t="shared" si="23"/>
        <v>0</v>
      </c>
      <c r="U293" s="120">
        <f t="shared" si="24"/>
        <v>0</v>
      </c>
    </row>
    <row r="294" spans="1:21" ht="13.05" customHeight="1"/>
    <row r="295" spans="1:21" ht="13.05" customHeight="1"/>
    <row r="296" spans="1:21" ht="13.05" customHeight="1"/>
    <row r="297" spans="1:21" ht="13.05" customHeight="1"/>
  </sheetData>
  <sheetProtection sheet="1" objects="1" scenarios="1"/>
  <mergeCells count="7">
    <mergeCell ref="Q4:U4"/>
    <mergeCell ref="A1:D1"/>
    <mergeCell ref="F1:G1"/>
    <mergeCell ref="A2:D2"/>
    <mergeCell ref="F2:G2"/>
    <mergeCell ref="I1:K1"/>
    <mergeCell ref="I2:K2"/>
  </mergeCells>
  <phoneticPr fontId="5" type="noConversion"/>
  <conditionalFormatting sqref="F1:F1048576">
    <cfRule type="duplicateValues" dxfId="20" priority="2"/>
  </conditionalFormatting>
  <pageMargins left="0.75" right="0.75" top="1" bottom="1" header="0.5" footer="0.5"/>
  <pageSetup paperSize="9" scale="48" fitToHeight="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6600"/>
    <pageSetUpPr fitToPage="1"/>
  </sheetPr>
  <dimension ref="A1:M293"/>
  <sheetViews>
    <sheetView zoomScaleNormal="100" workbookViewId="0">
      <pane ySplit="5" topLeftCell="A90" activePane="bottomLeft" state="frozen"/>
      <selection activeCell="F147" sqref="F147"/>
      <selection pane="bottomLeft" activeCell="G105" sqref="G105"/>
    </sheetView>
  </sheetViews>
  <sheetFormatPr defaultColWidth="10.6640625" defaultRowHeight="13.2"/>
  <cols>
    <col min="1" max="1" width="6.6640625" bestFit="1" customWidth="1"/>
    <col min="2" max="2" width="11.6640625" bestFit="1" customWidth="1"/>
    <col min="3" max="3" width="12.77734375" bestFit="1" customWidth="1"/>
    <col min="4" max="4" width="18.109375" bestFit="1" customWidth="1"/>
    <col min="5" max="5" width="10.77734375" bestFit="1" customWidth="1"/>
    <col min="6" max="6" width="20" style="4" customWidth="1"/>
    <col min="7" max="7" width="20" style="5" customWidth="1"/>
    <col min="8" max="8" width="8.109375" style="5" customWidth="1"/>
    <col min="9" max="9" width="33.33203125" style="4" customWidth="1"/>
    <col min="10" max="10" width="16.6640625" style="4" customWidth="1"/>
    <col min="11" max="11" width="16.6640625" customWidth="1"/>
    <col min="12" max="12" width="15.77734375" customWidth="1"/>
  </cols>
  <sheetData>
    <row r="1" spans="1:13" ht="40.049999999999997" customHeight="1">
      <c r="A1" s="413" t="str">
        <f>'Read Me First'!A1:F1</f>
        <v>Wessex Young Athletes Track and Field League 2026</v>
      </c>
      <c r="B1" s="413"/>
      <c r="C1" s="413"/>
      <c r="D1" s="413"/>
      <c r="E1" s="74" t="s">
        <v>10</v>
      </c>
      <c r="F1" s="410" t="s">
        <v>70</v>
      </c>
      <c r="G1" s="410"/>
      <c r="H1" s="311"/>
      <c r="I1" s="410" t="s">
        <v>13</v>
      </c>
      <c r="J1" s="410"/>
      <c r="K1" s="410"/>
      <c r="L1" s="85"/>
    </row>
    <row r="2" spans="1:13" ht="40.049999999999997" customHeight="1">
      <c r="A2" s="413" t="s">
        <v>96</v>
      </c>
      <c r="B2" s="413"/>
      <c r="C2" s="413"/>
      <c r="D2" s="413"/>
      <c r="E2" s="87">
        <f>'Read Me First'!C9</f>
        <v>9</v>
      </c>
      <c r="F2" s="411" t="str">
        <f>(VLOOKUP('Read Me First'!F4,'Read Me First'!A22:D37,4,FALSE))</f>
        <v>Camberley &amp; District AC @ Woking</v>
      </c>
      <c r="G2" s="412"/>
      <c r="H2" s="312"/>
      <c r="I2" s="414">
        <f>'Read Me First'!C10</f>
        <v>46201</v>
      </c>
      <c r="J2" s="414"/>
      <c r="K2" s="414"/>
      <c r="L2" s="86"/>
    </row>
    <row r="3" spans="1:13" ht="16.05" customHeight="1">
      <c r="A3" s="54"/>
      <c r="B3" s="54"/>
      <c r="C3" s="54"/>
      <c r="D3" s="54"/>
      <c r="E3" s="88"/>
      <c r="F3" s="19"/>
      <c r="G3" s="19"/>
      <c r="H3" s="19"/>
      <c r="I3" s="89"/>
      <c r="J3" s="89"/>
      <c r="K3" s="86"/>
      <c r="L3" s="86"/>
    </row>
    <row r="4" spans="1:13" s="3" customFormat="1" ht="25.95" customHeight="1">
      <c r="A4" s="35" t="s">
        <v>72</v>
      </c>
      <c r="B4" s="35" t="s">
        <v>73</v>
      </c>
      <c r="C4" s="35" t="s">
        <v>74</v>
      </c>
      <c r="D4" s="35" t="s">
        <v>75</v>
      </c>
      <c r="E4" s="35" t="s">
        <v>76</v>
      </c>
      <c r="F4" s="29" t="s">
        <v>77</v>
      </c>
      <c r="G4" s="30" t="s">
        <v>97</v>
      </c>
      <c r="H4" s="30" t="s">
        <v>79</v>
      </c>
      <c r="I4" s="31" t="s">
        <v>80</v>
      </c>
      <c r="J4" s="31" t="s">
        <v>81</v>
      </c>
      <c r="K4" s="35" t="s">
        <v>82</v>
      </c>
      <c r="M4" s="31" t="s">
        <v>83</v>
      </c>
    </row>
    <row r="5" spans="1:13" s="3" customFormat="1" ht="25.95" customHeight="1">
      <c r="A5" s="82"/>
      <c r="B5" s="82"/>
      <c r="C5" s="82"/>
      <c r="D5" s="82"/>
      <c r="E5" s="82"/>
      <c r="F5" s="32">
        <v>0</v>
      </c>
      <c r="G5" s="36" t="s">
        <v>98</v>
      </c>
      <c r="H5" s="36"/>
      <c r="I5" s="27">
        <v>0</v>
      </c>
      <c r="J5" s="28">
        <v>0</v>
      </c>
      <c r="K5" s="111"/>
    </row>
    <row r="6" spans="1:13" s="3" customFormat="1" ht="16.05" customHeight="1">
      <c r="A6" s="113" t="s">
        <v>99</v>
      </c>
      <c r="B6" s="114" t="str">
        <f>IF(ISNA(VLOOKUP($F6,Declarations!B$6:C$185,2,FALSE)),"",IF(VLOOKUP($F6,Declarations!B$6:C$185,2,FALSE)="","NOT DECLARED",IF(ISNA(_xlfn.TEXTBEFORE(VLOOKUP($F6,Declarations!B$6:C$185,2,FALSE)," ")),VLOOKUP($F6,Declarations!B$6:C$185,2,FALSE),_xlfn.TEXTBEFORE(VLOOKUP($F6,Declarations!B$6:C$185,2,FALSE)," "))))</f>
        <v>MARCY</v>
      </c>
      <c r="C6" s="114" t="str">
        <f>IF(ISNA(VLOOKUP($F6,Declarations!B$6:C$185,2,FALSE)),"",IF(VLOOKUP($F6,Declarations!B$6:C$185,2,FALSE)="","NOT DECLARED",IF(ISNA(_xlfn.TEXTAFTER(VLOOKUP($F6,Declarations!B$6:C$185,2,FALSE)," ")),VLOOKUP($F6,Declarations!B$6:C$185,2,FALSE),_xlfn.TEXTAFTER(VLOOKUP($F6,Declarations!B$6:C$185,2,FALSE)," "))))</f>
        <v>POWER</v>
      </c>
      <c r="D6" s="114" t="str">
        <f>IF(ISNA(VLOOKUP($F6,Declarations!$B$6:$F$185,5,FALSE)),"",IF(VLOOKUP($F6,Declarations!$B$6:$F$185,5,FALSE)="","NOT DECLARED",VLOOKUP($F6,Declarations!$B$6:$F$185,5,FALSE)))</f>
        <v>Fleet &amp; Crookham AC</v>
      </c>
      <c r="E6" s="112" t="str">
        <f>IF(ISNA(VLOOKUP($F6,Declarations!$B$6:$D$185,3,FALSE)),"",IF(VLOOKUP($F6,Declarations!$B$6:$D$185,3,FALSE)="","NOT DECLARED",VLOOKUP($F6,Declarations!$B$6:$D$185,3,FALSE)&amp;LEFT(VLOOKUP($F6,Declarations!$B$6:$E$185,4,FALSE))))</f>
        <v>U12G</v>
      </c>
      <c r="F6" s="58">
        <v>61</v>
      </c>
      <c r="G6" s="121">
        <v>3.59</v>
      </c>
      <c r="H6" s="121"/>
      <c r="I6" s="114" t="str">
        <f>IF(ISNA(VLOOKUP(F6,Declarations!B$6:C$185,2,FALSE)),"",IF(VLOOKUP(F6,Declarations!B$6:C$185,2,FALSE)="","NOT DECLARED",VLOOKUP(F6,Declarations!B$6:C$185,2,FALSE)))</f>
        <v>MARCY POWER</v>
      </c>
      <c r="J6" s="112">
        <f>IF(LOWER(LEFT(G6,1))="n",1,VLOOKUP(G6,ScoringTable!D$2:I$95,6))</f>
        <v>56</v>
      </c>
      <c r="K6" s="112" t="str">
        <f>IF(OR(E6="",G6=""),"",IF(RIGHT(E6,1)="G",_xlfn.XLOOKUP(G6,Data!$D$14:$L$14,Data!$D$9:$L$9,"",-1,1),_xlfn.XLOOKUP(G6,Data!$D$7:$L$7,Data!$D$2:$L$2,"",-1,1)))</f>
        <v>PB8</v>
      </c>
      <c r="L6" s="160" t="str" cm="1">
        <f t="array" ref="L6">IFERROR(_xlfn.IFNA(
                      _xlfn.IFS(
                      G6="", "",
                      AND(E6="U12B",G6&gt;=Data!$M$7), "U12 Boys record",
                      AND(E6="U12G",G6&gt;=Data!$M$14), "U12 Girls record"
                       ),""), "")</f>
        <v/>
      </c>
      <c r="M6" s="18" cm="1">
        <f t="array" ref="M6">_xlfn.IFS($G6="",0, AND(NOT(ISNUMBER($G6)),LOWER(LEFT($G6,1))&lt;&gt;"n"),"Not a valid distance",OR(LOWER(LEFT($G6,1))="n",$G6&lt;ScoringTable!$O$161),1,RIGHT($E6,1)="B",_xlfn.XLOOKUP($G6,ScoringTable!$O$2:$O$161,ScoringTable!$L$2:$L$161,,-1),TRUE,_xlfn.XLOOKUP($G6,ScoringTable!$U$2:$U$161,ScoringTable!$R$2:$R$161,,-1))</f>
        <v>93</v>
      </c>
    </row>
    <row r="7" spans="1:13" s="3" customFormat="1" ht="16.05" customHeight="1">
      <c r="A7" s="113" t="s">
        <v>99</v>
      </c>
      <c r="B7" s="114" t="str">
        <f>IF(ISNA(VLOOKUP($F7,Declarations!B$6:C$185,2,FALSE)),"",IF(VLOOKUP($F7,Declarations!B$6:C$185,2,FALSE)="","NOT DECLARED",IF(ISNA(_xlfn.TEXTBEFORE(VLOOKUP($F7,Declarations!B$6:C$185,2,FALSE)," ")),VLOOKUP($F7,Declarations!B$6:C$185,2,FALSE),_xlfn.TEXTBEFORE(VLOOKUP($F7,Declarations!B$6:C$185,2,FALSE)," "))))</f>
        <v>OTTILE</v>
      </c>
      <c r="C7" s="114" t="str">
        <f>IF(ISNA(VLOOKUP($F7,Declarations!B$6:C$185,2,FALSE)),"",IF(VLOOKUP($F7,Declarations!B$6:C$185,2,FALSE)="","NOT DECLARED",IF(ISNA(_xlfn.TEXTAFTER(VLOOKUP($F7,Declarations!B$6:C$185,2,FALSE)," ")),VLOOKUP($F7,Declarations!B$6:C$185,2,FALSE),_xlfn.TEXTAFTER(VLOOKUP($F7,Declarations!B$6:C$185,2,FALSE)," "))))</f>
        <v>WHITE</v>
      </c>
      <c r="D7" s="114" t="str">
        <f>IF(ISNA(VLOOKUP($F7,Declarations!$B$6:$F$185,5,FALSE)),"",IF(VLOOKUP($F7,Declarations!$B$6:$F$185,5,FALSE)="","NOT DECLARED",VLOOKUP($F7,Declarations!$B$6:$F$185,5,FALSE)))</f>
        <v>Fleet &amp; Crookham AC</v>
      </c>
      <c r="E7" s="112" t="str">
        <f>IF(ISNA(VLOOKUP($F7,Declarations!$B$6:$D$185,3,FALSE)),"",IF(VLOOKUP($F7,Declarations!$B$6:$D$185,3,FALSE)="","NOT DECLARED",VLOOKUP($F7,Declarations!$B$6:$D$185,3,FALSE)&amp;LEFT(VLOOKUP($F7,Declarations!$B$6:$E$185,4,FALSE))))</f>
        <v>U12G</v>
      </c>
      <c r="F7" s="58">
        <v>62</v>
      </c>
      <c r="G7" s="121">
        <v>3.15</v>
      </c>
      <c r="H7" s="121"/>
      <c r="I7" s="114" t="str">
        <f>IF(ISNA(VLOOKUP(F7,Declarations!B$6:C$185,2,FALSE)),"",IF(VLOOKUP(F7,Declarations!B$6:C$185,2,FALSE)="","NOT DECLARED",VLOOKUP(F7,Declarations!B$6:C$185,2,FALSE)))</f>
        <v>OTTILE WHITE</v>
      </c>
      <c r="J7" s="112">
        <f>IF(LOWER(LEFT(G7,1))="n",1,VLOOKUP(G7,ScoringTable!D$2:I$95,6))</f>
        <v>41</v>
      </c>
      <c r="K7" s="112" t="str">
        <f>IF(OR(E7="",G7=""),"",IF(RIGHT(E7,1)="G",_xlfn.XLOOKUP(G7,Data!$D$14:$L$14,Data!$D$9:$L$9,"",-1,1),_xlfn.XLOOKUP(G7,Data!$D$7:$L$7,Data!$D$2:$L$2,"",-1,1)))</f>
        <v>PB6</v>
      </c>
      <c r="L7" s="160" t="str" cm="1">
        <f t="array" ref="L7">IFERROR(_xlfn.IFNA(
                      _xlfn.IFS(
                      G7="", "",
                      AND(E7="U12B",G7&gt;=Data!$M$7), "U12 Boys record",
                      AND(E7="U12G",G7&gt;=Data!$M$14), "U12 Girls record"
                       ),""), "")</f>
        <v/>
      </c>
      <c r="M7" s="18" cm="1">
        <f t="array" ref="M7">_xlfn.IFS($G7="",0, AND(NOT(ISNUMBER($G7)),LOWER(LEFT($G7,1))&lt;&gt;"n"),"Not a valid distance",OR(LOWER(LEFT($G7,1))="n",$G7&lt;ScoringTable!$O$161),1,RIGHT($E7,1)="B",_xlfn.XLOOKUP($G7,ScoringTable!$O$2:$O$161,ScoringTable!$L$2:$L$161,,-1),TRUE,_xlfn.XLOOKUP($G7,ScoringTable!$U$2:$U$161,ScoringTable!$R$2:$R$161,,-1))</f>
        <v>75</v>
      </c>
    </row>
    <row r="8" spans="1:13" s="3" customFormat="1" ht="16.05" customHeight="1">
      <c r="A8" s="113" t="s">
        <v>99</v>
      </c>
      <c r="B8" s="114" t="str">
        <f>IF(ISNA(VLOOKUP($F8,Declarations!B$6:C$185,2,FALSE)),"",IF(VLOOKUP($F8,Declarations!B$6:C$185,2,FALSE)="","NOT DECLARED",IF(ISNA(_xlfn.TEXTBEFORE(VLOOKUP($F8,Declarations!B$6:C$185,2,FALSE)," ")),VLOOKUP($F8,Declarations!B$6:C$185,2,FALSE),_xlfn.TEXTBEFORE(VLOOKUP($F8,Declarations!B$6:C$185,2,FALSE)," "))))</f>
        <v>BETH</v>
      </c>
      <c r="C8" s="114" t="str">
        <f>IF(ISNA(VLOOKUP($F8,Declarations!B$6:C$185,2,FALSE)),"",IF(VLOOKUP($F8,Declarations!B$6:C$185,2,FALSE)="","NOT DECLARED",IF(ISNA(_xlfn.TEXTAFTER(VLOOKUP($F8,Declarations!B$6:C$185,2,FALSE)," ")),VLOOKUP($F8,Declarations!B$6:C$185,2,FALSE),_xlfn.TEXTAFTER(VLOOKUP($F8,Declarations!B$6:C$185,2,FALSE)," "))))</f>
        <v>JOHNSTON</v>
      </c>
      <c r="D8" s="114" t="str">
        <f>IF(ISNA(VLOOKUP($F8,Declarations!$B$6:$F$185,5,FALSE)),"",IF(VLOOKUP($F8,Declarations!$B$6:$F$185,5,FALSE)="","NOT DECLARED",VLOOKUP($F8,Declarations!$B$6:$F$185,5,FALSE)))</f>
        <v>Fleet &amp; Crookham AC</v>
      </c>
      <c r="E8" s="112" t="str">
        <f>IF(ISNA(VLOOKUP($F8,Declarations!$B$6:$D$185,3,FALSE)),"",IF(VLOOKUP($F8,Declarations!$B$6:$D$185,3,FALSE)="","NOT DECLARED",VLOOKUP($F8,Declarations!$B$6:$D$185,3,FALSE)&amp;LEFT(VLOOKUP($F8,Declarations!$B$6:$E$185,4,FALSE))))</f>
        <v>U12G</v>
      </c>
      <c r="F8" s="58">
        <v>63</v>
      </c>
      <c r="G8" s="121">
        <v>2.75</v>
      </c>
      <c r="H8" s="121"/>
      <c r="I8" s="114" t="str">
        <f>IF(ISNA(VLOOKUP(F8,Declarations!B$6:C$185,2,FALSE)),"",IF(VLOOKUP(F8,Declarations!B$6:C$185,2,FALSE)="","NOT DECLARED",VLOOKUP(F8,Declarations!B$6:C$185,2,FALSE)))</f>
        <v>BETH JOHNSTON</v>
      </c>
      <c r="J8" s="112">
        <f>IF(LOWER(LEFT(G8,1))="n",1,VLOOKUP(G8,ScoringTable!D$2:I$95,6))</f>
        <v>28</v>
      </c>
      <c r="K8" s="112" t="str">
        <f>IF(OR(E8="",G8=""),"",IF(RIGHT(E8,1)="G",_xlfn.XLOOKUP(G8,Data!$D$14:$L$14,Data!$D$9:$L$9,"",-1,1),_xlfn.XLOOKUP(G8,Data!$D$7:$L$7,Data!$D$2:$L$2,"",-1,1)))</f>
        <v>PB5</v>
      </c>
      <c r="L8" s="160" t="str" cm="1">
        <f t="array" ref="L8">IFERROR(_xlfn.IFNA(
                      _xlfn.IFS(
                      G8="", "",
                      AND(E8="U12B",G8&gt;=Data!$M$7), "U12 Boys record",
                      AND(E8="U12G",G8&gt;=Data!$M$14), "U12 Girls record"
                       ),""), "")</f>
        <v/>
      </c>
      <c r="M8" s="18" cm="1">
        <f t="array" ref="M8">_xlfn.IFS($G8="",0, AND(NOT(ISNUMBER($G8)),LOWER(LEFT($G8,1))&lt;&gt;"n"),"Not a valid distance",OR(LOWER(LEFT($G8,1))="n",$G8&lt;ScoringTable!$O$161),1,RIGHT($E8,1)="B",_xlfn.XLOOKUP($G8,ScoringTable!$O$2:$O$161,ScoringTable!$L$2:$L$161,,-1),TRUE,_xlfn.XLOOKUP($G8,ScoringTable!$U$2:$U$161,ScoringTable!$R$2:$R$161,,-1))</f>
        <v>60</v>
      </c>
    </row>
    <row r="9" spans="1:13" s="7" customFormat="1" ht="16.05" customHeight="1">
      <c r="A9" s="113" t="s">
        <v>99</v>
      </c>
      <c r="B9" s="114" t="str">
        <f>IF(ISNA(VLOOKUP($F9,Declarations!B$6:C$185,2,FALSE)),"",IF(VLOOKUP($F9,Declarations!B$6:C$185,2,FALSE)="","NOT DECLARED",IF(ISNA(_xlfn.TEXTBEFORE(VLOOKUP($F9,Declarations!B$6:C$185,2,FALSE)," ")),VLOOKUP($F9,Declarations!B$6:C$185,2,FALSE),_xlfn.TEXTBEFORE(VLOOKUP($F9,Declarations!B$6:C$185,2,FALSE)," "))))</f>
        <v>MATILDA</v>
      </c>
      <c r="C9" s="114" t="str">
        <f>IF(ISNA(VLOOKUP($F9,Declarations!B$6:C$185,2,FALSE)),"",IF(VLOOKUP($F9,Declarations!B$6:C$185,2,FALSE)="","NOT DECLARED",IF(ISNA(_xlfn.TEXTAFTER(VLOOKUP($F9,Declarations!B$6:C$185,2,FALSE)," ")),VLOOKUP($F9,Declarations!B$6:C$185,2,FALSE),_xlfn.TEXTAFTER(VLOOKUP($F9,Declarations!B$6:C$185,2,FALSE)," "))))</f>
        <v>FLINT</v>
      </c>
      <c r="D9" s="114" t="str">
        <f>IF(ISNA(VLOOKUP($F9,Declarations!$B$6:$F$185,5,FALSE)),"",IF(VLOOKUP($F9,Declarations!$B$6:$F$185,5,FALSE)="","NOT DECLARED",VLOOKUP($F9,Declarations!$B$6:$F$185,5,FALSE)))</f>
        <v>Fleet &amp; Crookham AC</v>
      </c>
      <c r="E9" s="112" t="str">
        <f>IF(ISNA(VLOOKUP($F9,Declarations!$B$6:$D$185,3,FALSE)),"",IF(VLOOKUP($F9,Declarations!$B$6:$D$185,3,FALSE)="","NOT DECLARED",VLOOKUP($F9,Declarations!$B$6:$D$185,3,FALSE)&amp;LEFT(VLOOKUP($F9,Declarations!$B$6:$E$185,4,FALSE))))</f>
        <v>U12G</v>
      </c>
      <c r="F9" s="58">
        <v>64</v>
      </c>
      <c r="G9" s="121">
        <v>3.48</v>
      </c>
      <c r="H9" s="121"/>
      <c r="I9" s="114" t="str">
        <f>IF(ISNA(VLOOKUP(F9,Declarations!B$6:C$185,2,FALSE)),"",IF(VLOOKUP(F9,Declarations!B$6:C$185,2,FALSE)="","NOT DECLARED",VLOOKUP(F9,Declarations!B$6:C$185,2,FALSE)))</f>
        <v>MATILDA FLINT</v>
      </c>
      <c r="J9" s="112">
        <f>IF(LOWER(LEFT(G9,1))="n",1,VLOOKUP(G9,ScoringTable!D$2:I$95,6))</f>
        <v>52</v>
      </c>
      <c r="K9" s="112" t="str">
        <f>IF(OR(E9="",G9=""),"",IF(RIGHT(E9,1)="G",_xlfn.XLOOKUP(G9,Data!$D$14:$L$14,Data!$D$9:$L$9,"",-1,1),_xlfn.XLOOKUP(G9,Data!$D$7:$L$7,Data!$D$2:$L$2,"",-1,1)))</f>
        <v>PB7</v>
      </c>
      <c r="L9" s="160" t="str" cm="1">
        <f t="array" ref="L9">IFERROR(_xlfn.IFNA(
                      _xlfn.IFS(
                      G9="", "",
                      AND(E9="U12B",G9&gt;=Data!$M$7), "U12 Boys record",
                      AND(E9="U12G",G9&gt;=Data!$M$14), "U12 Girls record"
                       ),""), "")</f>
        <v/>
      </c>
      <c r="M9" s="18" cm="1">
        <f t="array" ref="M9">_xlfn.IFS($G9="",0, AND(NOT(ISNUMBER($G9)),LOWER(LEFT($G9,1))&lt;&gt;"n"),"Not a valid distance",OR(LOWER(LEFT($G9,1))="n",$G9&lt;ScoringTable!$O$161),1,RIGHT($E9,1)="B",_xlfn.XLOOKUP($G9,ScoringTable!$O$2:$O$161,ScoringTable!$L$2:$L$161,,-1),TRUE,_xlfn.XLOOKUP($G9,ScoringTable!$U$2:$U$161,ScoringTable!$R$2:$R$161,,-1))</f>
        <v>89</v>
      </c>
    </row>
    <row r="10" spans="1:13" s="7" customFormat="1" ht="16.05" customHeight="1">
      <c r="A10" s="113" t="s">
        <v>99</v>
      </c>
      <c r="B10" s="114" t="str">
        <f>IF(ISNA(VLOOKUP($F10,Declarations!B$6:C$185,2,FALSE)),"",IF(VLOOKUP($F10,Declarations!B$6:C$185,2,FALSE)="","NOT DECLARED",IF(ISNA(_xlfn.TEXTBEFORE(VLOOKUP($F10,Declarations!B$6:C$185,2,FALSE)," ")),VLOOKUP($F10,Declarations!B$6:C$185,2,FALSE),_xlfn.TEXTBEFORE(VLOOKUP($F10,Declarations!B$6:C$185,2,FALSE)," "))))</f>
        <v>HONEY</v>
      </c>
      <c r="C10" s="114" t="str">
        <f>IF(ISNA(VLOOKUP($F10,Declarations!B$6:C$185,2,FALSE)),"",IF(VLOOKUP($F10,Declarations!B$6:C$185,2,FALSE)="","NOT DECLARED",IF(ISNA(_xlfn.TEXTAFTER(VLOOKUP($F10,Declarations!B$6:C$185,2,FALSE)," ")),VLOOKUP($F10,Declarations!B$6:C$185,2,FALSE),_xlfn.TEXTAFTER(VLOOKUP($F10,Declarations!B$6:C$185,2,FALSE)," "))))</f>
        <v>FLINT</v>
      </c>
      <c r="D10" s="114" t="str">
        <f>IF(ISNA(VLOOKUP($F10,Declarations!$B$6:$F$185,5,FALSE)),"",IF(VLOOKUP($F10,Declarations!$B$6:$F$185,5,FALSE)="","NOT DECLARED",VLOOKUP($F10,Declarations!$B$6:$F$185,5,FALSE)))</f>
        <v>Fleet &amp; Crookham AC</v>
      </c>
      <c r="E10" s="112" t="str">
        <f>IF(ISNA(VLOOKUP($F10,Declarations!$B$6:$D$185,3,FALSE)),"",IF(VLOOKUP($F10,Declarations!$B$6:$D$185,3,FALSE)="","NOT DECLARED",VLOOKUP($F10,Declarations!$B$6:$D$185,3,FALSE)&amp;LEFT(VLOOKUP($F10,Declarations!$B$6:$E$185,4,FALSE))))</f>
        <v>U12G</v>
      </c>
      <c r="F10" s="58">
        <v>65</v>
      </c>
      <c r="G10" s="121">
        <v>2.74</v>
      </c>
      <c r="H10" s="121"/>
      <c r="I10" s="114" t="str">
        <f>IF(ISNA(VLOOKUP(F10,Declarations!B$6:C$185,2,FALSE)),"",IF(VLOOKUP(F10,Declarations!B$6:C$185,2,FALSE)="","NOT DECLARED",VLOOKUP(F10,Declarations!B$6:C$185,2,FALSE)))</f>
        <v>HONEY FLINT</v>
      </c>
      <c r="J10" s="112">
        <f>IF(LOWER(LEFT(G10,1))="n",1,VLOOKUP(G10,ScoringTable!D$2:I$95,6))</f>
        <v>28</v>
      </c>
      <c r="K10" s="112" t="str">
        <f>IF(OR(E10="",G10=""),"",IF(RIGHT(E10,1)="G",_xlfn.XLOOKUP(G10,Data!$D$14:$L$14,Data!$D$9:$L$9,"",-1,1),_xlfn.XLOOKUP(G10,Data!$D$7:$L$7,Data!$D$2:$L$2,"",-1,1)))</f>
        <v>PB4</v>
      </c>
      <c r="L10" s="160" t="str" cm="1">
        <f t="array" ref="L10">IFERROR(_xlfn.IFNA(
                      _xlfn.IFS(
                      G10="", "",
                      AND(E10="U12B",G10&gt;=Data!$M$7), "U12 Boys record",
                      AND(E10="U12G",G10&gt;=Data!$M$14), "U12 Girls record"
                       ),""), "")</f>
        <v/>
      </c>
      <c r="M10" s="18" cm="1">
        <f t="array" ref="M10">_xlfn.IFS($G10="",0, AND(NOT(ISNUMBER($G10)),LOWER(LEFT($G10,1))&lt;&gt;"n"),"Not a valid distance",OR(LOWER(LEFT($G10,1))="n",$G10&lt;ScoringTable!$O$161),1,RIGHT($E10,1)="B",_xlfn.XLOOKUP($G10,ScoringTable!$O$2:$O$161,ScoringTable!$L$2:$L$161,,-1),TRUE,_xlfn.XLOOKUP($G10,ScoringTable!$U$2:$U$161,ScoringTable!$R$2:$R$161,,-1))</f>
        <v>59</v>
      </c>
    </row>
    <row r="11" spans="1:13" s="7" customFormat="1" ht="16.05" customHeight="1">
      <c r="A11" s="113" t="s">
        <v>99</v>
      </c>
      <c r="B11" s="114" t="str">
        <f>IF(ISNA(VLOOKUP($F11,Declarations!B$6:C$185,2,FALSE)),"",IF(VLOOKUP($F11,Declarations!B$6:C$185,2,FALSE)="","NOT DECLARED",IF(ISNA(_xlfn.TEXTBEFORE(VLOOKUP($F11,Declarations!B$6:C$185,2,FALSE)," ")),VLOOKUP($F11,Declarations!B$6:C$185,2,FALSE),_xlfn.TEXTBEFORE(VLOOKUP($F11,Declarations!B$6:C$185,2,FALSE)," "))))</f>
        <v>BONNIE</v>
      </c>
      <c r="C11" s="114" t="str">
        <f>IF(ISNA(VLOOKUP($F11,Declarations!B$6:C$185,2,FALSE)),"",IF(VLOOKUP($F11,Declarations!B$6:C$185,2,FALSE)="","NOT DECLARED",IF(ISNA(_xlfn.TEXTAFTER(VLOOKUP($F11,Declarations!B$6:C$185,2,FALSE)," ")),VLOOKUP($F11,Declarations!B$6:C$185,2,FALSE),_xlfn.TEXTAFTER(VLOOKUP($F11,Declarations!B$6:C$185,2,FALSE)," "))))</f>
        <v>MOORE</v>
      </c>
      <c r="D11" s="114" t="str">
        <f>IF(ISNA(VLOOKUP($F11,Declarations!$B$6:$F$185,5,FALSE)),"",IF(VLOOKUP($F11,Declarations!$B$6:$F$185,5,FALSE)="","NOT DECLARED",VLOOKUP($F11,Declarations!$B$6:$F$185,5,FALSE)))</f>
        <v>Fleet &amp; Crookham AC</v>
      </c>
      <c r="E11" s="112" t="str">
        <f>IF(ISNA(VLOOKUP($F11,Declarations!$B$6:$D$185,3,FALSE)),"",IF(VLOOKUP($F11,Declarations!$B$6:$D$185,3,FALSE)="","NOT DECLARED",VLOOKUP($F11,Declarations!$B$6:$D$185,3,FALSE)&amp;LEFT(VLOOKUP($F11,Declarations!$B$6:$E$185,4,FALSE))))</f>
        <v>U12G</v>
      </c>
      <c r="F11" s="58">
        <v>67</v>
      </c>
      <c r="G11" s="121">
        <v>3.67</v>
      </c>
      <c r="H11" s="121"/>
      <c r="I11" s="114" t="str">
        <f>IF(ISNA(VLOOKUP(F11,Declarations!B$6:C$185,2,FALSE)),"",IF(VLOOKUP(F11,Declarations!B$6:C$185,2,FALSE)="","NOT DECLARED",VLOOKUP(F11,Declarations!B$6:C$185,2,FALSE)))</f>
        <v>BONNIE MOORE</v>
      </c>
      <c r="J11" s="112">
        <f>IF(LOWER(LEFT(G11,1))="n",1,VLOOKUP(G11,ScoringTable!D$2:I$95,6))</f>
        <v>59</v>
      </c>
      <c r="K11" s="112" t="str">
        <f>IF(OR(E11="",G11=""),"",IF(RIGHT(E11,1)="G",_xlfn.XLOOKUP(G11,Data!$D$14:$L$14,Data!$D$9:$L$9,"",-1,1),_xlfn.XLOOKUP(G11,Data!$D$7:$L$7,Data!$D$2:$L$2,"",-1,1)))</f>
        <v>PB8</v>
      </c>
      <c r="L11" s="160" t="str" cm="1">
        <f t="array" ref="L11">IFERROR(_xlfn.IFNA(
                      _xlfn.IFS(
                      G11="", "",
                      AND(E11="U12B",G11&gt;=Data!$M$7), "U12 Boys record",
                      AND(E11="U12G",G11&gt;=Data!$M$14), "U12 Girls record"
                       ),""), "")</f>
        <v/>
      </c>
      <c r="M11" s="18" cm="1">
        <f t="array" ref="M11">_xlfn.IFS($G11="",0, AND(NOT(ISNUMBER($G11)),LOWER(LEFT($G11,1))&lt;&gt;"n"),"Not a valid distance",OR(LOWER(LEFT($G11,1))="n",$G11&lt;ScoringTable!$O$161),1,RIGHT($E11,1)="B",_xlfn.XLOOKUP($G11,ScoringTable!$O$2:$O$161,ScoringTable!$L$2:$L$161,,-1),TRUE,_xlfn.XLOOKUP($G11,ScoringTable!$U$2:$U$161,ScoringTable!$R$2:$R$161,,-1))</f>
        <v>96</v>
      </c>
    </row>
    <row r="12" spans="1:13" s="7" customFormat="1" ht="16.05" customHeight="1">
      <c r="A12" s="113" t="s">
        <v>99</v>
      </c>
      <c r="B12" s="114" t="str">
        <f>IF(ISNA(VLOOKUP($F12,Declarations!B$6:C$185,2,FALSE)),"",IF(VLOOKUP($F12,Declarations!B$6:C$185,2,FALSE)="","NOT DECLARED",IF(ISNA(_xlfn.TEXTBEFORE(VLOOKUP($F12,Declarations!B$6:C$185,2,FALSE)," ")),VLOOKUP($F12,Declarations!B$6:C$185,2,FALSE),_xlfn.TEXTBEFORE(VLOOKUP($F12,Declarations!B$6:C$185,2,FALSE)," "))))</f>
        <v>NORA</v>
      </c>
      <c r="C12" s="114" t="str">
        <f>IF(ISNA(VLOOKUP($F12,Declarations!B$6:C$185,2,FALSE)),"",IF(VLOOKUP($F12,Declarations!B$6:C$185,2,FALSE)="","NOT DECLARED",IF(ISNA(_xlfn.TEXTAFTER(VLOOKUP($F12,Declarations!B$6:C$185,2,FALSE)," ")),VLOOKUP($F12,Declarations!B$6:C$185,2,FALSE),_xlfn.TEXTAFTER(VLOOKUP($F12,Declarations!B$6:C$185,2,FALSE)," "))))</f>
        <v>BRADFORD</v>
      </c>
      <c r="D12" s="114" t="str">
        <f>IF(ISNA(VLOOKUP($F12,Declarations!$B$6:$F$185,5,FALSE)),"",IF(VLOOKUP($F12,Declarations!$B$6:$F$185,5,FALSE)="","NOT DECLARED",VLOOKUP($F12,Declarations!$B$6:$F$185,5,FALSE)))</f>
        <v>Fleet &amp; Crookham AC</v>
      </c>
      <c r="E12" s="112" t="str">
        <f>IF(ISNA(VLOOKUP($F12,Declarations!$B$6:$D$185,3,FALSE)),"",IF(VLOOKUP($F12,Declarations!$B$6:$D$185,3,FALSE)="","NOT DECLARED",VLOOKUP($F12,Declarations!$B$6:$D$185,3,FALSE)&amp;LEFT(VLOOKUP($F12,Declarations!$B$6:$E$185,4,FALSE))))</f>
        <v>U12G</v>
      </c>
      <c r="F12" s="58">
        <v>69</v>
      </c>
      <c r="G12" s="121">
        <v>2.4300000000000002</v>
      </c>
      <c r="H12" s="121"/>
      <c r="I12" s="114" t="str">
        <f>IF(ISNA(VLOOKUP(F12,Declarations!B$6:C$185,2,FALSE)),"",IF(VLOOKUP(F12,Declarations!B$6:C$185,2,FALSE)="","NOT DECLARED",VLOOKUP(F12,Declarations!B$6:C$185,2,FALSE)))</f>
        <v>NORA BRADFORD</v>
      </c>
      <c r="J12" s="112">
        <f>IF(LOWER(LEFT(G12,1))="n",1,VLOOKUP(G12,ScoringTable!D$2:I$95,6))</f>
        <v>17</v>
      </c>
      <c r="K12" s="112" t="str">
        <f>IF(OR(E12="",G12=""),"",IF(RIGHT(E12,1)="G",_xlfn.XLOOKUP(G12,Data!$D$14:$L$14,Data!$D$9:$L$9,"",-1,1),_xlfn.XLOOKUP(G12,Data!$D$7:$L$7,Data!$D$2:$L$2,"",-1,1)))</f>
        <v>PB3</v>
      </c>
      <c r="L12" s="160" t="str" cm="1">
        <f t="array" ref="L12">IFERROR(_xlfn.IFNA(
                      _xlfn.IFS(
                      G12="", "",
                      AND(E12="U12B",G12&gt;=Data!$M$7), "U12 Boys record",
                      AND(E12="U12G",G12&gt;=Data!$M$14), "U12 Girls record"
                       ),""), "")</f>
        <v/>
      </c>
      <c r="M12" s="18" cm="1">
        <f t="array" ref="M12">_xlfn.IFS($G12="",0, AND(NOT(ISNUMBER($G12)),LOWER(LEFT($G12,1))&lt;&gt;"n"),"Not a valid distance",OR(LOWER(LEFT($G12,1))="n",$G12&lt;ScoringTable!$O$161),1,RIGHT($E12,1)="B",_xlfn.XLOOKUP($G12,ScoringTable!$O$2:$O$161,ScoringTable!$L$2:$L$161,,-1),TRUE,_xlfn.XLOOKUP($G12,ScoringTable!$U$2:$U$161,ScoringTable!$R$2:$R$161,,-1))</f>
        <v>46</v>
      </c>
    </row>
    <row r="13" spans="1:13" s="7" customFormat="1" ht="16.05" customHeight="1">
      <c r="A13" s="113" t="s">
        <v>99</v>
      </c>
      <c r="B13" s="114" t="str">
        <f>IF(ISNA(VLOOKUP($F13,Declarations!B$6:C$185,2,FALSE)),"",IF(VLOOKUP($F13,Declarations!B$6:C$185,2,FALSE)="","NOT DECLARED",IF(ISNA(_xlfn.TEXTBEFORE(VLOOKUP($F13,Declarations!B$6:C$185,2,FALSE)," ")),VLOOKUP($F13,Declarations!B$6:C$185,2,FALSE),_xlfn.TEXTBEFORE(VLOOKUP($F13,Declarations!B$6:C$185,2,FALSE)," "))))</f>
        <v>JOSEPHINE</v>
      </c>
      <c r="C13" s="114" t="str">
        <f>IF(ISNA(VLOOKUP($F13,Declarations!B$6:C$185,2,FALSE)),"",IF(VLOOKUP($F13,Declarations!B$6:C$185,2,FALSE)="","NOT DECLARED",IF(ISNA(_xlfn.TEXTAFTER(VLOOKUP($F13,Declarations!B$6:C$185,2,FALSE)," ")),VLOOKUP($F13,Declarations!B$6:C$185,2,FALSE),_xlfn.TEXTAFTER(VLOOKUP($F13,Declarations!B$6:C$185,2,FALSE)," "))))</f>
        <v>HARPER</v>
      </c>
      <c r="D13" s="114" t="str">
        <f>IF(ISNA(VLOOKUP($F13,Declarations!$B$6:$F$185,5,FALSE)),"",IF(VLOOKUP($F13,Declarations!$B$6:$F$185,5,FALSE)="","NOT DECLARED",VLOOKUP($F13,Declarations!$B$6:$F$185,5,FALSE)))</f>
        <v>Fleet &amp; Crookham AC</v>
      </c>
      <c r="E13" s="112" t="str">
        <f>IF(ISNA(VLOOKUP($F13,Declarations!$B$6:$D$185,3,FALSE)),"",IF(VLOOKUP($F13,Declarations!$B$6:$D$185,3,FALSE)="","NOT DECLARED",VLOOKUP($F13,Declarations!$B$6:$D$185,3,FALSE)&amp;LEFT(VLOOKUP($F13,Declarations!$B$6:$E$185,4,FALSE))))</f>
        <v>U12G</v>
      </c>
      <c r="F13" s="58">
        <v>70</v>
      </c>
      <c r="G13" s="121">
        <v>2.62</v>
      </c>
      <c r="H13" s="121"/>
      <c r="I13" s="114" t="str">
        <f>IF(ISNA(VLOOKUP(F13,Declarations!B$6:C$185,2,FALSE)),"",IF(VLOOKUP(F13,Declarations!B$6:C$185,2,FALSE)="","NOT DECLARED",VLOOKUP(F13,Declarations!B$6:C$185,2,FALSE)))</f>
        <v>JOSEPHINE HARPER</v>
      </c>
      <c r="J13" s="112">
        <f>IF(LOWER(LEFT(G13,1))="n",1,VLOOKUP(G13,ScoringTable!D$2:I$95,6))</f>
        <v>24</v>
      </c>
      <c r="K13" s="112" t="str">
        <f>IF(OR(E13="",G13=""),"",IF(RIGHT(E13,1)="G",_xlfn.XLOOKUP(G13,Data!$D$14:$L$14,Data!$D$9:$L$9,"",-1,1),_xlfn.XLOOKUP(G13,Data!$D$7:$L$7,Data!$D$2:$L$2,"",-1,1)))</f>
        <v>PB4</v>
      </c>
      <c r="L13" s="160" t="str" cm="1">
        <f t="array" ref="L13">IFERROR(_xlfn.IFNA(
                      _xlfn.IFS(
                      G13="", "",
                      AND(E13="U12B",G13&gt;=Data!$M$7), "U12 Boys record",
                      AND(E13="U12G",G13&gt;=Data!$M$14), "U12 Girls record"
                       ),""), "")</f>
        <v/>
      </c>
      <c r="M13" s="18" cm="1">
        <f t="array" ref="M13">_xlfn.IFS($G13="",0, AND(NOT(ISNUMBER($G13)),LOWER(LEFT($G13,1))&lt;&gt;"n"),"Not a valid distance",OR(LOWER(LEFT($G13,1))="n",$G13&lt;ScoringTable!$O$161),1,RIGHT($E13,1)="B",_xlfn.XLOOKUP($G13,ScoringTable!$O$2:$O$161,ScoringTable!$L$2:$L$161,,-1),TRUE,_xlfn.XLOOKUP($G13,ScoringTable!$U$2:$U$161,ScoringTable!$R$2:$R$161,,-1))</f>
        <v>54</v>
      </c>
    </row>
    <row r="14" spans="1:13" s="7" customFormat="1" ht="16.05" customHeight="1">
      <c r="A14" s="113" t="s">
        <v>99</v>
      </c>
      <c r="B14" s="114" t="str">
        <f>IF(ISNA(VLOOKUP($F14,Declarations!B$6:C$185,2,FALSE)),"",IF(VLOOKUP($F14,Declarations!B$6:C$185,2,FALSE)="","NOT DECLARED",IF(ISNA(_xlfn.TEXTBEFORE(VLOOKUP($F14,Declarations!B$6:C$185,2,FALSE)," ")),VLOOKUP($F14,Declarations!B$6:C$185,2,FALSE),_xlfn.TEXTBEFORE(VLOOKUP($F14,Declarations!B$6:C$185,2,FALSE)," "))))</f>
        <v>FREYA</v>
      </c>
      <c r="C14" s="114" t="str">
        <f>IF(ISNA(VLOOKUP($F14,Declarations!B$6:C$185,2,FALSE)),"",IF(VLOOKUP($F14,Declarations!B$6:C$185,2,FALSE)="","NOT DECLARED",IF(ISNA(_xlfn.TEXTAFTER(VLOOKUP($F14,Declarations!B$6:C$185,2,FALSE)," ")),VLOOKUP($F14,Declarations!B$6:C$185,2,FALSE),_xlfn.TEXTAFTER(VLOOKUP($F14,Declarations!B$6:C$185,2,FALSE)," "))))</f>
        <v>BURGE</v>
      </c>
      <c r="D14" s="114" t="str">
        <f>IF(ISNA(VLOOKUP($F14,Declarations!$B$6:$F$185,5,FALSE)),"",IF(VLOOKUP($F14,Declarations!$B$6:$F$185,5,FALSE)="","NOT DECLARED",VLOOKUP($F14,Declarations!$B$6:$F$185,5,FALSE)))</f>
        <v>Waverley Athletics Club</v>
      </c>
      <c r="E14" s="112" t="str">
        <f>IF(ISNA(VLOOKUP($F14,Declarations!$B$6:$D$185,3,FALSE)),"",IF(VLOOKUP($F14,Declarations!$B$6:$D$185,3,FALSE)="","NOT DECLARED",VLOOKUP($F14,Declarations!$B$6:$D$185,3,FALSE)&amp;LEFT(VLOOKUP($F14,Declarations!$B$6:$E$185,4,FALSE))))</f>
        <v>U12G</v>
      </c>
      <c r="F14" s="58">
        <v>81</v>
      </c>
      <c r="G14" s="121">
        <v>3.15</v>
      </c>
      <c r="H14" s="121"/>
      <c r="I14" s="114" t="str">
        <f>IF(ISNA(VLOOKUP(F14,Declarations!B$6:C$185,2,FALSE)),"",IF(VLOOKUP(F14,Declarations!B$6:C$185,2,FALSE)="","NOT DECLARED",VLOOKUP(F14,Declarations!B$6:C$185,2,FALSE)))</f>
        <v>FREYA BURGE</v>
      </c>
      <c r="J14" s="112">
        <f>IF(LOWER(LEFT(G14,1))="n",1,VLOOKUP(G14,ScoringTable!D$2:I$95,6))</f>
        <v>41</v>
      </c>
      <c r="K14" s="112" t="str">
        <f>IF(OR(E14="",G14=""),"",IF(RIGHT(E14,1)="G",_xlfn.XLOOKUP(G14,Data!$D$14:$L$14,Data!$D$9:$L$9,"",-1,1),_xlfn.XLOOKUP(G14,Data!$D$7:$L$7,Data!$D$2:$L$2,"",-1,1)))</f>
        <v>PB6</v>
      </c>
      <c r="L14" s="160" t="str" cm="1">
        <f t="array" ref="L14">IFERROR(_xlfn.IFNA(
                      _xlfn.IFS(
                      G14="", "",
                      AND(E14="U12B",G14&gt;=Data!$M$7), "U12 Boys record",
                      AND(E14="U12G",G14&gt;=Data!$M$14), "U12 Girls record"
                       ),""), "")</f>
        <v/>
      </c>
      <c r="M14" s="18" cm="1">
        <f t="array" ref="M14">_xlfn.IFS($G14="",0, AND(NOT(ISNUMBER($G14)),LOWER(LEFT($G14,1))&lt;&gt;"n"),"Not a valid distance",OR(LOWER(LEFT($G14,1))="n",$G14&lt;ScoringTable!$O$161),1,RIGHT($E14,1)="B",_xlfn.XLOOKUP($G14,ScoringTable!$O$2:$O$161,ScoringTable!$L$2:$L$161,,-1),TRUE,_xlfn.XLOOKUP($G14,ScoringTable!$U$2:$U$161,ScoringTable!$R$2:$R$161,,-1))</f>
        <v>75</v>
      </c>
    </row>
    <row r="15" spans="1:13" s="7" customFormat="1" ht="16.05" customHeight="1">
      <c r="A15" s="113" t="s">
        <v>99</v>
      </c>
      <c r="B15" s="114" t="str">
        <f>IF(ISNA(VLOOKUP($F15,Declarations!B$6:C$185,2,FALSE)),"",IF(VLOOKUP($F15,Declarations!B$6:C$185,2,FALSE)="","NOT DECLARED",IF(ISNA(_xlfn.TEXTBEFORE(VLOOKUP($F15,Declarations!B$6:C$185,2,FALSE)," ")),VLOOKUP($F15,Declarations!B$6:C$185,2,FALSE),_xlfn.TEXTBEFORE(VLOOKUP($F15,Declarations!B$6:C$185,2,FALSE)," "))))</f>
        <v>MATILDA</v>
      </c>
      <c r="C15" s="114" t="str">
        <f>IF(ISNA(VLOOKUP($F15,Declarations!B$6:C$185,2,FALSE)),"",IF(VLOOKUP($F15,Declarations!B$6:C$185,2,FALSE)="","NOT DECLARED",IF(ISNA(_xlfn.TEXTAFTER(VLOOKUP($F15,Declarations!B$6:C$185,2,FALSE)," ")),VLOOKUP($F15,Declarations!B$6:C$185,2,FALSE),_xlfn.TEXTAFTER(VLOOKUP($F15,Declarations!B$6:C$185,2,FALSE)," "))))</f>
        <v>KEER</v>
      </c>
      <c r="D15" s="114" t="str">
        <f>IF(ISNA(VLOOKUP($F15,Declarations!$B$6:$F$185,5,FALSE)),"",IF(VLOOKUP($F15,Declarations!$B$6:$F$185,5,FALSE)="","NOT DECLARED",VLOOKUP($F15,Declarations!$B$6:$F$185,5,FALSE)))</f>
        <v>Waverley Athletics Club</v>
      </c>
      <c r="E15" s="112" t="str">
        <f>IF(ISNA(VLOOKUP($F15,Declarations!$B$6:$D$185,3,FALSE)),"",IF(VLOOKUP($F15,Declarations!$B$6:$D$185,3,FALSE)="","NOT DECLARED",VLOOKUP($F15,Declarations!$B$6:$D$185,3,FALSE)&amp;LEFT(VLOOKUP($F15,Declarations!$B$6:$E$185,4,FALSE))))</f>
        <v>U12G</v>
      </c>
      <c r="F15" s="58">
        <v>82</v>
      </c>
      <c r="G15" s="121">
        <v>3.58</v>
      </c>
      <c r="H15" s="121"/>
      <c r="I15" s="114" t="str">
        <f>IF(ISNA(VLOOKUP(F15,Declarations!B$6:C$185,2,FALSE)),"",IF(VLOOKUP(F15,Declarations!B$6:C$185,2,FALSE)="","NOT DECLARED",VLOOKUP(F15,Declarations!B$6:C$185,2,FALSE)))</f>
        <v>MATILDA KEER</v>
      </c>
      <c r="J15" s="112">
        <f>IF(LOWER(LEFT(G15,1))="n",1,VLOOKUP(G15,ScoringTable!D$2:I$95,6))</f>
        <v>56</v>
      </c>
      <c r="K15" s="112" t="str">
        <f>IF(OR(E15="",G15=""),"",IF(RIGHT(E15,1)="G",_xlfn.XLOOKUP(G15,Data!$D$14:$L$14,Data!$D$9:$L$9,"",-1,1),_xlfn.XLOOKUP(G15,Data!$D$7:$L$7,Data!$D$2:$L$2,"",-1,1)))</f>
        <v>PB8</v>
      </c>
      <c r="L15" s="160" t="str" cm="1">
        <f t="array" ref="L15">IFERROR(_xlfn.IFNA(
                      _xlfn.IFS(
                      G15="", "",
                      AND(E15="U12B",G15&gt;=Data!$M$7), "U12 Boys record",
                      AND(E15="U12G",G15&gt;=Data!$M$14), "U12 Girls record"
                       ),""), "")</f>
        <v/>
      </c>
      <c r="M15" s="18" cm="1">
        <f t="array" ref="M15">_xlfn.IFS($G15="",0, AND(NOT(ISNUMBER($G15)),LOWER(LEFT($G15,1))&lt;&gt;"n"),"Not a valid distance",OR(LOWER(LEFT($G15,1))="n",$G15&lt;ScoringTable!$O$161),1,RIGHT($E15,1)="B",_xlfn.XLOOKUP($G15,ScoringTable!$O$2:$O$161,ScoringTable!$L$2:$L$161,,-1),TRUE,_xlfn.XLOOKUP($G15,ScoringTable!$U$2:$U$161,ScoringTable!$R$2:$R$161,,-1))</f>
        <v>92</v>
      </c>
    </row>
    <row r="16" spans="1:13" s="7" customFormat="1" ht="16.05" customHeight="1">
      <c r="A16" s="113" t="s">
        <v>99</v>
      </c>
      <c r="B16" s="114" t="str">
        <f>IF(ISNA(VLOOKUP($F16,Declarations!B$6:C$185,2,FALSE)),"",IF(VLOOKUP($F16,Declarations!B$6:C$185,2,FALSE)="","NOT DECLARED",IF(ISNA(_xlfn.TEXTBEFORE(VLOOKUP($F16,Declarations!B$6:C$185,2,FALSE)," ")),VLOOKUP($F16,Declarations!B$6:C$185,2,FALSE),_xlfn.TEXTBEFORE(VLOOKUP($F16,Declarations!B$6:C$185,2,FALSE)," "))))</f>
        <v>ELEANOR</v>
      </c>
      <c r="C16" s="114" t="str">
        <f>IF(ISNA(VLOOKUP($F16,Declarations!B$6:C$185,2,FALSE)),"",IF(VLOOKUP($F16,Declarations!B$6:C$185,2,FALSE)="","NOT DECLARED",IF(ISNA(_xlfn.TEXTAFTER(VLOOKUP($F16,Declarations!B$6:C$185,2,FALSE)," ")),VLOOKUP($F16,Declarations!B$6:C$185,2,FALSE),_xlfn.TEXTAFTER(VLOOKUP($F16,Declarations!B$6:C$185,2,FALSE)," "))))</f>
        <v>OLALEMI</v>
      </c>
      <c r="D16" s="114" t="str">
        <f>IF(ISNA(VLOOKUP($F16,Declarations!$B$6:$F$185,5,FALSE)),"",IF(VLOOKUP($F16,Declarations!$B$6:$F$185,5,FALSE)="","NOT DECLARED",VLOOKUP($F16,Declarations!$B$6:$F$185,5,FALSE)))</f>
        <v>Waverley Athletics Club</v>
      </c>
      <c r="E16" s="112" t="str">
        <f>IF(ISNA(VLOOKUP($F16,Declarations!$B$6:$D$185,3,FALSE)),"",IF(VLOOKUP($F16,Declarations!$B$6:$D$185,3,FALSE)="","NOT DECLARED",VLOOKUP($F16,Declarations!$B$6:$D$185,3,FALSE)&amp;LEFT(VLOOKUP($F16,Declarations!$B$6:$E$185,4,FALSE))))</f>
        <v>U12G</v>
      </c>
      <c r="F16" s="58">
        <v>83</v>
      </c>
      <c r="G16" s="121">
        <v>2.34</v>
      </c>
      <c r="H16" s="121"/>
      <c r="I16" s="114" t="str">
        <f>IF(ISNA(VLOOKUP(F16,Declarations!B$6:C$185,2,FALSE)),"",IF(VLOOKUP(F16,Declarations!B$6:C$185,2,FALSE)="","NOT DECLARED",VLOOKUP(F16,Declarations!B$6:C$185,2,FALSE)))</f>
        <v>ELEANOR OLALEMI</v>
      </c>
      <c r="J16" s="112">
        <f>IF(LOWER(LEFT(G16,1))="n",1,VLOOKUP(G16,ScoringTable!D$2:I$95,6))</f>
        <v>14</v>
      </c>
      <c r="K16" s="112" t="str">
        <f>IF(OR(E16="",G16=""),"",IF(RIGHT(E16,1)="G",_xlfn.XLOOKUP(G16,Data!$D$14:$L$14,Data!$D$9:$L$9,"",-1,1),_xlfn.XLOOKUP(G16,Data!$D$7:$L$7,Data!$D$2:$L$2,"",-1,1)))</f>
        <v>PB3</v>
      </c>
      <c r="L16" s="160" t="str" cm="1">
        <f t="array" ref="L16">IFERROR(_xlfn.IFNA(
                      _xlfn.IFS(
                      G16="", "",
                      AND(E16="U12B",G16&gt;=Data!$M$7), "U12 Boys record",
                      AND(E16="U12G",G16&gt;=Data!$M$14), "U12 Girls record"
                       ),""), "")</f>
        <v/>
      </c>
      <c r="M16" s="18" cm="1">
        <f t="array" ref="M16">_xlfn.IFS($G16="",0, AND(NOT(ISNUMBER($G16)),LOWER(LEFT($G16,1))&lt;&gt;"n"),"Not a valid distance",OR(LOWER(LEFT($G16,1))="n",$G16&lt;ScoringTable!$O$161),1,RIGHT($E16,1)="B",_xlfn.XLOOKUP($G16,ScoringTable!$O$2:$O$161,ScoringTable!$L$2:$L$161,,-1),TRUE,_xlfn.XLOOKUP($G16,ScoringTable!$U$2:$U$161,ScoringTable!$R$2:$R$161,,-1))</f>
        <v>43</v>
      </c>
    </row>
    <row r="17" spans="1:13" s="7" customFormat="1" ht="16.05" customHeight="1">
      <c r="A17" s="113" t="s">
        <v>99</v>
      </c>
      <c r="B17" s="114" t="str">
        <f>IF(ISNA(VLOOKUP($F17,Declarations!B$6:C$185,2,FALSE)),"",IF(VLOOKUP($F17,Declarations!B$6:C$185,2,FALSE)="","NOT DECLARED",IF(ISNA(_xlfn.TEXTBEFORE(VLOOKUP($F17,Declarations!B$6:C$185,2,FALSE)," ")),VLOOKUP($F17,Declarations!B$6:C$185,2,FALSE),_xlfn.TEXTBEFORE(VLOOKUP($F17,Declarations!B$6:C$185,2,FALSE)," "))))</f>
        <v>FREYA</v>
      </c>
      <c r="C17" s="114" t="str">
        <f>IF(ISNA(VLOOKUP($F17,Declarations!B$6:C$185,2,FALSE)),"",IF(VLOOKUP($F17,Declarations!B$6:C$185,2,FALSE)="","NOT DECLARED",IF(ISNA(_xlfn.TEXTAFTER(VLOOKUP($F17,Declarations!B$6:C$185,2,FALSE)," ")),VLOOKUP($F17,Declarations!B$6:C$185,2,FALSE),_xlfn.TEXTAFTER(VLOOKUP($F17,Declarations!B$6:C$185,2,FALSE)," "))))</f>
        <v>MCKENZIE</v>
      </c>
      <c r="D17" s="114" t="str">
        <f>IF(ISNA(VLOOKUP($F17,Declarations!$B$6:$F$185,5,FALSE)),"",IF(VLOOKUP($F17,Declarations!$B$6:$F$185,5,FALSE)="","NOT DECLARED",VLOOKUP($F17,Declarations!$B$6:$F$185,5,FALSE)))</f>
        <v>Waverley Athletics Club</v>
      </c>
      <c r="E17" s="112" t="str">
        <f>IF(ISNA(VLOOKUP($F17,Declarations!$B$6:$D$185,3,FALSE)),"",IF(VLOOKUP($F17,Declarations!$B$6:$D$185,3,FALSE)="","NOT DECLARED",VLOOKUP($F17,Declarations!$B$6:$D$185,3,FALSE)&amp;LEFT(VLOOKUP($F17,Declarations!$B$6:$E$185,4,FALSE))))</f>
        <v>U12G</v>
      </c>
      <c r="F17" s="58">
        <v>84</v>
      </c>
      <c r="G17" s="121">
        <v>3.63</v>
      </c>
      <c r="H17" s="121"/>
      <c r="I17" s="114" t="str">
        <f>IF(ISNA(VLOOKUP(F17,Declarations!B$6:C$185,2,FALSE)),"",IF(VLOOKUP(F17,Declarations!B$6:C$185,2,FALSE)="","NOT DECLARED",VLOOKUP(F17,Declarations!B$6:C$185,2,FALSE)))</f>
        <v>FREYA MCKENZIE</v>
      </c>
      <c r="J17" s="112">
        <f>IF(LOWER(LEFT(G17,1))="n",1,VLOOKUP(G17,ScoringTable!D$2:I$95,6))</f>
        <v>57</v>
      </c>
      <c r="K17" s="112" t="str">
        <f>IF(OR(E17="",G17=""),"",IF(RIGHT(E17,1)="G",_xlfn.XLOOKUP(G17,Data!$D$14:$L$14,Data!$D$9:$L$9,"",-1,1),_xlfn.XLOOKUP(G17,Data!$D$7:$L$7,Data!$D$2:$L$2,"",-1,1)))</f>
        <v>PB8</v>
      </c>
      <c r="L17" s="160" t="str" cm="1">
        <f t="array" ref="L17">IFERROR(_xlfn.IFNA(
                      _xlfn.IFS(
                      G17="", "",
                      AND(E17="U12B",G17&gt;=Data!$M$7), "U12 Boys record",
                      AND(E17="U12G",G17&gt;=Data!$M$14), "U12 Girls record"
                       ),""), "")</f>
        <v/>
      </c>
      <c r="M17" s="18" cm="1">
        <f t="array" ref="M17">_xlfn.IFS($G17="",0, AND(NOT(ISNUMBER($G17)),LOWER(LEFT($G17,1))&lt;&gt;"n"),"Not a valid distance",OR(LOWER(LEFT($G17,1))="n",$G17&lt;ScoringTable!$O$161),1,RIGHT($E17,1)="B",_xlfn.XLOOKUP($G17,ScoringTable!$O$2:$O$161,ScoringTable!$L$2:$L$161,,-1),TRUE,_xlfn.XLOOKUP($G17,ScoringTable!$U$2:$U$161,ScoringTable!$R$2:$R$161,,-1))</f>
        <v>94</v>
      </c>
    </row>
    <row r="18" spans="1:13" s="7" customFormat="1" ht="16.05" customHeight="1">
      <c r="A18" s="113" t="s">
        <v>99</v>
      </c>
      <c r="B18" s="114" t="str">
        <f>IF(ISNA(VLOOKUP($F18,Declarations!B$6:C$185,2,FALSE)),"",IF(VLOOKUP($F18,Declarations!B$6:C$185,2,FALSE)="","NOT DECLARED",IF(ISNA(_xlfn.TEXTBEFORE(VLOOKUP($F18,Declarations!B$6:C$185,2,FALSE)," ")),VLOOKUP($F18,Declarations!B$6:C$185,2,FALSE),_xlfn.TEXTBEFORE(VLOOKUP($F18,Declarations!B$6:C$185,2,FALSE)," "))))</f>
        <v>SOPHIE</v>
      </c>
      <c r="C18" s="114" t="str">
        <f>IF(ISNA(VLOOKUP($F18,Declarations!B$6:C$185,2,FALSE)),"",IF(VLOOKUP($F18,Declarations!B$6:C$185,2,FALSE)="","NOT DECLARED",IF(ISNA(_xlfn.TEXTAFTER(VLOOKUP($F18,Declarations!B$6:C$185,2,FALSE)," ")),VLOOKUP($F18,Declarations!B$6:C$185,2,FALSE),_xlfn.TEXTAFTER(VLOOKUP($F18,Declarations!B$6:C$185,2,FALSE)," "))))</f>
        <v>HALL</v>
      </c>
      <c r="D18" s="114" t="str">
        <f>IF(ISNA(VLOOKUP($F18,Declarations!$B$6:$F$185,5,FALSE)),"",IF(VLOOKUP($F18,Declarations!$B$6:$F$185,5,FALSE)="","NOT DECLARED",VLOOKUP($F18,Declarations!$B$6:$F$185,5,FALSE)))</f>
        <v>Waverley Athletics Club</v>
      </c>
      <c r="E18" s="112" t="str">
        <f>IF(ISNA(VLOOKUP($F18,Declarations!$B$6:$D$185,3,FALSE)),"",IF(VLOOKUP($F18,Declarations!$B$6:$D$185,3,FALSE)="","NOT DECLARED",VLOOKUP($F18,Declarations!$B$6:$D$185,3,FALSE)&amp;LEFT(VLOOKUP($F18,Declarations!$B$6:$E$185,4,FALSE))))</f>
        <v>U12G</v>
      </c>
      <c r="F18" s="58">
        <v>85</v>
      </c>
      <c r="G18" s="121">
        <v>3.48</v>
      </c>
      <c r="H18" s="121"/>
      <c r="I18" s="114" t="str">
        <f>IF(ISNA(VLOOKUP(F18,Declarations!B$6:C$185,2,FALSE)),"",IF(VLOOKUP(F18,Declarations!B$6:C$185,2,FALSE)="","NOT DECLARED",VLOOKUP(F18,Declarations!B$6:C$185,2,FALSE)))</f>
        <v>SOPHIE HALL</v>
      </c>
      <c r="J18" s="112">
        <f>IF(LOWER(LEFT(G18,1))="n",1,VLOOKUP(G18,ScoringTable!D$2:I$95,6))</f>
        <v>52</v>
      </c>
      <c r="K18" s="112" t="str">
        <f>IF(OR(E18="",G18=""),"",IF(RIGHT(E18,1)="G",_xlfn.XLOOKUP(G18,Data!$D$14:$L$14,Data!$D$9:$L$9,"",-1,1),_xlfn.XLOOKUP(G18,Data!$D$7:$L$7,Data!$D$2:$L$2,"",-1,1)))</f>
        <v>PB7</v>
      </c>
      <c r="L18" s="160" t="str" cm="1">
        <f t="array" ref="L18">IFERROR(_xlfn.IFNA(
                      _xlfn.IFS(
                      G18="", "",
                      AND(E18="U12B",G18&gt;=Data!$M$7), "U12 Boys record",
                      AND(E18="U12G",G18&gt;=Data!$M$14), "U12 Girls record"
                       ),""), "")</f>
        <v/>
      </c>
      <c r="M18" s="18" cm="1">
        <f t="array" ref="M18">_xlfn.IFS($G18="",0, AND(NOT(ISNUMBER($G18)),LOWER(LEFT($G18,1))&lt;&gt;"n"),"Not a valid distance",OR(LOWER(LEFT($G18,1))="n",$G18&lt;ScoringTable!$O$161),1,RIGHT($E18,1)="B",_xlfn.XLOOKUP($G18,ScoringTable!$O$2:$O$161,ScoringTable!$L$2:$L$161,,-1),TRUE,_xlfn.XLOOKUP($G18,ScoringTable!$U$2:$U$161,ScoringTable!$R$2:$R$161,,-1))</f>
        <v>89</v>
      </c>
    </row>
    <row r="19" spans="1:13" s="7" customFormat="1" ht="16.05" customHeight="1">
      <c r="A19" s="113" t="s">
        <v>99</v>
      </c>
      <c r="B19" s="114" t="str">
        <f>IF(ISNA(VLOOKUP($F19,Declarations!B$6:C$185,2,FALSE)),"",IF(VLOOKUP($F19,Declarations!B$6:C$185,2,FALSE)="","NOT DECLARED",IF(ISNA(_xlfn.TEXTBEFORE(VLOOKUP($F19,Declarations!B$6:C$185,2,FALSE)," ")),VLOOKUP($F19,Declarations!B$6:C$185,2,FALSE),_xlfn.TEXTBEFORE(VLOOKUP($F19,Declarations!B$6:C$185,2,FALSE)," "))))</f>
        <v>EMILY</v>
      </c>
      <c r="C19" s="114" t="str">
        <f>IF(ISNA(VLOOKUP($F19,Declarations!B$6:C$185,2,FALSE)),"",IF(VLOOKUP($F19,Declarations!B$6:C$185,2,FALSE)="","NOT DECLARED",IF(ISNA(_xlfn.TEXTAFTER(VLOOKUP($F19,Declarations!B$6:C$185,2,FALSE)," ")),VLOOKUP($F19,Declarations!B$6:C$185,2,FALSE),_xlfn.TEXTAFTER(VLOOKUP($F19,Declarations!B$6:C$185,2,FALSE)," "))))</f>
        <v>HANAK</v>
      </c>
      <c r="D19" s="114" t="str">
        <f>IF(ISNA(VLOOKUP($F19,Declarations!$B$6:$F$185,5,FALSE)),"",IF(VLOOKUP($F19,Declarations!$B$6:$F$185,5,FALSE)="","NOT DECLARED",VLOOKUP($F19,Declarations!$B$6:$F$185,5,FALSE)))</f>
        <v>Waverley Athletics Club</v>
      </c>
      <c r="E19" s="112" t="str">
        <f>IF(ISNA(VLOOKUP($F19,Declarations!$B$6:$D$185,3,FALSE)),"",IF(VLOOKUP($F19,Declarations!$B$6:$D$185,3,FALSE)="","NOT DECLARED",VLOOKUP($F19,Declarations!$B$6:$D$185,3,FALSE)&amp;LEFT(VLOOKUP($F19,Declarations!$B$6:$E$185,4,FALSE))))</f>
        <v>U12G</v>
      </c>
      <c r="F19" s="58">
        <v>86</v>
      </c>
      <c r="G19" s="121">
        <v>3.24</v>
      </c>
      <c r="H19" s="121"/>
      <c r="I19" s="114" t="str">
        <f>IF(ISNA(VLOOKUP(F19,Declarations!B$6:C$185,2,FALSE)),"",IF(VLOOKUP(F19,Declarations!B$6:C$185,2,FALSE)="","NOT DECLARED",VLOOKUP(F19,Declarations!B$6:C$185,2,FALSE)))</f>
        <v>EMILY HANAK</v>
      </c>
      <c r="J19" s="112">
        <f>IF(LOWER(LEFT(G19,1))="n",1,VLOOKUP(G19,ScoringTable!D$2:I$95,6))</f>
        <v>44</v>
      </c>
      <c r="K19" s="112" t="str">
        <f>IF(OR(E19="",G19=""),"",IF(RIGHT(E19,1)="G",_xlfn.XLOOKUP(G19,Data!$D$14:$L$14,Data!$D$9:$L$9,"",-1,1),_xlfn.XLOOKUP(G19,Data!$D$7:$L$7,Data!$D$2:$L$2,"",-1,1)))</f>
        <v>PB6</v>
      </c>
      <c r="L19" s="160" t="str" cm="1">
        <f t="array" ref="L19">IFERROR(_xlfn.IFNA(
                      _xlfn.IFS(
                      G19="", "",
                      AND(E19="U12B",G19&gt;=Data!$M$7), "U12 Boys record",
                      AND(E19="U12G",G19&gt;=Data!$M$14), "U12 Girls record"
                       ),""), "")</f>
        <v/>
      </c>
      <c r="M19" s="18" cm="1">
        <f t="array" ref="M19">_xlfn.IFS($G19="",0, AND(NOT(ISNUMBER($G19)),LOWER(LEFT($G19,1))&lt;&gt;"n"),"Not a valid distance",OR(LOWER(LEFT($G19,1))="n",$G19&lt;ScoringTable!$O$161),1,RIGHT($E19,1)="B",_xlfn.XLOOKUP($G19,ScoringTable!$O$2:$O$161,ScoringTable!$L$2:$L$161,,-1),TRUE,_xlfn.XLOOKUP($G19,ScoringTable!$U$2:$U$161,ScoringTable!$R$2:$R$161,,-1))</f>
        <v>79</v>
      </c>
    </row>
    <row r="20" spans="1:13" s="7" customFormat="1" ht="16.05" customHeight="1">
      <c r="A20" s="113" t="s">
        <v>99</v>
      </c>
      <c r="B20" s="114" t="str">
        <f>IF(ISNA(VLOOKUP($F20,Declarations!B$6:C$185,2,FALSE)),"",IF(VLOOKUP($F20,Declarations!B$6:C$185,2,FALSE)="","NOT DECLARED",IF(ISNA(_xlfn.TEXTBEFORE(VLOOKUP($F20,Declarations!B$6:C$185,2,FALSE)," ")),VLOOKUP($F20,Declarations!B$6:C$185,2,FALSE),_xlfn.TEXTBEFORE(VLOOKUP($F20,Declarations!B$6:C$185,2,FALSE)," "))))</f>
        <v>LYRA</v>
      </c>
      <c r="C20" s="114" t="str">
        <f>IF(ISNA(VLOOKUP($F20,Declarations!B$6:C$185,2,FALSE)),"",IF(VLOOKUP($F20,Declarations!B$6:C$185,2,FALSE)="","NOT DECLARED",IF(ISNA(_xlfn.TEXTAFTER(VLOOKUP($F20,Declarations!B$6:C$185,2,FALSE)," ")),VLOOKUP($F20,Declarations!B$6:C$185,2,FALSE),_xlfn.TEXTAFTER(VLOOKUP($F20,Declarations!B$6:C$185,2,FALSE)," "))))</f>
        <v>JINKS</v>
      </c>
      <c r="D20" s="114" t="str">
        <f>IF(ISNA(VLOOKUP($F20,Declarations!$B$6:$F$185,5,FALSE)),"",IF(VLOOKUP($F20,Declarations!$B$6:$F$185,5,FALSE)="","NOT DECLARED",VLOOKUP($F20,Declarations!$B$6:$F$185,5,FALSE)))</f>
        <v>Basingstoke &amp; Mid Hants AC</v>
      </c>
      <c r="E20" s="112" t="str">
        <f>IF(ISNA(VLOOKUP($F20,Declarations!$B$6:$D$185,3,FALSE)),"",IF(VLOOKUP($F20,Declarations!$B$6:$D$185,3,FALSE)="","NOT DECLARED",VLOOKUP($F20,Declarations!$B$6:$D$185,3,FALSE)&amp;LEFT(VLOOKUP($F20,Declarations!$B$6:$E$185,4,FALSE))))</f>
        <v>U12G</v>
      </c>
      <c r="F20" s="58">
        <v>101</v>
      </c>
      <c r="G20" s="121">
        <v>2.88</v>
      </c>
      <c r="H20" s="121"/>
      <c r="I20" s="114" t="str">
        <f>IF(ISNA(VLOOKUP(F20,Declarations!B$6:C$185,2,FALSE)),"",IF(VLOOKUP(F20,Declarations!B$6:C$185,2,FALSE)="","NOT DECLARED",VLOOKUP(F20,Declarations!B$6:C$185,2,FALSE)))</f>
        <v>LYRA JINKS</v>
      </c>
      <c r="J20" s="112">
        <f>IF(LOWER(LEFT(G20,1))="n",1,VLOOKUP(G20,ScoringTable!D$2:I$95,6))</f>
        <v>32</v>
      </c>
      <c r="K20" s="112" t="str">
        <f>IF(OR(E20="",G20=""),"",IF(RIGHT(E20,1)="G",_xlfn.XLOOKUP(G20,Data!$D$14:$L$14,Data!$D$9:$L$9,"",-1,1),_xlfn.XLOOKUP(G20,Data!$D$7:$L$7,Data!$D$2:$L$2,"",-1,1)))</f>
        <v>PB5</v>
      </c>
      <c r="L20" s="160" t="str" cm="1">
        <f t="array" ref="L20">IFERROR(_xlfn.IFNA(
                      _xlfn.IFS(
                      G20="", "",
                      AND(E20="U12B",G20&gt;=Data!$M$7), "U12 Boys record",
                      AND(E20="U12G",G20&gt;=Data!$M$14), "U12 Girls record"
                       ),""), "")</f>
        <v/>
      </c>
      <c r="M20" s="18" cm="1">
        <f t="array" ref="M20">_xlfn.IFS($G20="",0, AND(NOT(ISNUMBER($G20)),LOWER(LEFT($G20,1))&lt;&gt;"n"),"Not a valid distance",OR(LOWER(LEFT($G20,1))="n",$G20&lt;ScoringTable!$O$161),1,RIGHT($E20,1)="B",_xlfn.XLOOKUP($G20,ScoringTable!$O$2:$O$161,ScoringTable!$L$2:$L$161,,-1),TRUE,_xlfn.XLOOKUP($G20,ScoringTable!$U$2:$U$161,ScoringTable!$R$2:$R$161,,-1))</f>
        <v>64</v>
      </c>
    </row>
    <row r="21" spans="1:13" s="3" customFormat="1" ht="16.05" customHeight="1">
      <c r="A21" s="113" t="s">
        <v>99</v>
      </c>
      <c r="B21" s="114" t="str">
        <f>IF(ISNA(VLOOKUP($F21,Declarations!B$6:C$185,2,FALSE)),"",IF(VLOOKUP($F21,Declarations!B$6:C$185,2,FALSE)="","NOT DECLARED",IF(ISNA(_xlfn.TEXTBEFORE(VLOOKUP($F21,Declarations!B$6:C$185,2,FALSE)," ")),VLOOKUP($F21,Declarations!B$6:C$185,2,FALSE),_xlfn.TEXTBEFORE(VLOOKUP($F21,Declarations!B$6:C$185,2,FALSE)," "))))</f>
        <v>NORA</v>
      </c>
      <c r="C21" s="114" t="str">
        <f>IF(ISNA(VLOOKUP($F21,Declarations!B$6:C$185,2,FALSE)),"",IF(VLOOKUP($F21,Declarations!B$6:C$185,2,FALSE)="","NOT DECLARED",IF(ISNA(_xlfn.TEXTAFTER(VLOOKUP($F21,Declarations!B$6:C$185,2,FALSE)," ")),VLOOKUP($F21,Declarations!B$6:C$185,2,FALSE),_xlfn.TEXTAFTER(VLOOKUP($F21,Declarations!B$6:C$185,2,FALSE)," "))))</f>
        <v>POFF</v>
      </c>
      <c r="D21" s="114" t="str">
        <f>IF(ISNA(VLOOKUP($F21,Declarations!$B$6:$F$185,5,FALSE)),"",IF(VLOOKUP($F21,Declarations!$B$6:$F$185,5,FALSE)="","NOT DECLARED",VLOOKUP($F21,Declarations!$B$6:$F$185,5,FALSE)))</f>
        <v>Basingstoke &amp; Mid Hants AC</v>
      </c>
      <c r="E21" s="112" t="str">
        <f>IF(ISNA(VLOOKUP($F21,Declarations!$B$6:$D$185,3,FALSE)),"",IF(VLOOKUP($F21,Declarations!$B$6:$D$185,3,FALSE)="","NOT DECLARED",VLOOKUP($F21,Declarations!$B$6:$D$185,3,FALSE)&amp;LEFT(VLOOKUP($F21,Declarations!$B$6:$E$185,4,FALSE))))</f>
        <v>U12G</v>
      </c>
      <c r="F21" s="58">
        <v>102</v>
      </c>
      <c r="G21" s="121">
        <v>2.87</v>
      </c>
      <c r="H21" s="121"/>
      <c r="I21" s="114" t="str">
        <f>IF(ISNA(VLOOKUP(F21,Declarations!B$6:C$185,2,FALSE)),"",IF(VLOOKUP(F21,Declarations!B$6:C$185,2,FALSE)="","NOT DECLARED",VLOOKUP(F21,Declarations!B$6:C$185,2,FALSE)))</f>
        <v>NORA POFF</v>
      </c>
      <c r="J21" s="112">
        <f>IF(LOWER(LEFT(G21,1))="n",1,VLOOKUP(G21,ScoringTable!D$2:I$95,6))</f>
        <v>32</v>
      </c>
      <c r="K21" s="112" t="str">
        <f>IF(OR(E21="",G21=""),"",IF(RIGHT(E21,1)="G",_xlfn.XLOOKUP(G21,Data!$D$14:$L$14,Data!$D$9:$L$9,"",-1,1),_xlfn.XLOOKUP(G21,Data!$D$7:$L$7,Data!$D$2:$L$2,"",-1,1)))</f>
        <v>PB5</v>
      </c>
      <c r="L21" s="160" t="str" cm="1">
        <f t="array" ref="L21">IFERROR(_xlfn.IFNA(
                      _xlfn.IFS(
                      G21="", "",
                      AND(E21="U12B",G21&gt;=Data!$M$7), "U12 Boys record",
                      AND(E21="U12G",G21&gt;=Data!$M$14), "U12 Girls record"
                       ),""), "")</f>
        <v/>
      </c>
      <c r="M21" s="18" cm="1">
        <f t="array" ref="M21">_xlfn.IFS($G21="",0, AND(NOT(ISNUMBER($G21)),LOWER(LEFT($G21,1))&lt;&gt;"n"),"Not a valid distance",OR(LOWER(LEFT($G21,1))="n",$G21&lt;ScoringTable!$O$161),1,RIGHT($E21,1)="B",_xlfn.XLOOKUP($G21,ScoringTable!$O$2:$O$161,ScoringTable!$L$2:$L$161,,-1),TRUE,_xlfn.XLOOKUP($G21,ScoringTable!$U$2:$U$161,ScoringTable!$R$2:$R$161,,-1))</f>
        <v>64</v>
      </c>
    </row>
    <row r="22" spans="1:13" s="3" customFormat="1" ht="16.05" customHeight="1">
      <c r="A22" s="113" t="s">
        <v>99</v>
      </c>
      <c r="B22" s="114" t="str">
        <f>IF(ISNA(VLOOKUP($F22,Declarations!B$6:C$185,2,FALSE)),"",IF(VLOOKUP($F22,Declarations!B$6:C$185,2,FALSE)="","NOT DECLARED",IF(ISNA(_xlfn.TEXTBEFORE(VLOOKUP($F22,Declarations!B$6:C$185,2,FALSE)," ")),VLOOKUP($F22,Declarations!B$6:C$185,2,FALSE),_xlfn.TEXTBEFORE(VLOOKUP($F22,Declarations!B$6:C$185,2,FALSE)," "))))</f>
        <v>ISLA</v>
      </c>
      <c r="C22" s="114" t="str">
        <f>IF(ISNA(VLOOKUP($F22,Declarations!B$6:C$185,2,FALSE)),"",IF(VLOOKUP($F22,Declarations!B$6:C$185,2,FALSE)="","NOT DECLARED",IF(ISNA(_xlfn.TEXTAFTER(VLOOKUP($F22,Declarations!B$6:C$185,2,FALSE)," ")),VLOOKUP($F22,Declarations!B$6:C$185,2,FALSE),_xlfn.TEXTAFTER(VLOOKUP($F22,Declarations!B$6:C$185,2,FALSE)," "))))</f>
        <v>HOBBINS</v>
      </c>
      <c r="D22" s="114" t="str">
        <f>IF(ISNA(VLOOKUP($F22,Declarations!$B$6:$F$185,5,FALSE)),"",IF(VLOOKUP($F22,Declarations!$B$6:$F$185,5,FALSE)="","NOT DECLARED",VLOOKUP($F22,Declarations!$B$6:$F$185,5,FALSE)))</f>
        <v>Basingstoke &amp; Mid Hants AC</v>
      </c>
      <c r="E22" s="112" t="str">
        <f>IF(ISNA(VLOOKUP($F22,Declarations!$B$6:$D$185,3,FALSE)),"",IF(VLOOKUP($F22,Declarations!$B$6:$D$185,3,FALSE)="","NOT DECLARED",VLOOKUP($F22,Declarations!$B$6:$D$185,3,FALSE)&amp;LEFT(VLOOKUP($F22,Declarations!$B$6:$E$185,4,FALSE))))</f>
        <v>U12G</v>
      </c>
      <c r="F22" s="58">
        <v>103</v>
      </c>
      <c r="G22" s="121">
        <v>2.83</v>
      </c>
      <c r="H22" s="121"/>
      <c r="I22" s="114" t="str">
        <f>IF(ISNA(VLOOKUP(F22,Declarations!B$6:C$185,2,FALSE)),"",IF(VLOOKUP(F22,Declarations!B$6:C$185,2,FALSE)="","NOT DECLARED",VLOOKUP(F22,Declarations!B$6:C$185,2,FALSE)))</f>
        <v>ISLA HOBBINS</v>
      </c>
      <c r="J22" s="112">
        <f>IF(LOWER(LEFT(G22,1))="n",1,VLOOKUP(G22,ScoringTable!D$2:I$95,6))</f>
        <v>31</v>
      </c>
      <c r="K22" s="112" t="str">
        <f>IF(OR(E22="",G22=""),"",IF(RIGHT(E22,1)="G",_xlfn.XLOOKUP(G22,Data!$D$14:$L$14,Data!$D$9:$L$9,"",-1,1),_xlfn.XLOOKUP(G22,Data!$D$7:$L$7,Data!$D$2:$L$2,"",-1,1)))</f>
        <v>PB5</v>
      </c>
      <c r="L22" s="160" t="str" cm="1">
        <f t="array" ref="L22">IFERROR(_xlfn.IFNA(
                      _xlfn.IFS(
                      G22="", "",
                      AND(E22="U12B",G22&gt;=Data!$M$7), "U12 Boys record",
                      AND(E22="U12G",G22&gt;=Data!$M$14), "U12 Girls record"
                       ),""), "")</f>
        <v/>
      </c>
      <c r="M22" s="18" cm="1">
        <f t="array" ref="M22">_xlfn.IFS($G22="",0, AND(NOT(ISNUMBER($G22)),LOWER(LEFT($G22,1))&lt;&gt;"n"),"Not a valid distance",OR(LOWER(LEFT($G22,1))="n",$G22&lt;ScoringTable!$O$161),1,RIGHT($E22,1)="B",_xlfn.XLOOKUP($G22,ScoringTable!$O$2:$O$161,ScoringTable!$L$2:$L$161,,-1),TRUE,_xlfn.XLOOKUP($G22,ScoringTable!$U$2:$U$161,ScoringTable!$R$2:$R$161,,-1))</f>
        <v>62</v>
      </c>
    </row>
    <row r="23" spans="1:13" s="3" customFormat="1" ht="16.05" customHeight="1">
      <c r="A23" s="113" t="s">
        <v>99</v>
      </c>
      <c r="B23" s="114" t="str">
        <f>IF(ISNA(VLOOKUP($F23,Declarations!B$6:C$185,2,FALSE)),"",IF(VLOOKUP($F23,Declarations!B$6:C$185,2,FALSE)="","NOT DECLARED",IF(ISNA(_xlfn.TEXTBEFORE(VLOOKUP($F23,Declarations!B$6:C$185,2,FALSE)," ")),VLOOKUP($F23,Declarations!B$6:C$185,2,FALSE),_xlfn.TEXTBEFORE(VLOOKUP($F23,Declarations!B$6:C$185,2,FALSE)," "))))</f>
        <v>BEATRICE</v>
      </c>
      <c r="C23" s="114" t="str">
        <f>IF(ISNA(VLOOKUP($F23,Declarations!B$6:C$185,2,FALSE)),"",IF(VLOOKUP($F23,Declarations!B$6:C$185,2,FALSE)="","NOT DECLARED",IF(ISNA(_xlfn.TEXTAFTER(VLOOKUP($F23,Declarations!B$6:C$185,2,FALSE)," ")),VLOOKUP($F23,Declarations!B$6:C$185,2,FALSE),_xlfn.TEXTAFTER(VLOOKUP($F23,Declarations!B$6:C$185,2,FALSE)," "))))</f>
        <v>MONCAD</v>
      </c>
      <c r="D23" s="114" t="str">
        <f>IF(ISNA(VLOOKUP($F23,Declarations!$B$6:$F$185,5,FALSE)),"",IF(VLOOKUP($F23,Declarations!$B$6:$F$185,5,FALSE)="","NOT DECLARED",VLOOKUP($F23,Declarations!$B$6:$F$185,5,FALSE)))</f>
        <v>Basingstoke &amp; Mid Hants AC</v>
      </c>
      <c r="E23" s="112" t="str">
        <f>IF(ISNA(VLOOKUP($F23,Declarations!$B$6:$D$185,3,FALSE)),"",IF(VLOOKUP($F23,Declarations!$B$6:$D$185,3,FALSE)="","NOT DECLARED",VLOOKUP($F23,Declarations!$B$6:$D$185,3,FALSE)&amp;LEFT(VLOOKUP($F23,Declarations!$B$6:$E$185,4,FALSE))))</f>
        <v>U12G</v>
      </c>
      <c r="F23" s="58">
        <v>104</v>
      </c>
      <c r="G23" s="121">
        <v>2.5499999999999998</v>
      </c>
      <c r="H23" s="121"/>
      <c r="I23" s="114" t="str">
        <f>IF(ISNA(VLOOKUP(F23,Declarations!B$6:C$185,2,FALSE)),"",IF(VLOOKUP(F23,Declarations!B$6:C$185,2,FALSE)="","NOT DECLARED",VLOOKUP(F23,Declarations!B$6:C$185,2,FALSE)))</f>
        <v>BEATRICE MONCAD</v>
      </c>
      <c r="J23" s="112">
        <f>IF(LOWER(LEFT(G23,1))="n",1,VLOOKUP(G23,ScoringTable!D$2:I$95,6))</f>
        <v>21</v>
      </c>
      <c r="K23" s="112" t="str">
        <f>IF(OR(E23="",G23=""),"",IF(RIGHT(E23,1)="G",_xlfn.XLOOKUP(G23,Data!$D$14:$L$14,Data!$D$9:$L$9,"",-1,1),_xlfn.XLOOKUP(G23,Data!$D$7:$L$7,Data!$D$2:$L$2,"",-1,1)))</f>
        <v>PB4</v>
      </c>
      <c r="L23" s="160" t="str" cm="1">
        <f t="array" ref="L23">IFERROR(_xlfn.IFNA(
                      _xlfn.IFS(
                      G23="", "",
                      AND(E23="U12B",G23&gt;=Data!$M$7), "U12 Boys record",
                      AND(E23="U12G",G23&gt;=Data!$M$14), "U12 Girls record"
                       ),""), "")</f>
        <v/>
      </c>
      <c r="M23" s="18" cm="1">
        <f t="array" ref="M23">_xlfn.IFS($G23="",0, AND(NOT(ISNUMBER($G23)),LOWER(LEFT($G23,1))&lt;&gt;"n"),"Not a valid distance",OR(LOWER(LEFT($G23,1))="n",$G23&lt;ScoringTable!$O$161),1,RIGHT($E23,1)="B",_xlfn.XLOOKUP($G23,ScoringTable!$O$2:$O$161,ScoringTable!$L$2:$L$161,,-1),TRUE,_xlfn.XLOOKUP($G23,ScoringTable!$U$2:$U$161,ScoringTable!$R$2:$R$161,,-1))</f>
        <v>51</v>
      </c>
    </row>
    <row r="24" spans="1:13" s="7" customFormat="1" ht="16.05" customHeight="1">
      <c r="A24" s="113" t="s">
        <v>99</v>
      </c>
      <c r="B24" s="114" t="str">
        <f>IF(ISNA(VLOOKUP($F24,Declarations!B$6:C$185,2,FALSE)),"",IF(VLOOKUP($F24,Declarations!B$6:C$185,2,FALSE)="","NOT DECLARED",IF(ISNA(_xlfn.TEXTBEFORE(VLOOKUP($F24,Declarations!B$6:C$185,2,FALSE)," ")),VLOOKUP($F24,Declarations!B$6:C$185,2,FALSE),_xlfn.TEXTBEFORE(VLOOKUP($F24,Declarations!B$6:C$185,2,FALSE)," "))))</f>
        <v>BETH</v>
      </c>
      <c r="C24" s="114" t="str">
        <f>IF(ISNA(VLOOKUP($F24,Declarations!B$6:C$185,2,FALSE)),"",IF(VLOOKUP($F24,Declarations!B$6:C$185,2,FALSE)="","NOT DECLARED",IF(ISNA(_xlfn.TEXTAFTER(VLOOKUP($F24,Declarations!B$6:C$185,2,FALSE)," ")),VLOOKUP($F24,Declarations!B$6:C$185,2,FALSE),_xlfn.TEXTAFTER(VLOOKUP($F24,Declarations!B$6:C$185,2,FALSE)," "))))</f>
        <v>BOLE</v>
      </c>
      <c r="D24" s="114" t="str">
        <f>IF(ISNA(VLOOKUP($F24,Declarations!$B$6:$F$185,5,FALSE)),"",IF(VLOOKUP($F24,Declarations!$B$6:$F$185,5,FALSE)="","NOT DECLARED",VLOOKUP($F24,Declarations!$B$6:$F$185,5,FALSE)))</f>
        <v>Basingstoke &amp; Mid Hants AC</v>
      </c>
      <c r="E24" s="112" t="str">
        <f>IF(ISNA(VLOOKUP($F24,Declarations!$B$6:$D$185,3,FALSE)),"",IF(VLOOKUP($F24,Declarations!$B$6:$D$185,3,FALSE)="","NOT DECLARED",VLOOKUP($F24,Declarations!$B$6:$D$185,3,FALSE)&amp;LEFT(VLOOKUP($F24,Declarations!$B$6:$E$185,4,FALSE))))</f>
        <v>U12G</v>
      </c>
      <c r="F24" s="58">
        <v>105</v>
      </c>
      <c r="G24" s="121">
        <v>2.83</v>
      </c>
      <c r="H24" s="121"/>
      <c r="I24" s="114" t="str">
        <f>IF(ISNA(VLOOKUP(F24,Declarations!B$6:C$185,2,FALSE)),"",IF(VLOOKUP(F24,Declarations!B$6:C$185,2,FALSE)="","NOT DECLARED",VLOOKUP(F24,Declarations!B$6:C$185,2,FALSE)))</f>
        <v>BETH BOLE</v>
      </c>
      <c r="J24" s="112">
        <f>IF(LOWER(LEFT(G24,1))="n",1,VLOOKUP(G24,ScoringTable!D$2:I$95,6))</f>
        <v>31</v>
      </c>
      <c r="K24" s="112" t="str">
        <f>IF(OR(E24="",G24=""),"",IF(RIGHT(E24,1)="G",_xlfn.XLOOKUP(G24,Data!$D$14:$L$14,Data!$D$9:$L$9,"",-1,1),_xlfn.XLOOKUP(G24,Data!$D$7:$L$7,Data!$D$2:$L$2,"",-1,1)))</f>
        <v>PB5</v>
      </c>
      <c r="L24" s="160" t="str" cm="1">
        <f t="array" ref="L24">IFERROR(_xlfn.IFNA(
                      _xlfn.IFS(
                      G24="", "",
                      AND(E24="U12B",G24&gt;=Data!$M$7), "U12 Boys record",
                      AND(E24="U12G",G24&gt;=Data!$M$14), "U12 Girls record"
                       ),""), "")</f>
        <v/>
      </c>
      <c r="M24" s="18" cm="1">
        <f t="array" ref="M24">_xlfn.IFS($G24="",0, AND(NOT(ISNUMBER($G24)),LOWER(LEFT($G24,1))&lt;&gt;"n"),"Not a valid distance",OR(LOWER(LEFT($G24,1))="n",$G24&lt;ScoringTable!$O$161),1,RIGHT($E24,1)="B",_xlfn.XLOOKUP($G24,ScoringTable!$O$2:$O$161,ScoringTable!$L$2:$L$161,,-1),TRUE,_xlfn.XLOOKUP($G24,ScoringTable!$U$2:$U$161,ScoringTable!$R$2:$R$161,,-1))</f>
        <v>62</v>
      </c>
    </row>
    <row r="25" spans="1:13" s="7" customFormat="1" ht="16.05" customHeight="1">
      <c r="A25" s="113" t="s">
        <v>99</v>
      </c>
      <c r="B25" s="114" t="str">
        <f>IF(ISNA(VLOOKUP($F25,Declarations!B$6:C$185,2,FALSE)),"",IF(VLOOKUP($F25,Declarations!B$6:C$185,2,FALSE)="","NOT DECLARED",IF(ISNA(_xlfn.TEXTBEFORE(VLOOKUP($F25,Declarations!B$6:C$185,2,FALSE)," ")),VLOOKUP($F25,Declarations!B$6:C$185,2,FALSE),_xlfn.TEXTBEFORE(VLOOKUP($F25,Declarations!B$6:C$185,2,FALSE)," "))))</f>
        <v>KLEMANTINE</v>
      </c>
      <c r="C25" s="114" t="str">
        <f>IF(ISNA(VLOOKUP($F25,Declarations!B$6:C$185,2,FALSE)),"",IF(VLOOKUP($F25,Declarations!B$6:C$185,2,FALSE)="","NOT DECLARED",IF(ISNA(_xlfn.TEXTAFTER(VLOOKUP($F25,Declarations!B$6:C$185,2,FALSE)," ")),VLOOKUP($F25,Declarations!B$6:C$185,2,FALSE),_xlfn.TEXTAFTER(VLOOKUP($F25,Declarations!B$6:C$185,2,FALSE)," "))))</f>
        <v>PATA</v>
      </c>
      <c r="D25" s="114" t="str">
        <f>IF(ISNA(VLOOKUP($F25,Declarations!$B$6:$F$185,5,FALSE)),"",IF(VLOOKUP($F25,Declarations!$B$6:$F$185,5,FALSE)="","NOT DECLARED",VLOOKUP($F25,Declarations!$B$6:$F$185,5,FALSE)))</f>
        <v>Basingstoke &amp; Mid Hants AC</v>
      </c>
      <c r="E25" s="112" t="str">
        <f>IF(ISNA(VLOOKUP($F25,Declarations!$B$6:$D$185,3,FALSE)),"",IF(VLOOKUP($F25,Declarations!$B$6:$D$185,3,FALSE)="","NOT DECLARED",VLOOKUP($F25,Declarations!$B$6:$D$185,3,FALSE)&amp;LEFT(VLOOKUP($F25,Declarations!$B$6:$E$185,4,FALSE))))</f>
        <v>U12G</v>
      </c>
      <c r="F25" s="58">
        <v>106</v>
      </c>
      <c r="G25" s="121">
        <v>3.23</v>
      </c>
      <c r="H25" s="121"/>
      <c r="I25" s="114" t="str">
        <f>IF(ISNA(VLOOKUP(F25,Declarations!B$6:C$185,2,FALSE)),"",IF(VLOOKUP(F25,Declarations!B$6:C$185,2,FALSE)="","NOT DECLARED",VLOOKUP(F25,Declarations!B$6:C$185,2,FALSE)))</f>
        <v>KLEMANTINE PATA</v>
      </c>
      <c r="J25" s="112">
        <f>IF(LOWER(LEFT(G25,1))="n",1,VLOOKUP(G25,ScoringTable!D$2:I$95,6))</f>
        <v>44</v>
      </c>
      <c r="K25" s="112" t="str">
        <f>IF(OR(E25="",G25=""),"",IF(RIGHT(E25,1)="G",_xlfn.XLOOKUP(G25,Data!$D$14:$L$14,Data!$D$9:$L$9,"",-1,1),_xlfn.XLOOKUP(G25,Data!$D$7:$L$7,Data!$D$2:$L$2,"",-1,1)))</f>
        <v>PB6</v>
      </c>
      <c r="L25" s="160" t="str" cm="1">
        <f t="array" ref="L25">IFERROR(_xlfn.IFNA(
                      _xlfn.IFS(
                      G25="", "",
                      AND(E25="U12B",G25&gt;=Data!$M$7), "U12 Boys record",
                      AND(E25="U12G",G25&gt;=Data!$M$14), "U12 Girls record"
                       ),""), "")</f>
        <v/>
      </c>
      <c r="M25" s="18" cm="1">
        <f t="array" ref="M25">_xlfn.IFS($G25="",0, AND(NOT(ISNUMBER($G25)),LOWER(LEFT($G25,1))&lt;&gt;"n"),"Not a valid distance",OR(LOWER(LEFT($G25,1))="n",$G25&lt;ScoringTable!$O$161),1,RIGHT($E25,1)="B",_xlfn.XLOOKUP($G25,ScoringTable!$O$2:$O$161,ScoringTable!$L$2:$L$161,,-1),TRUE,_xlfn.XLOOKUP($G25,ScoringTable!$U$2:$U$161,ScoringTable!$R$2:$R$161,,-1))</f>
        <v>79</v>
      </c>
    </row>
    <row r="26" spans="1:13" s="7" customFormat="1" ht="16.05" customHeight="1">
      <c r="A26" s="113" t="s">
        <v>99</v>
      </c>
      <c r="B26" s="114" t="str">
        <f>IF(ISNA(VLOOKUP($F26,Declarations!B$6:C$185,2,FALSE)),"",IF(VLOOKUP($F26,Declarations!B$6:C$185,2,FALSE)="","NOT DECLARED",IF(ISNA(_xlfn.TEXTBEFORE(VLOOKUP($F26,Declarations!B$6:C$185,2,FALSE)," ")),VLOOKUP($F26,Declarations!B$6:C$185,2,FALSE),_xlfn.TEXTBEFORE(VLOOKUP($F26,Declarations!B$6:C$185,2,FALSE)," "))))</f>
        <v>EVNI</v>
      </c>
      <c r="C26" s="114" t="str">
        <f>IF(ISNA(VLOOKUP($F26,Declarations!B$6:C$185,2,FALSE)),"",IF(VLOOKUP($F26,Declarations!B$6:C$185,2,FALSE)="","NOT DECLARED",IF(ISNA(_xlfn.TEXTAFTER(VLOOKUP($F26,Declarations!B$6:C$185,2,FALSE)," ")),VLOOKUP($F26,Declarations!B$6:C$185,2,FALSE),_xlfn.TEXTAFTER(VLOOKUP($F26,Declarations!B$6:C$185,2,FALSE)," "))))</f>
        <v>DUNUSINGHE</v>
      </c>
      <c r="D26" s="114" t="str">
        <f>IF(ISNA(VLOOKUP($F26,Declarations!$B$6:$F$185,5,FALSE)),"",IF(VLOOKUP($F26,Declarations!$B$6:$F$185,5,FALSE)="","NOT DECLARED",VLOOKUP($F26,Declarations!$B$6:$F$185,5,FALSE)))</f>
        <v>Camberley &amp; District AC</v>
      </c>
      <c r="E26" s="112" t="str">
        <f>IF(ISNA(VLOOKUP($F26,Declarations!$B$6:$D$185,3,FALSE)),"",IF(VLOOKUP($F26,Declarations!$B$6:$D$185,3,FALSE)="","NOT DECLARED",VLOOKUP($F26,Declarations!$B$6:$D$185,3,FALSE)&amp;LEFT(VLOOKUP($F26,Declarations!$B$6:$E$185,4,FALSE))))</f>
        <v>U12G</v>
      </c>
      <c r="F26" s="58">
        <v>1</v>
      </c>
      <c r="G26" s="121">
        <v>3.42</v>
      </c>
      <c r="H26" s="121"/>
      <c r="I26" s="114" t="str">
        <f>IF(ISNA(VLOOKUP(F26,Declarations!B$6:C$185,2,FALSE)),"",IF(VLOOKUP(F26,Declarations!B$6:C$185,2,FALSE)="","NOT DECLARED",VLOOKUP(F26,Declarations!B$6:C$185,2,FALSE)))</f>
        <v>EVNI DUNUSINGHE</v>
      </c>
      <c r="J26" s="112">
        <f>IF(LOWER(LEFT(G26,1))="n",1,VLOOKUP(G26,ScoringTable!D$2:I$95,6))</f>
        <v>50</v>
      </c>
      <c r="K26" s="112" t="str">
        <f>IF(OR(E26="",G26=""),"",IF(RIGHT(E26,1)="G",_xlfn.XLOOKUP(G26,Data!$D$14:$L$14,Data!$D$9:$L$9,"",-1,1),_xlfn.XLOOKUP(G26,Data!$D$7:$L$7,Data!$D$2:$L$2,"",-1,1)))</f>
        <v>PB7</v>
      </c>
      <c r="L26" s="160" t="str" cm="1">
        <f t="array" ref="L26">IFERROR(_xlfn.IFNA(
                      _xlfn.IFS(
                      G26="", "",
                      AND(E26="U12B",G26&gt;=Data!$M$7), "U12 Boys record",
                      AND(E26="U12G",G26&gt;=Data!$M$14), "U12 Girls record"
                       ),""), "")</f>
        <v/>
      </c>
      <c r="M26" s="18" cm="1">
        <f t="array" ref="M26">_xlfn.IFS($G26="",0, AND(NOT(ISNUMBER($G26)),LOWER(LEFT($G26,1))&lt;&gt;"n"),"Not a valid distance",OR(LOWER(LEFT($G26,1))="n",$G26&lt;ScoringTable!$O$161),1,RIGHT($E26,1)="B",_xlfn.XLOOKUP($G26,ScoringTable!$O$2:$O$161,ScoringTable!$L$2:$L$161,,-1),TRUE,_xlfn.XLOOKUP($G26,ScoringTable!$U$2:$U$161,ScoringTable!$R$2:$R$161,,-1))</f>
        <v>86</v>
      </c>
    </row>
    <row r="27" spans="1:13" s="7" customFormat="1" ht="16.05" customHeight="1">
      <c r="A27" s="113" t="s">
        <v>99</v>
      </c>
      <c r="B27" s="114" t="str">
        <f>IF(ISNA(VLOOKUP($F27,Declarations!B$6:C$185,2,FALSE)),"",IF(VLOOKUP($F27,Declarations!B$6:C$185,2,FALSE)="","NOT DECLARED",IF(ISNA(_xlfn.TEXTBEFORE(VLOOKUP($F27,Declarations!B$6:C$185,2,FALSE)," ")),VLOOKUP($F27,Declarations!B$6:C$185,2,FALSE),_xlfn.TEXTBEFORE(VLOOKUP($F27,Declarations!B$6:C$185,2,FALSE)," "))))</f>
        <v>POPPY</v>
      </c>
      <c r="C27" s="114" t="str">
        <f>IF(ISNA(VLOOKUP($F27,Declarations!B$6:C$185,2,FALSE)),"",IF(VLOOKUP($F27,Declarations!B$6:C$185,2,FALSE)="","NOT DECLARED",IF(ISNA(_xlfn.TEXTAFTER(VLOOKUP($F27,Declarations!B$6:C$185,2,FALSE)," ")),VLOOKUP($F27,Declarations!B$6:C$185,2,FALSE),_xlfn.TEXTAFTER(VLOOKUP($F27,Declarations!B$6:C$185,2,FALSE)," "))))</f>
        <v>READ</v>
      </c>
      <c r="D27" s="114" t="str">
        <f>IF(ISNA(VLOOKUP($F27,Declarations!$B$6:$F$185,5,FALSE)),"",IF(VLOOKUP($F27,Declarations!$B$6:$F$185,5,FALSE)="","NOT DECLARED",VLOOKUP($F27,Declarations!$B$6:$F$185,5,FALSE)))</f>
        <v>Camberley &amp; District AC</v>
      </c>
      <c r="E27" s="112" t="str">
        <f>IF(ISNA(VLOOKUP($F27,Declarations!$B$6:$D$185,3,FALSE)),"",IF(VLOOKUP($F27,Declarations!$B$6:$D$185,3,FALSE)="","NOT DECLARED",VLOOKUP($F27,Declarations!$B$6:$D$185,3,FALSE)&amp;LEFT(VLOOKUP($F27,Declarations!$B$6:$E$185,4,FALSE))))</f>
        <v>U12G</v>
      </c>
      <c r="F27" s="58">
        <v>2</v>
      </c>
      <c r="G27" s="121">
        <v>3.35</v>
      </c>
      <c r="H27" s="121"/>
      <c r="I27" s="114" t="str">
        <f>IF(ISNA(VLOOKUP(F27,Declarations!B$6:C$185,2,FALSE)),"",IF(VLOOKUP(F27,Declarations!B$6:C$185,2,FALSE)="","NOT DECLARED",VLOOKUP(F27,Declarations!B$6:C$185,2,FALSE)))</f>
        <v>POPPY READ</v>
      </c>
      <c r="J27" s="112">
        <f>IF(LOWER(LEFT(G27,1))="n",1,VLOOKUP(G27,ScoringTable!D$2:I$95,6))</f>
        <v>48</v>
      </c>
      <c r="K27" s="112" t="str">
        <f>IF(OR(E27="",G27=""),"",IF(RIGHT(E27,1)="G",_xlfn.XLOOKUP(G27,Data!$D$14:$L$14,Data!$D$9:$L$9,"",-1,1),_xlfn.XLOOKUP(G27,Data!$D$7:$L$7,Data!$D$2:$L$2,"",-1,1)))</f>
        <v>PB7</v>
      </c>
      <c r="L27" s="160" t="str" cm="1">
        <f t="array" ref="L27">IFERROR(_xlfn.IFNA(
                      _xlfn.IFS(
                      G27="", "",
                      AND(E27="U12B",G27&gt;=Data!$M$7), "U12 Boys record",
                      AND(E27="U12G",G27&gt;=Data!$M$14), "U12 Girls record"
                       ),""), "")</f>
        <v/>
      </c>
      <c r="M27" s="18" cm="1">
        <f t="array" ref="M27">_xlfn.IFS($G27="",0, AND(NOT(ISNUMBER($G27)),LOWER(LEFT($G27,1))&lt;&gt;"n"),"Not a valid distance",OR(LOWER(LEFT($G27,1))="n",$G27&lt;ScoringTable!$O$161),1,RIGHT($E27,1)="B",_xlfn.XLOOKUP($G27,ScoringTable!$O$2:$O$161,ScoringTable!$L$2:$L$161,,-1),TRUE,_xlfn.XLOOKUP($G27,ScoringTable!$U$2:$U$161,ScoringTable!$R$2:$R$161,,-1))</f>
        <v>83</v>
      </c>
    </row>
    <row r="28" spans="1:13" s="7" customFormat="1" ht="16.05" customHeight="1">
      <c r="A28" s="113" t="s">
        <v>99</v>
      </c>
      <c r="B28" s="114" t="str">
        <f>IF(ISNA(VLOOKUP($F28,Declarations!B$6:C$185,2,FALSE)),"",IF(VLOOKUP($F28,Declarations!B$6:C$185,2,FALSE)="","NOT DECLARED",IF(ISNA(_xlfn.TEXTBEFORE(VLOOKUP($F28,Declarations!B$6:C$185,2,FALSE)," ")),VLOOKUP($F28,Declarations!B$6:C$185,2,FALSE),_xlfn.TEXTBEFORE(VLOOKUP($F28,Declarations!B$6:C$185,2,FALSE)," "))))</f>
        <v>CHARLOTTE</v>
      </c>
      <c r="C28" s="114" t="str">
        <f>IF(ISNA(VLOOKUP($F28,Declarations!B$6:C$185,2,FALSE)),"",IF(VLOOKUP($F28,Declarations!B$6:C$185,2,FALSE)="","NOT DECLARED",IF(ISNA(_xlfn.TEXTAFTER(VLOOKUP($F28,Declarations!B$6:C$185,2,FALSE)," ")),VLOOKUP($F28,Declarations!B$6:C$185,2,FALSE),_xlfn.TEXTAFTER(VLOOKUP($F28,Declarations!B$6:C$185,2,FALSE)," "))))</f>
        <v>SHEPPARD</v>
      </c>
      <c r="D28" s="114" t="str">
        <f>IF(ISNA(VLOOKUP($F28,Declarations!$B$6:$F$185,5,FALSE)),"",IF(VLOOKUP($F28,Declarations!$B$6:$F$185,5,FALSE)="","NOT DECLARED",VLOOKUP($F28,Declarations!$B$6:$F$185,5,FALSE)))</f>
        <v>Camberley &amp; District AC</v>
      </c>
      <c r="E28" s="112" t="str">
        <f>IF(ISNA(VLOOKUP($F28,Declarations!$B$6:$D$185,3,FALSE)),"",IF(VLOOKUP($F28,Declarations!$B$6:$D$185,3,FALSE)="","NOT DECLARED",VLOOKUP($F28,Declarations!$B$6:$D$185,3,FALSE)&amp;LEFT(VLOOKUP($F28,Declarations!$B$6:$E$185,4,FALSE))))</f>
        <v>U12G</v>
      </c>
      <c r="F28" s="58">
        <v>3</v>
      </c>
      <c r="G28" s="121">
        <v>3.37</v>
      </c>
      <c r="H28" s="121"/>
      <c r="I28" s="114" t="str">
        <f>IF(ISNA(VLOOKUP(F28,Declarations!B$6:C$185,2,FALSE)),"",IF(VLOOKUP(F28,Declarations!B$6:C$185,2,FALSE)="","NOT DECLARED",VLOOKUP(F28,Declarations!B$6:C$185,2,FALSE)))</f>
        <v>CHARLOTTE SHEPPARD</v>
      </c>
      <c r="J28" s="112">
        <f>IF(LOWER(LEFT(G28,1))="n",1,VLOOKUP(G28,ScoringTable!D$2:I$95,6))</f>
        <v>49</v>
      </c>
      <c r="K28" s="112" t="str">
        <f>IF(OR(E28="",G28=""),"",IF(RIGHT(E28,1)="G",_xlfn.XLOOKUP(G28,Data!$D$14:$L$14,Data!$D$9:$L$9,"",-1,1),_xlfn.XLOOKUP(G28,Data!$D$7:$L$7,Data!$D$2:$L$2,"",-1,1)))</f>
        <v>PB7</v>
      </c>
      <c r="L28" s="160" t="str" cm="1">
        <f t="array" ref="L28">IFERROR(_xlfn.IFNA(
                      _xlfn.IFS(
                      G28="", "",
                      AND(E28="U12B",G28&gt;=Data!$M$7), "U12 Boys record",
                      AND(E28="U12G",G28&gt;=Data!$M$14), "U12 Girls record"
                       ),""), "")</f>
        <v/>
      </c>
      <c r="M28" s="18" cm="1">
        <f t="array" ref="M28">_xlfn.IFS($G28="",0, AND(NOT(ISNUMBER($G28)),LOWER(LEFT($G28,1))&lt;&gt;"n"),"Not a valid distance",OR(LOWER(LEFT($G28,1))="n",$G28&lt;ScoringTable!$O$161),1,RIGHT($E28,1)="B",_xlfn.XLOOKUP($G28,ScoringTable!$O$2:$O$161,ScoringTable!$L$2:$L$161,,-1),TRUE,_xlfn.XLOOKUP($G28,ScoringTable!$U$2:$U$161,ScoringTable!$R$2:$R$161,,-1))</f>
        <v>84</v>
      </c>
    </row>
    <row r="29" spans="1:13" s="7" customFormat="1" ht="16.05" customHeight="1">
      <c r="A29" s="113" t="s">
        <v>99</v>
      </c>
      <c r="B29" s="114" t="str">
        <f>IF(ISNA(VLOOKUP($F29,Declarations!B$6:C$185,2,FALSE)),"",IF(VLOOKUP($F29,Declarations!B$6:C$185,2,FALSE)="","NOT DECLARED",IF(ISNA(_xlfn.TEXTBEFORE(VLOOKUP($F29,Declarations!B$6:C$185,2,FALSE)," ")),VLOOKUP($F29,Declarations!B$6:C$185,2,FALSE),_xlfn.TEXTBEFORE(VLOOKUP($F29,Declarations!B$6:C$185,2,FALSE)," "))))</f>
        <v>AVA</v>
      </c>
      <c r="C29" s="114" t="str">
        <f>IF(ISNA(VLOOKUP($F29,Declarations!B$6:C$185,2,FALSE)),"",IF(VLOOKUP($F29,Declarations!B$6:C$185,2,FALSE)="","NOT DECLARED",IF(ISNA(_xlfn.TEXTAFTER(VLOOKUP($F29,Declarations!B$6:C$185,2,FALSE)," ")),VLOOKUP($F29,Declarations!B$6:C$185,2,FALSE),_xlfn.TEXTAFTER(VLOOKUP($F29,Declarations!B$6:C$185,2,FALSE)," "))))</f>
        <v>WANLESS</v>
      </c>
      <c r="D29" s="114" t="str">
        <f>IF(ISNA(VLOOKUP($F29,Declarations!$B$6:$F$185,5,FALSE)),"",IF(VLOOKUP($F29,Declarations!$B$6:$F$185,5,FALSE)="","NOT DECLARED",VLOOKUP($F29,Declarations!$B$6:$F$185,5,FALSE)))</f>
        <v>Camberley &amp; District AC</v>
      </c>
      <c r="E29" s="112" t="str">
        <f>IF(ISNA(VLOOKUP($F29,Declarations!$B$6:$D$185,3,FALSE)),"",IF(VLOOKUP($F29,Declarations!$B$6:$D$185,3,FALSE)="","NOT DECLARED",VLOOKUP($F29,Declarations!$B$6:$D$185,3,FALSE)&amp;LEFT(VLOOKUP($F29,Declarations!$B$6:$E$185,4,FALSE))))</f>
        <v>U12G</v>
      </c>
      <c r="F29" s="58">
        <v>4</v>
      </c>
      <c r="G29" s="121">
        <v>2.99</v>
      </c>
      <c r="H29" s="121"/>
      <c r="I29" s="114" t="str">
        <f>IF(ISNA(VLOOKUP(F29,Declarations!B$6:C$185,2,FALSE)),"",IF(VLOOKUP(F29,Declarations!B$6:C$185,2,FALSE)="","NOT DECLARED",VLOOKUP(F29,Declarations!B$6:C$185,2,FALSE)))</f>
        <v>AVA WANLESS</v>
      </c>
      <c r="J29" s="112">
        <f>IF(LOWER(LEFT(G29,1))="n",1,VLOOKUP(G29,ScoringTable!D$2:I$95,6))</f>
        <v>36</v>
      </c>
      <c r="K29" s="112" t="str">
        <f>IF(OR(E29="",G29=""),"",IF(RIGHT(E29,1)="G",_xlfn.XLOOKUP(G29,Data!$D$14:$L$14,Data!$D$9:$L$9,"",-1,1),_xlfn.XLOOKUP(G29,Data!$D$7:$L$7,Data!$D$2:$L$2,"",-1,1)))</f>
        <v>PB5</v>
      </c>
      <c r="L29" s="160" t="str" cm="1">
        <f t="array" ref="L29">IFERROR(_xlfn.IFNA(
                      _xlfn.IFS(
                      G29="", "",
                      AND(E29="U12B",G29&gt;=Data!$M$7), "U12 Boys record",
                      AND(E29="U12G",G29&gt;=Data!$M$14), "U12 Girls record"
                       ),""), "")</f>
        <v/>
      </c>
      <c r="M29" s="18" cm="1">
        <f t="array" ref="M29">_xlfn.IFS($G29="",0, AND(NOT(ISNUMBER($G29)),LOWER(LEFT($G29,1))&lt;&gt;"n"),"Not a valid distance",OR(LOWER(LEFT($G29,1))="n",$G29&lt;ScoringTable!$O$161),1,RIGHT($E29,1)="B",_xlfn.XLOOKUP($G29,ScoringTable!$O$2:$O$161,ScoringTable!$L$2:$L$161,,-1),TRUE,_xlfn.XLOOKUP($G29,ScoringTable!$U$2:$U$161,ScoringTable!$R$2:$R$161,,-1))</f>
        <v>69</v>
      </c>
    </row>
    <row r="30" spans="1:13" s="7" customFormat="1" ht="16.05" customHeight="1">
      <c r="A30" s="113" t="s">
        <v>99</v>
      </c>
      <c r="B30" s="114" t="str">
        <f>IF(ISNA(VLOOKUP($F30,Declarations!B$6:C$185,2,FALSE)),"",IF(VLOOKUP($F30,Declarations!B$6:C$185,2,FALSE)="","NOT DECLARED",IF(ISNA(_xlfn.TEXTBEFORE(VLOOKUP($F30,Declarations!B$6:C$185,2,FALSE)," ")),VLOOKUP($F30,Declarations!B$6:C$185,2,FALSE),_xlfn.TEXTBEFORE(VLOOKUP($F30,Declarations!B$6:C$185,2,FALSE)," "))))</f>
        <v>EMILIA-MAE</v>
      </c>
      <c r="C30" s="114" t="str">
        <f>IF(ISNA(VLOOKUP($F30,Declarations!B$6:C$185,2,FALSE)),"",IF(VLOOKUP($F30,Declarations!B$6:C$185,2,FALSE)="","NOT DECLARED",IF(ISNA(_xlfn.TEXTAFTER(VLOOKUP($F30,Declarations!B$6:C$185,2,FALSE)," ")),VLOOKUP($F30,Declarations!B$6:C$185,2,FALSE),_xlfn.TEXTAFTER(VLOOKUP($F30,Declarations!B$6:C$185,2,FALSE)," "))))</f>
        <v>O'DWYER</v>
      </c>
      <c r="D30" s="114" t="str">
        <f>IF(ISNA(VLOOKUP($F30,Declarations!$B$6:$F$185,5,FALSE)),"",IF(VLOOKUP($F30,Declarations!$B$6:$F$185,5,FALSE)="","NOT DECLARED",VLOOKUP($F30,Declarations!$B$6:$F$185,5,FALSE)))</f>
        <v>Camberley &amp; District AC</v>
      </c>
      <c r="E30" s="112" t="str">
        <f>IF(ISNA(VLOOKUP($F30,Declarations!$B$6:$D$185,3,FALSE)),"",IF(VLOOKUP($F30,Declarations!$B$6:$D$185,3,FALSE)="","NOT DECLARED",VLOOKUP($F30,Declarations!$B$6:$D$185,3,FALSE)&amp;LEFT(VLOOKUP($F30,Declarations!$B$6:$E$185,4,FALSE))))</f>
        <v>U12G</v>
      </c>
      <c r="F30" s="58">
        <v>5</v>
      </c>
      <c r="G30" s="121">
        <v>3.49</v>
      </c>
      <c r="H30" s="121"/>
      <c r="I30" s="114" t="str">
        <f>IF(ISNA(VLOOKUP(F30,Declarations!B$6:C$185,2,FALSE)),"",IF(VLOOKUP(F30,Declarations!B$6:C$185,2,FALSE)="","NOT DECLARED",VLOOKUP(F30,Declarations!B$6:C$185,2,FALSE)))</f>
        <v>EMILIA-MAE O'DWYER</v>
      </c>
      <c r="J30" s="112">
        <f>IF(LOWER(LEFT(G30,1))="n",1,VLOOKUP(G30,ScoringTable!D$2:I$95,6))</f>
        <v>53</v>
      </c>
      <c r="K30" s="112" t="str">
        <f>IF(OR(E30="",G30=""),"",IF(RIGHT(E30,1)="G",_xlfn.XLOOKUP(G30,Data!$D$14:$L$14,Data!$D$9:$L$9,"",-1,1),_xlfn.XLOOKUP(G30,Data!$D$7:$L$7,Data!$D$2:$L$2,"",-1,1)))</f>
        <v>PB7</v>
      </c>
      <c r="L30" s="160" t="str" cm="1">
        <f t="array" ref="L30">IFERROR(_xlfn.IFNA(
                      _xlfn.IFS(
                      G30="", "",
                      AND(E30="U12B",G30&gt;=Data!$M$7), "U12 Boys record",
                      AND(E30="U12G",G30&gt;=Data!$M$14), "U12 Girls record"
                       ),""), "")</f>
        <v/>
      </c>
      <c r="M30" s="18" cm="1">
        <f t="array" ref="M30">_xlfn.IFS($G30="",0, AND(NOT(ISNUMBER($G30)),LOWER(LEFT($G30,1))&lt;&gt;"n"),"Not a valid distance",OR(LOWER(LEFT($G30,1))="n",$G30&lt;ScoringTable!$O$161),1,RIGHT($E30,1)="B",_xlfn.XLOOKUP($G30,ScoringTable!$O$2:$O$161,ScoringTable!$L$2:$L$161,,-1),TRUE,_xlfn.XLOOKUP($G30,ScoringTable!$U$2:$U$161,ScoringTable!$R$2:$R$161,,-1))</f>
        <v>89</v>
      </c>
    </row>
    <row r="31" spans="1:13" s="7" customFormat="1" ht="16.05" customHeight="1">
      <c r="A31" s="113" t="s">
        <v>99</v>
      </c>
      <c r="B31" s="114" t="str">
        <f>IF(ISNA(VLOOKUP($F31,Declarations!B$6:C$185,2,FALSE)),"",IF(VLOOKUP($F31,Declarations!B$6:C$185,2,FALSE)="","NOT DECLARED",IF(ISNA(_xlfn.TEXTBEFORE(VLOOKUP($F31,Declarations!B$6:C$185,2,FALSE)," ")),VLOOKUP($F31,Declarations!B$6:C$185,2,FALSE),_xlfn.TEXTBEFORE(VLOOKUP($F31,Declarations!B$6:C$185,2,FALSE)," "))))</f>
        <v>RUBY</v>
      </c>
      <c r="C31" s="114" t="str">
        <f>IF(ISNA(VLOOKUP($F31,Declarations!B$6:C$185,2,FALSE)),"",IF(VLOOKUP($F31,Declarations!B$6:C$185,2,FALSE)="","NOT DECLARED",IF(ISNA(_xlfn.TEXTAFTER(VLOOKUP($F31,Declarations!B$6:C$185,2,FALSE)," ")),VLOOKUP($F31,Declarations!B$6:C$185,2,FALSE),_xlfn.TEXTAFTER(VLOOKUP($F31,Declarations!B$6:C$185,2,FALSE)," "))))</f>
        <v>WILLIAMS</v>
      </c>
      <c r="D31" s="114" t="str">
        <f>IF(ISNA(VLOOKUP($F31,Declarations!$B$6:$F$185,5,FALSE)),"",IF(VLOOKUP($F31,Declarations!$B$6:$F$185,5,FALSE)="","NOT DECLARED",VLOOKUP($F31,Declarations!$B$6:$F$185,5,FALSE)))</f>
        <v>Camberley &amp; District AC</v>
      </c>
      <c r="E31" s="112" t="str">
        <f>IF(ISNA(VLOOKUP($F31,Declarations!$B$6:$D$185,3,FALSE)),"",IF(VLOOKUP($F31,Declarations!$B$6:$D$185,3,FALSE)="","NOT DECLARED",VLOOKUP($F31,Declarations!$B$6:$D$185,3,FALSE)&amp;LEFT(VLOOKUP($F31,Declarations!$B$6:$E$185,4,FALSE))))</f>
        <v>U12G</v>
      </c>
      <c r="F31" s="58">
        <v>6</v>
      </c>
      <c r="G31" s="121">
        <v>3.16</v>
      </c>
      <c r="H31" s="121"/>
      <c r="I31" s="114" t="str">
        <f>IF(ISNA(VLOOKUP(F31,Declarations!B$6:C$185,2,FALSE)),"",IF(VLOOKUP(F31,Declarations!B$6:C$185,2,FALSE)="","NOT DECLARED",VLOOKUP(F31,Declarations!B$6:C$185,2,FALSE)))</f>
        <v>RUBY WILLIAMS</v>
      </c>
      <c r="J31" s="112">
        <f>IF(LOWER(LEFT(G31,1))="n",1,VLOOKUP(G31,ScoringTable!D$2:I$95,6))</f>
        <v>42</v>
      </c>
      <c r="K31" s="112" t="str">
        <f>IF(OR(E31="",G31=""),"",IF(RIGHT(E31,1)="G",_xlfn.XLOOKUP(G31,Data!$D$14:$L$14,Data!$D$9:$L$9,"",-1,1),_xlfn.XLOOKUP(G31,Data!$D$7:$L$7,Data!$D$2:$L$2,"",-1,1)))</f>
        <v>PB6</v>
      </c>
      <c r="L31" s="160" t="str" cm="1">
        <f t="array" ref="L31">IFERROR(_xlfn.IFNA(
                      _xlfn.IFS(
                      G31="", "",
                      AND(E31="U12B",G31&gt;=Data!$M$7), "U12 Boys record",
                      AND(E31="U12G",G31&gt;=Data!$M$14), "U12 Girls record"
                       ),""), "")</f>
        <v/>
      </c>
      <c r="M31" s="18" cm="1">
        <f t="array" ref="M31">_xlfn.IFS($G31="",0, AND(NOT(ISNUMBER($G31)),LOWER(LEFT($G31,1))&lt;&gt;"n"),"Not a valid distance",OR(LOWER(LEFT($G31,1))="n",$G31&lt;ScoringTable!$O$161),1,RIGHT($E31,1)="B",_xlfn.XLOOKUP($G31,ScoringTable!$O$2:$O$161,ScoringTable!$L$2:$L$161,,-1),TRUE,_xlfn.XLOOKUP($G31,ScoringTable!$U$2:$U$161,ScoringTable!$R$2:$R$161,,-1))</f>
        <v>75</v>
      </c>
    </row>
    <row r="32" spans="1:13" s="7" customFormat="1" ht="16.05" customHeight="1">
      <c r="A32" s="113" t="s">
        <v>99</v>
      </c>
      <c r="B32" s="114" t="str">
        <f>IF(ISNA(VLOOKUP($F32,Declarations!B$6:C$185,2,FALSE)),"",IF(VLOOKUP($F32,Declarations!B$6:C$185,2,FALSE)="","NOT DECLARED",IF(ISNA(_xlfn.TEXTBEFORE(VLOOKUP($F32,Declarations!B$6:C$185,2,FALSE)," ")),VLOOKUP($F32,Declarations!B$6:C$185,2,FALSE),_xlfn.TEXTBEFORE(VLOOKUP($F32,Declarations!B$6:C$185,2,FALSE)," "))))</f>
        <v>LEA</v>
      </c>
      <c r="C32" s="114" t="str">
        <f>IF(ISNA(VLOOKUP($F32,Declarations!B$6:C$185,2,FALSE)),"",IF(VLOOKUP($F32,Declarations!B$6:C$185,2,FALSE)="","NOT DECLARED",IF(ISNA(_xlfn.TEXTAFTER(VLOOKUP($F32,Declarations!B$6:C$185,2,FALSE)," ")),VLOOKUP($F32,Declarations!B$6:C$185,2,FALSE),_xlfn.TEXTAFTER(VLOOKUP($F32,Declarations!B$6:C$185,2,FALSE)," "))))</f>
        <v>MIZEN</v>
      </c>
      <c r="D32" s="114" t="str">
        <f>IF(ISNA(VLOOKUP($F32,Declarations!$B$6:$F$185,5,FALSE)),"",IF(VLOOKUP($F32,Declarations!$B$6:$F$185,5,FALSE)="","NOT DECLARED",VLOOKUP($F32,Declarations!$B$6:$F$185,5,FALSE)))</f>
        <v>Camberley &amp; District AC</v>
      </c>
      <c r="E32" s="112" t="str">
        <f>IF(ISNA(VLOOKUP($F32,Declarations!$B$6:$D$185,3,FALSE)),"",IF(VLOOKUP($F32,Declarations!$B$6:$D$185,3,FALSE)="","NOT DECLARED",VLOOKUP($F32,Declarations!$B$6:$D$185,3,FALSE)&amp;LEFT(VLOOKUP($F32,Declarations!$B$6:$E$185,4,FALSE))))</f>
        <v>U12G</v>
      </c>
      <c r="F32" s="58">
        <v>7</v>
      </c>
      <c r="G32" s="121">
        <v>3.4</v>
      </c>
      <c r="H32" s="121"/>
      <c r="I32" s="114" t="str">
        <f>IF(ISNA(VLOOKUP(F32,Declarations!B$6:C$185,2,FALSE)),"",IF(VLOOKUP(F32,Declarations!B$6:C$185,2,FALSE)="","NOT DECLARED",VLOOKUP(F32,Declarations!B$6:C$185,2,FALSE)))</f>
        <v>LEA MIZEN</v>
      </c>
      <c r="J32" s="112">
        <f>IF(LOWER(LEFT(G32,1))="n",1,VLOOKUP(G32,ScoringTable!D$2:I$95,6))</f>
        <v>50</v>
      </c>
      <c r="K32" s="112" t="str">
        <f>IF(OR(E32="",G32=""),"",IF(RIGHT(E32,1)="G",_xlfn.XLOOKUP(G32,Data!$D$14:$L$14,Data!$D$9:$L$9,"",-1,1),_xlfn.XLOOKUP(G32,Data!$D$7:$L$7,Data!$D$2:$L$2,"",-1,1)))</f>
        <v>PB7</v>
      </c>
      <c r="L32" s="160" t="str" cm="1">
        <f t="array" ref="L32">IFERROR(_xlfn.IFNA(
                      _xlfn.IFS(
                      G32="", "",
                      AND(E32="U12B",G32&gt;=Data!$M$7), "U12 Boys record",
                      AND(E32="U12G",G32&gt;=Data!$M$14), "U12 Girls record"
                       ),""), "")</f>
        <v/>
      </c>
      <c r="M32" s="18" cm="1">
        <f t="array" ref="M32">_xlfn.IFS($G32="",0, AND(NOT(ISNUMBER($G32)),LOWER(LEFT($G32,1))&lt;&gt;"n"),"Not a valid distance",OR(LOWER(LEFT($G32,1))="n",$G32&lt;ScoringTable!$O$161),1,RIGHT($E32,1)="B",_xlfn.XLOOKUP($G32,ScoringTable!$O$2:$O$161,ScoringTable!$L$2:$L$161,,-1),TRUE,_xlfn.XLOOKUP($G32,ScoringTable!$U$2:$U$161,ScoringTable!$R$2:$R$161,,-1))</f>
        <v>85</v>
      </c>
    </row>
    <row r="33" spans="1:13" s="7" customFormat="1" ht="16.05" customHeight="1">
      <c r="A33" s="113" t="s">
        <v>99</v>
      </c>
      <c r="B33" s="114" t="str">
        <f>IF(ISNA(VLOOKUP($F33,Declarations!B$6:C$185,2,FALSE)),"",IF(VLOOKUP($F33,Declarations!B$6:C$185,2,FALSE)="","NOT DECLARED",IF(ISNA(_xlfn.TEXTBEFORE(VLOOKUP($F33,Declarations!B$6:C$185,2,FALSE)," ")),VLOOKUP($F33,Declarations!B$6:C$185,2,FALSE),_xlfn.TEXTBEFORE(VLOOKUP($F33,Declarations!B$6:C$185,2,FALSE)," "))))</f>
        <v>ELISE</v>
      </c>
      <c r="C33" s="114" t="str">
        <f>IF(ISNA(VLOOKUP($F33,Declarations!B$6:C$185,2,FALSE)),"",IF(VLOOKUP($F33,Declarations!B$6:C$185,2,FALSE)="","NOT DECLARED",IF(ISNA(_xlfn.TEXTAFTER(VLOOKUP($F33,Declarations!B$6:C$185,2,FALSE)," ")),VLOOKUP($F33,Declarations!B$6:C$185,2,FALSE),_xlfn.TEXTAFTER(VLOOKUP($F33,Declarations!B$6:C$185,2,FALSE)," "))))</f>
        <v>ABDELLI</v>
      </c>
      <c r="D33" s="114" t="str">
        <f>IF(ISNA(VLOOKUP($F33,Declarations!$B$6:$F$185,5,FALSE)),"",IF(VLOOKUP($F33,Declarations!$B$6:$F$185,5,FALSE)="","NOT DECLARED",VLOOKUP($F33,Declarations!$B$6:$F$185,5,FALSE)))</f>
        <v>Woking AC</v>
      </c>
      <c r="E33" s="112" t="str">
        <f>IF(ISNA(VLOOKUP($F33,Declarations!$B$6:$D$185,3,FALSE)),"",IF(VLOOKUP($F33,Declarations!$B$6:$D$185,3,FALSE)="","NOT DECLARED",VLOOKUP($F33,Declarations!$B$6:$D$185,3,FALSE)&amp;LEFT(VLOOKUP($F33,Declarations!$B$6:$E$185,4,FALSE))))</f>
        <v>U12G</v>
      </c>
      <c r="F33" s="58">
        <v>21</v>
      </c>
      <c r="G33" s="121">
        <v>3.79</v>
      </c>
      <c r="H33" s="121"/>
      <c r="I33" s="114" t="str">
        <f>IF(ISNA(VLOOKUP(F33,Declarations!B$6:C$185,2,FALSE)),"",IF(VLOOKUP(F33,Declarations!B$6:C$185,2,FALSE)="","NOT DECLARED",VLOOKUP(F33,Declarations!B$6:C$185,2,FALSE)))</f>
        <v>ELISE ABDELLI</v>
      </c>
      <c r="J33" s="112">
        <f>IF(LOWER(LEFT(G33,1))="n",1,VLOOKUP(G33,ScoringTable!D$2:I$95,6))</f>
        <v>63</v>
      </c>
      <c r="K33" s="112" t="str">
        <f>IF(OR(E33="",G33=""),"",IF(RIGHT(E33,1)="G",_xlfn.XLOOKUP(G33,Data!$D$14:$L$14,Data!$D$9:$L$9,"",-1,1),_xlfn.XLOOKUP(G33,Data!$D$7:$L$7,Data!$D$2:$L$2,"",-1,1)))</f>
        <v>PB9</v>
      </c>
      <c r="L33" s="160" t="str" cm="1">
        <f t="array" ref="L33">IFERROR(_xlfn.IFNA(
                      _xlfn.IFS(
                      G33="", "",
                      AND(E33="U12B",G33&gt;=Data!$M$7), "U12 Boys record",
                      AND(E33="U12G",G33&gt;=Data!$M$14), "U12 Girls record"
                       ),""), "")</f>
        <v/>
      </c>
      <c r="M33" s="18" cm="1">
        <f t="array" ref="M33">_xlfn.IFS($G33="",0, AND(NOT(ISNUMBER($G33)),LOWER(LEFT($G33,1))&lt;&gt;"n"),"Not a valid distance",OR(LOWER(LEFT($G33,1))="n",$G33&lt;ScoringTable!$O$161),1,RIGHT($E33,1)="B",_xlfn.XLOOKUP($G33,ScoringTable!$O$2:$O$161,ScoringTable!$L$2:$L$161,,-1),TRUE,_xlfn.XLOOKUP($G33,ScoringTable!$U$2:$U$161,ScoringTable!$R$2:$R$161,,-1))</f>
        <v>101</v>
      </c>
    </row>
    <row r="34" spans="1:13" s="7" customFormat="1" ht="16.05" customHeight="1">
      <c r="A34" s="113" t="s">
        <v>99</v>
      </c>
      <c r="B34" s="114" t="str">
        <f>IF(ISNA(VLOOKUP($F34,Declarations!B$6:C$185,2,FALSE)),"",IF(VLOOKUP($F34,Declarations!B$6:C$185,2,FALSE)="","NOT DECLARED",IF(ISNA(_xlfn.TEXTBEFORE(VLOOKUP($F34,Declarations!B$6:C$185,2,FALSE)," ")),VLOOKUP($F34,Declarations!B$6:C$185,2,FALSE),_xlfn.TEXTBEFORE(VLOOKUP($F34,Declarations!B$6:C$185,2,FALSE)," "))))</f>
        <v>FRANKIE</v>
      </c>
      <c r="C34" s="114" t="str">
        <f>IF(ISNA(VLOOKUP($F34,Declarations!B$6:C$185,2,FALSE)),"",IF(VLOOKUP($F34,Declarations!B$6:C$185,2,FALSE)="","NOT DECLARED",IF(ISNA(_xlfn.TEXTAFTER(VLOOKUP($F34,Declarations!B$6:C$185,2,FALSE)," ")),VLOOKUP($F34,Declarations!B$6:C$185,2,FALSE),_xlfn.TEXTAFTER(VLOOKUP($F34,Declarations!B$6:C$185,2,FALSE)," "))))</f>
        <v>ICETON</v>
      </c>
      <c r="D34" s="114" t="str">
        <f>IF(ISNA(VLOOKUP($F34,Declarations!$B$6:$F$185,5,FALSE)),"",IF(VLOOKUP($F34,Declarations!$B$6:$F$185,5,FALSE)="","NOT DECLARED",VLOOKUP($F34,Declarations!$B$6:$F$185,5,FALSE)))</f>
        <v>Woking AC</v>
      </c>
      <c r="E34" s="112" t="str">
        <f>IF(ISNA(VLOOKUP($F34,Declarations!$B$6:$D$185,3,FALSE)),"",IF(VLOOKUP($F34,Declarations!$B$6:$D$185,3,FALSE)="","NOT DECLARED",VLOOKUP($F34,Declarations!$B$6:$D$185,3,FALSE)&amp;LEFT(VLOOKUP($F34,Declarations!$B$6:$E$185,4,FALSE))))</f>
        <v>U12G</v>
      </c>
      <c r="F34" s="58">
        <v>22</v>
      </c>
      <c r="G34" s="121">
        <v>3.29</v>
      </c>
      <c r="H34" s="121"/>
      <c r="I34" s="114" t="str">
        <f>IF(ISNA(VLOOKUP(F34,Declarations!B$6:C$185,2,FALSE)),"",IF(VLOOKUP(F34,Declarations!B$6:C$185,2,FALSE)="","NOT DECLARED",VLOOKUP(F34,Declarations!B$6:C$185,2,FALSE)))</f>
        <v>FRANKIE ICETON</v>
      </c>
      <c r="J34" s="112">
        <f>IF(LOWER(LEFT(G34,1))="n",1,VLOOKUP(G34,ScoringTable!D$2:I$95,6))</f>
        <v>46</v>
      </c>
      <c r="K34" s="112" t="str">
        <f>IF(OR(E34="",G34=""),"",IF(RIGHT(E34,1)="G",_xlfn.XLOOKUP(G34,Data!$D$14:$L$14,Data!$D$9:$L$9,"",-1,1),_xlfn.XLOOKUP(G34,Data!$D$7:$L$7,Data!$D$2:$L$2,"",-1,1)))</f>
        <v>PB7</v>
      </c>
      <c r="L34" s="160" t="str" cm="1">
        <f t="array" ref="L34">IFERROR(_xlfn.IFNA(
                      _xlfn.IFS(
                      G34="", "",
                      AND(E34="U12B",G34&gt;=Data!$M$7), "U12 Boys record",
                      AND(E34="U12G",G34&gt;=Data!$M$14), "U12 Girls record"
                       ),""), "")</f>
        <v/>
      </c>
      <c r="M34" s="18" cm="1">
        <f t="array" ref="M34">_xlfn.IFS($G34="",0, AND(NOT(ISNUMBER($G34)),LOWER(LEFT($G34,1))&lt;&gt;"n"),"Not a valid distance",OR(LOWER(LEFT($G34,1))="n",$G34&lt;ScoringTable!$O$161),1,RIGHT($E34,1)="B",_xlfn.XLOOKUP($G34,ScoringTable!$O$2:$O$161,ScoringTable!$L$2:$L$161,,-1),TRUE,_xlfn.XLOOKUP($G34,ScoringTable!$U$2:$U$161,ScoringTable!$R$2:$R$161,,-1))</f>
        <v>81</v>
      </c>
    </row>
    <row r="35" spans="1:13" s="7" customFormat="1" ht="16.05" customHeight="1">
      <c r="A35" s="113" t="s">
        <v>99</v>
      </c>
      <c r="B35" s="114" t="str">
        <f>IF(ISNA(VLOOKUP($F35,Declarations!B$6:C$185,2,FALSE)),"",IF(VLOOKUP($F35,Declarations!B$6:C$185,2,FALSE)="","NOT DECLARED",IF(ISNA(_xlfn.TEXTBEFORE(VLOOKUP($F35,Declarations!B$6:C$185,2,FALSE)," ")),VLOOKUP($F35,Declarations!B$6:C$185,2,FALSE),_xlfn.TEXTBEFORE(VLOOKUP($F35,Declarations!B$6:C$185,2,FALSE)," "))))</f>
        <v>ALIYAH</v>
      </c>
      <c r="C35" s="114" t="str">
        <f>IF(ISNA(VLOOKUP($F35,Declarations!B$6:C$185,2,FALSE)),"",IF(VLOOKUP($F35,Declarations!B$6:C$185,2,FALSE)="","NOT DECLARED",IF(ISNA(_xlfn.TEXTAFTER(VLOOKUP($F35,Declarations!B$6:C$185,2,FALSE)," ")),VLOOKUP($F35,Declarations!B$6:C$185,2,FALSE),_xlfn.TEXTAFTER(VLOOKUP($F35,Declarations!B$6:C$185,2,FALSE)," "))))</f>
        <v>KENNAUGH</v>
      </c>
      <c r="D35" s="114" t="str">
        <f>IF(ISNA(VLOOKUP($F35,Declarations!$B$6:$F$185,5,FALSE)),"",IF(VLOOKUP($F35,Declarations!$B$6:$F$185,5,FALSE)="","NOT DECLARED",VLOOKUP($F35,Declarations!$B$6:$F$185,5,FALSE)))</f>
        <v>Woking AC</v>
      </c>
      <c r="E35" s="112" t="str">
        <f>IF(ISNA(VLOOKUP($F35,Declarations!$B$6:$D$185,3,FALSE)),"",IF(VLOOKUP($F35,Declarations!$B$6:$D$185,3,FALSE)="","NOT DECLARED",VLOOKUP($F35,Declarations!$B$6:$D$185,3,FALSE)&amp;LEFT(VLOOKUP($F35,Declarations!$B$6:$E$185,4,FALSE))))</f>
        <v>U12G</v>
      </c>
      <c r="F35" s="58">
        <v>23</v>
      </c>
      <c r="G35" s="121">
        <v>3.11</v>
      </c>
      <c r="H35" s="121"/>
      <c r="I35" s="114" t="str">
        <f>IF(ISNA(VLOOKUP(F35,Declarations!B$6:C$185,2,FALSE)),"",IF(VLOOKUP(F35,Declarations!B$6:C$185,2,FALSE)="","NOT DECLARED",VLOOKUP(F35,Declarations!B$6:C$185,2,FALSE)))</f>
        <v>ALIYAH KENNAUGH</v>
      </c>
      <c r="J35" s="112">
        <f>IF(LOWER(LEFT(G35,1))="n",1,VLOOKUP(G35,ScoringTable!D$2:I$95,6))</f>
        <v>40</v>
      </c>
      <c r="K35" s="112" t="str">
        <f>IF(OR(E35="",G35=""),"",IF(RIGHT(E35,1)="G",_xlfn.XLOOKUP(G35,Data!$D$14:$L$14,Data!$D$9:$L$9,"",-1,1),_xlfn.XLOOKUP(G35,Data!$D$7:$L$7,Data!$D$2:$L$2,"",-1,1)))</f>
        <v>PB6</v>
      </c>
      <c r="L35" s="160" t="str" cm="1">
        <f t="array" ref="L35">IFERROR(_xlfn.IFNA(
                      _xlfn.IFS(
                      G35="", "",
                      AND(E35="U12B",G35&gt;=Data!$M$7), "U12 Boys record",
                      AND(E35="U12G",G35&gt;=Data!$M$14), "U12 Girls record"
                       ),""), "")</f>
        <v/>
      </c>
      <c r="M35" s="18" cm="1">
        <f t="array" ref="M35">_xlfn.IFS($G35="",0, AND(NOT(ISNUMBER($G35)),LOWER(LEFT($G35,1))&lt;&gt;"n"),"Not a valid distance",OR(LOWER(LEFT($G35,1))="n",$G35&lt;ScoringTable!$O$161),1,RIGHT($E35,1)="B",_xlfn.XLOOKUP($G35,ScoringTable!$O$2:$O$161,ScoringTable!$L$2:$L$161,,-1),TRUE,_xlfn.XLOOKUP($G35,ScoringTable!$U$2:$U$161,ScoringTable!$R$2:$R$161,,-1))</f>
        <v>73</v>
      </c>
    </row>
    <row r="36" spans="1:13" s="7" customFormat="1" ht="16.05" customHeight="1">
      <c r="A36" s="113" t="s">
        <v>99</v>
      </c>
      <c r="B36" s="114" t="str">
        <f>IF(ISNA(VLOOKUP($F36,Declarations!B$6:C$185,2,FALSE)),"",IF(VLOOKUP($F36,Declarations!B$6:C$185,2,FALSE)="","NOT DECLARED",IF(ISNA(_xlfn.TEXTBEFORE(VLOOKUP($F36,Declarations!B$6:C$185,2,FALSE)," ")),VLOOKUP($F36,Declarations!B$6:C$185,2,FALSE),_xlfn.TEXTBEFORE(VLOOKUP($F36,Declarations!B$6:C$185,2,FALSE)," "))))</f>
        <v>LILY</v>
      </c>
      <c r="C36" s="114" t="str">
        <f>IF(ISNA(VLOOKUP($F36,Declarations!B$6:C$185,2,FALSE)),"",IF(VLOOKUP($F36,Declarations!B$6:C$185,2,FALSE)="","NOT DECLARED",IF(ISNA(_xlfn.TEXTAFTER(VLOOKUP($F36,Declarations!B$6:C$185,2,FALSE)," ")),VLOOKUP($F36,Declarations!B$6:C$185,2,FALSE),_xlfn.TEXTAFTER(VLOOKUP($F36,Declarations!B$6:C$185,2,FALSE)," "))))</f>
        <v>COPP</v>
      </c>
      <c r="D36" s="114" t="str">
        <f>IF(ISNA(VLOOKUP($F36,Declarations!$B$6:$F$185,5,FALSE)),"",IF(VLOOKUP($F36,Declarations!$B$6:$F$185,5,FALSE)="","NOT DECLARED",VLOOKUP($F36,Declarations!$B$6:$F$185,5,FALSE)))</f>
        <v>Woking AC</v>
      </c>
      <c r="E36" s="112" t="str">
        <f>IF(ISNA(VLOOKUP($F36,Declarations!$B$6:$D$185,3,FALSE)),"",IF(VLOOKUP($F36,Declarations!$B$6:$D$185,3,FALSE)="","NOT DECLARED",VLOOKUP($F36,Declarations!$B$6:$D$185,3,FALSE)&amp;LEFT(VLOOKUP($F36,Declarations!$B$6:$E$185,4,FALSE))))</f>
        <v>U12G</v>
      </c>
      <c r="F36" s="58">
        <v>25</v>
      </c>
      <c r="G36" s="121">
        <v>2.38</v>
      </c>
      <c r="H36" s="121"/>
      <c r="I36" s="114" t="str">
        <f>IF(ISNA(VLOOKUP(F36,Declarations!B$6:C$185,2,FALSE)),"",IF(VLOOKUP(F36,Declarations!B$6:C$185,2,FALSE)="","NOT DECLARED",VLOOKUP(F36,Declarations!B$6:C$185,2,FALSE)))</f>
        <v>LILY COPP</v>
      </c>
      <c r="J36" s="112">
        <f>IF(LOWER(LEFT(G36,1))="n",1,VLOOKUP(G36,ScoringTable!D$2:I$95,6))</f>
        <v>16</v>
      </c>
      <c r="K36" s="112" t="str">
        <f>IF(OR(E36="",G36=""),"",IF(RIGHT(E36,1)="G",_xlfn.XLOOKUP(G36,Data!$D$14:$L$14,Data!$D$9:$L$9,"",-1,1),_xlfn.XLOOKUP(G36,Data!$D$7:$L$7,Data!$D$2:$L$2,"",-1,1)))</f>
        <v>PB3</v>
      </c>
      <c r="L36" s="160" t="str" cm="1">
        <f t="array" ref="L36">IFERROR(_xlfn.IFNA(
                      _xlfn.IFS(
                      G36="", "",
                      AND(E36="U12B",G36&gt;=Data!$M$7), "U12 Boys record",
                      AND(E36="U12G",G36&gt;=Data!$M$14), "U12 Girls record"
                       ),""), "")</f>
        <v/>
      </c>
      <c r="M36" s="18" cm="1">
        <f t="array" ref="M36">_xlfn.IFS($G36="",0, AND(NOT(ISNUMBER($G36)),LOWER(LEFT($G36,1))&lt;&gt;"n"),"Not a valid distance",OR(LOWER(LEFT($G36,1))="n",$G36&lt;ScoringTable!$O$161),1,RIGHT($E36,1)="B",_xlfn.XLOOKUP($G36,ScoringTable!$O$2:$O$161,ScoringTable!$L$2:$L$161,,-1),TRUE,_xlfn.XLOOKUP($G36,ScoringTable!$U$2:$U$161,ScoringTable!$R$2:$R$161,,-1))</f>
        <v>44</v>
      </c>
    </row>
    <row r="37" spans="1:13" s="7" customFormat="1" ht="16.05" customHeight="1">
      <c r="A37" s="113" t="s">
        <v>99</v>
      </c>
      <c r="B37" s="114" t="str">
        <f>IF(ISNA(VLOOKUP($F37,Declarations!B$6:C$185,2,FALSE)),"",IF(VLOOKUP($F37,Declarations!B$6:C$185,2,FALSE)="","NOT DECLARED",IF(ISNA(_xlfn.TEXTBEFORE(VLOOKUP($F37,Declarations!B$6:C$185,2,FALSE)," ")),VLOOKUP($F37,Declarations!B$6:C$185,2,FALSE),_xlfn.TEXTBEFORE(VLOOKUP($F37,Declarations!B$6:C$185,2,FALSE)," "))))</f>
        <v>EDEN</v>
      </c>
      <c r="C37" s="114" t="str">
        <f>IF(ISNA(VLOOKUP($F37,Declarations!B$6:C$185,2,FALSE)),"",IF(VLOOKUP($F37,Declarations!B$6:C$185,2,FALSE)="","NOT DECLARED",IF(ISNA(_xlfn.TEXTAFTER(VLOOKUP($F37,Declarations!B$6:C$185,2,FALSE)," ")),VLOOKUP($F37,Declarations!B$6:C$185,2,FALSE),_xlfn.TEXTAFTER(VLOOKUP($F37,Declarations!B$6:C$185,2,FALSE)," "))))</f>
        <v>WECKI</v>
      </c>
      <c r="D37" s="114" t="str">
        <f>IF(ISNA(VLOOKUP($F37,Declarations!$B$6:$F$185,5,FALSE)),"",IF(VLOOKUP($F37,Declarations!$B$6:$F$185,5,FALSE)="","NOT DECLARED",VLOOKUP($F37,Declarations!$B$6:$F$185,5,FALSE)))</f>
        <v>Woking AC</v>
      </c>
      <c r="E37" s="112" t="str">
        <f>IF(ISNA(VLOOKUP($F37,Declarations!$B$6:$D$185,3,FALSE)),"",IF(VLOOKUP($F37,Declarations!$B$6:$D$185,3,FALSE)="","NOT DECLARED",VLOOKUP($F37,Declarations!$B$6:$D$185,3,FALSE)&amp;LEFT(VLOOKUP($F37,Declarations!$B$6:$E$185,4,FALSE))))</f>
        <v>U12G</v>
      </c>
      <c r="F37" s="58">
        <v>26</v>
      </c>
      <c r="G37" s="121">
        <v>2.66</v>
      </c>
      <c r="H37" s="121"/>
      <c r="I37" s="114" t="str">
        <f>IF(ISNA(VLOOKUP(F37,Declarations!B$6:C$185,2,FALSE)),"",IF(VLOOKUP(F37,Declarations!B$6:C$185,2,FALSE)="","NOT DECLARED",VLOOKUP(F37,Declarations!B$6:C$185,2,FALSE)))</f>
        <v>EDEN WECKI</v>
      </c>
      <c r="J37" s="112">
        <f>IF(LOWER(LEFT(G37,1))="n",1,VLOOKUP(G37,ScoringTable!D$2:I$95,6))</f>
        <v>25</v>
      </c>
      <c r="K37" s="112" t="str">
        <f>IF(OR(E37="",G37=""),"",IF(RIGHT(E37,1)="G",_xlfn.XLOOKUP(G37,Data!$D$14:$L$14,Data!$D$9:$L$9,"",-1,1),_xlfn.XLOOKUP(G37,Data!$D$7:$L$7,Data!$D$2:$L$2,"",-1,1)))</f>
        <v>PB4</v>
      </c>
      <c r="L37" s="160" t="str" cm="1">
        <f t="array" ref="L37">IFERROR(_xlfn.IFNA(
                      _xlfn.IFS(
                      G37="", "",
                      AND(E37="U12B",G37&gt;=Data!$M$7), "U12 Boys record",
                      AND(E37="U12G",G37&gt;=Data!$M$14), "U12 Girls record"
                       ),""), "")</f>
        <v/>
      </c>
      <c r="M37" s="18" cm="1">
        <f t="array" ref="M37">_xlfn.IFS($G37="",0, AND(NOT(ISNUMBER($G37)),LOWER(LEFT($G37,1))&lt;&gt;"n"),"Not a valid distance",OR(LOWER(LEFT($G37,1))="n",$G37&lt;ScoringTable!$O$161),1,RIGHT($E37,1)="B",_xlfn.XLOOKUP($G37,ScoringTable!$O$2:$O$161,ScoringTable!$L$2:$L$161,,-1),TRUE,_xlfn.XLOOKUP($G37,ScoringTable!$U$2:$U$161,ScoringTable!$R$2:$R$161,,-1))</f>
        <v>55</v>
      </c>
    </row>
    <row r="38" spans="1:13" s="7" customFormat="1" ht="16.05" customHeight="1">
      <c r="A38" s="113" t="s">
        <v>99</v>
      </c>
      <c r="B38" s="114" t="str">
        <f>IF(ISNA(VLOOKUP($F38,Declarations!B$6:C$185,2,FALSE)),"",IF(VLOOKUP($F38,Declarations!B$6:C$185,2,FALSE)="","NOT DECLARED",IF(ISNA(_xlfn.TEXTBEFORE(VLOOKUP($F38,Declarations!B$6:C$185,2,FALSE)," ")),VLOOKUP($F38,Declarations!B$6:C$185,2,FALSE),_xlfn.TEXTBEFORE(VLOOKUP($F38,Declarations!B$6:C$185,2,FALSE)," "))))</f>
        <v>SOPHIE</v>
      </c>
      <c r="C38" s="114" t="str">
        <f>IF(ISNA(VLOOKUP($F38,Declarations!B$6:C$185,2,FALSE)),"",IF(VLOOKUP($F38,Declarations!B$6:C$185,2,FALSE)="","NOT DECLARED",IF(ISNA(_xlfn.TEXTAFTER(VLOOKUP($F38,Declarations!B$6:C$185,2,FALSE)," ")),VLOOKUP($F38,Declarations!B$6:C$185,2,FALSE),_xlfn.TEXTAFTER(VLOOKUP($F38,Declarations!B$6:C$185,2,FALSE)," "))))</f>
        <v>GBAJOBI</v>
      </c>
      <c r="D38" s="114" t="str">
        <f>IF(ISNA(VLOOKUP($F38,Declarations!$B$6:$F$185,5,FALSE)),"",IF(VLOOKUP($F38,Declarations!$B$6:$F$185,5,FALSE)="","NOT DECLARED",VLOOKUP($F38,Declarations!$B$6:$F$185,5,FALSE)))</f>
        <v>Woking AC</v>
      </c>
      <c r="E38" s="112" t="str">
        <f>IF(ISNA(VLOOKUP($F38,Declarations!$B$6:$D$185,3,FALSE)),"",IF(VLOOKUP($F38,Declarations!$B$6:$D$185,3,FALSE)="","NOT DECLARED",VLOOKUP($F38,Declarations!$B$6:$D$185,3,FALSE)&amp;LEFT(VLOOKUP($F38,Declarations!$B$6:$E$185,4,FALSE))))</f>
        <v>U12G</v>
      </c>
      <c r="F38" s="58">
        <v>27</v>
      </c>
      <c r="G38" s="121">
        <v>3.45</v>
      </c>
      <c r="H38" s="121"/>
      <c r="I38" s="114" t="str">
        <f>IF(ISNA(VLOOKUP(F38,Declarations!B$6:C$185,2,FALSE)),"",IF(VLOOKUP(F38,Declarations!B$6:C$185,2,FALSE)="","NOT DECLARED",VLOOKUP(F38,Declarations!B$6:C$185,2,FALSE)))</f>
        <v>SOPHIE GBAJOBI</v>
      </c>
      <c r="J38" s="112">
        <f>IF(LOWER(LEFT(G38,1))="n",1,VLOOKUP(G38,ScoringTable!D$2:I$95,6))</f>
        <v>51</v>
      </c>
      <c r="K38" s="112" t="str">
        <f>IF(OR(E38="",G38=""),"",IF(RIGHT(E38,1)="G",_xlfn.XLOOKUP(G38,Data!$D$14:$L$14,Data!$D$9:$L$9,"",-1,1),_xlfn.XLOOKUP(G38,Data!$D$7:$L$7,Data!$D$2:$L$2,"",-1,1)))</f>
        <v>PB7</v>
      </c>
      <c r="L38" s="160" t="str" cm="1">
        <f t="array" ref="L38">IFERROR(_xlfn.IFNA(
                      _xlfn.IFS(
                      G38="", "",
                      AND(E38="U12B",G38&gt;=Data!$M$7), "U12 Boys record",
                      AND(E38="U12G",G38&gt;=Data!$M$14), "U12 Girls record"
                       ),""), "")</f>
        <v/>
      </c>
      <c r="M38" s="18" cm="1">
        <f t="array" ref="M38">_xlfn.IFS($G38="",0, AND(NOT(ISNUMBER($G38)),LOWER(LEFT($G38,1))&lt;&gt;"n"),"Not a valid distance",OR(LOWER(LEFT($G38,1))="n",$G38&lt;ScoringTable!$O$161),1,RIGHT($E38,1)="B",_xlfn.XLOOKUP($G38,ScoringTable!$O$2:$O$161,ScoringTable!$L$2:$L$161,,-1),TRUE,_xlfn.XLOOKUP($G38,ScoringTable!$U$2:$U$161,ScoringTable!$R$2:$R$161,,-1))</f>
        <v>87</v>
      </c>
    </row>
    <row r="39" spans="1:13" s="7" customFormat="1" ht="16.05" customHeight="1">
      <c r="A39" s="113" t="s">
        <v>99</v>
      </c>
      <c r="B39" s="114" t="str">
        <f>IF(ISNA(VLOOKUP($F39,Declarations!B$6:C$185,2,FALSE)),"",IF(VLOOKUP($F39,Declarations!B$6:C$185,2,FALSE)="","NOT DECLARED",IF(ISNA(_xlfn.TEXTBEFORE(VLOOKUP($F39,Declarations!B$6:C$185,2,FALSE)," ")),VLOOKUP($F39,Declarations!B$6:C$185,2,FALSE),_xlfn.TEXTBEFORE(VLOOKUP($F39,Declarations!B$6:C$185,2,FALSE)," "))))</f>
        <v>KATIE</v>
      </c>
      <c r="C39" s="114" t="str">
        <f>IF(ISNA(VLOOKUP($F39,Declarations!B$6:C$185,2,FALSE)),"",IF(VLOOKUP($F39,Declarations!B$6:C$185,2,FALSE)="","NOT DECLARED",IF(ISNA(_xlfn.TEXTAFTER(VLOOKUP($F39,Declarations!B$6:C$185,2,FALSE)," ")),VLOOKUP($F39,Declarations!B$6:C$185,2,FALSE),_xlfn.TEXTAFTER(VLOOKUP($F39,Declarations!B$6:C$185,2,FALSE)," "))))</f>
        <v>TAYLOR</v>
      </c>
      <c r="D39" s="114" t="str">
        <f>IF(ISNA(VLOOKUP($F39,Declarations!$B$6:$F$185,5,FALSE)),"",IF(VLOOKUP($F39,Declarations!$B$6:$F$185,5,FALSE)="","NOT DECLARED",VLOOKUP($F39,Declarations!$B$6:$F$185,5,FALSE)))</f>
        <v>Woking AC</v>
      </c>
      <c r="E39" s="112" t="str">
        <f>IF(ISNA(VLOOKUP($F39,Declarations!$B$6:$D$185,3,FALSE)),"",IF(VLOOKUP($F39,Declarations!$B$6:$D$185,3,FALSE)="","NOT DECLARED",VLOOKUP($F39,Declarations!$B$6:$D$185,3,FALSE)&amp;LEFT(VLOOKUP($F39,Declarations!$B$6:$E$185,4,FALSE))))</f>
        <v>U12G</v>
      </c>
      <c r="F39" s="58">
        <v>29</v>
      </c>
      <c r="G39" s="121">
        <v>2.31</v>
      </c>
      <c r="H39" s="121"/>
      <c r="I39" s="114" t="str">
        <f>IF(ISNA(VLOOKUP(F39,Declarations!B$6:C$185,2,FALSE)),"",IF(VLOOKUP(F39,Declarations!B$6:C$185,2,FALSE)="","NOT DECLARED",VLOOKUP(F39,Declarations!B$6:C$185,2,FALSE)))</f>
        <v>KATIE TAYLOR</v>
      </c>
      <c r="J39" s="112">
        <f>IF(LOWER(LEFT(G39,1))="n",1,VLOOKUP(G39,ScoringTable!D$2:I$95,6))</f>
        <v>13</v>
      </c>
      <c r="K39" s="112" t="str">
        <f>IF(OR(E39="",G39=""),"",IF(RIGHT(E39,1)="G",_xlfn.XLOOKUP(G39,Data!$D$14:$L$14,Data!$D$9:$L$9,"",-1,1),_xlfn.XLOOKUP(G39,Data!$D$7:$L$7,Data!$D$2:$L$2,"",-1,1)))</f>
        <v>PB3</v>
      </c>
      <c r="L39" s="160" t="str" cm="1">
        <f t="array" ref="L39">IFERROR(_xlfn.IFNA(
                      _xlfn.IFS(
                      G39="", "",
                      AND(E39="U12B",G39&gt;=Data!$M$7), "U12 Boys record",
                      AND(E39="U12G",G39&gt;=Data!$M$14), "U12 Girls record"
                       ),""), "")</f>
        <v/>
      </c>
      <c r="M39" s="18" cm="1">
        <f t="array" ref="M39">_xlfn.IFS($G39="",0, AND(NOT(ISNUMBER($G39)),LOWER(LEFT($G39,1))&lt;&gt;"n"),"Not a valid distance",OR(LOWER(LEFT($G39,1))="n",$G39&lt;ScoringTable!$O$161),1,RIGHT($E39,1)="B",_xlfn.XLOOKUP($G39,ScoringTable!$O$2:$O$161,ScoringTable!$L$2:$L$161,,-1),TRUE,_xlfn.XLOOKUP($G39,ScoringTable!$U$2:$U$161,ScoringTable!$R$2:$R$161,,-1))</f>
        <v>42</v>
      </c>
    </row>
    <row r="40" spans="1:13" s="7" customFormat="1" ht="16.05" customHeight="1">
      <c r="A40" s="113" t="s">
        <v>99</v>
      </c>
      <c r="B40" s="114" t="str">
        <f>IF(ISNA(VLOOKUP($F40,Declarations!B$6:C$185,2,FALSE)),"",IF(VLOOKUP($F40,Declarations!B$6:C$185,2,FALSE)="","NOT DECLARED",IF(ISNA(_xlfn.TEXTBEFORE(VLOOKUP($F40,Declarations!B$6:C$185,2,FALSE)," ")),VLOOKUP($F40,Declarations!B$6:C$185,2,FALSE),_xlfn.TEXTBEFORE(VLOOKUP($F40,Declarations!B$6:C$185,2,FALSE)," "))))</f>
        <v>KAMILA</v>
      </c>
      <c r="C40" s="114" t="str">
        <f>IF(ISNA(VLOOKUP($F40,Declarations!B$6:C$185,2,FALSE)),"",IF(VLOOKUP($F40,Declarations!B$6:C$185,2,FALSE)="","NOT DECLARED",IF(ISNA(_xlfn.TEXTAFTER(VLOOKUP($F40,Declarations!B$6:C$185,2,FALSE)," ")),VLOOKUP($F40,Declarations!B$6:C$185,2,FALSE),_xlfn.TEXTAFTER(VLOOKUP($F40,Declarations!B$6:C$185,2,FALSE)," "))))</f>
        <v>OLATEJU</v>
      </c>
      <c r="D40" s="114" t="str">
        <f>IF(ISNA(VLOOKUP($F40,Declarations!$B$6:$F$185,5,FALSE)),"",IF(VLOOKUP($F40,Declarations!$B$6:$F$185,5,FALSE)="","NOT DECLARED",VLOOKUP($F40,Declarations!$B$6:$F$185,5,FALSE)))</f>
        <v>Poole Runners</v>
      </c>
      <c r="E40" s="112" t="str">
        <f>IF(ISNA(VLOOKUP($F40,Declarations!$B$6:$D$185,3,FALSE)),"",IF(VLOOKUP($F40,Declarations!$B$6:$D$185,3,FALSE)="","NOT DECLARED",VLOOKUP($F40,Declarations!$B$6:$D$185,3,FALSE)&amp;LEFT(VLOOKUP($F40,Declarations!$B$6:$E$185,4,FALSE))))</f>
        <v>U12G</v>
      </c>
      <c r="F40" s="58">
        <v>41</v>
      </c>
      <c r="G40" s="121">
        <v>3.14</v>
      </c>
      <c r="H40" s="121"/>
      <c r="I40" s="114" t="str">
        <f>IF(ISNA(VLOOKUP(F40,Declarations!B$6:C$185,2,FALSE)),"",IF(VLOOKUP(F40,Declarations!B$6:C$185,2,FALSE)="","NOT DECLARED",VLOOKUP(F40,Declarations!B$6:C$185,2,FALSE)))</f>
        <v>KAMILA OLATEJU</v>
      </c>
      <c r="J40" s="112">
        <f>IF(LOWER(LEFT(G40,1))="n",1,VLOOKUP(G40,ScoringTable!D$2:I$95,6))</f>
        <v>41</v>
      </c>
      <c r="K40" s="112" t="str">
        <f>IF(OR(E40="",G40=""),"",IF(RIGHT(E40,1)="G",_xlfn.XLOOKUP(G40,Data!$D$14:$L$14,Data!$D$9:$L$9,"",-1,1),_xlfn.XLOOKUP(G40,Data!$D$7:$L$7,Data!$D$2:$L$2,"",-1,1)))</f>
        <v>PB6</v>
      </c>
      <c r="L40" s="160" t="str" cm="1">
        <f t="array" ref="L40">IFERROR(_xlfn.IFNA(
                      _xlfn.IFS(
                      G40="", "",
                      AND(E40="U12B",G40&gt;=Data!$M$7), "U12 Boys record",
                      AND(E40="U12G",G40&gt;=Data!$M$14), "U12 Girls record"
                       ),""), "")</f>
        <v/>
      </c>
      <c r="M40" s="18" cm="1">
        <f t="array" ref="M40">_xlfn.IFS($G40="",0, AND(NOT(ISNUMBER($G40)),LOWER(LEFT($G40,1))&lt;&gt;"n"),"Not a valid distance",OR(LOWER(LEFT($G40,1))="n",$G40&lt;ScoringTable!$O$161),1,RIGHT($E40,1)="B",_xlfn.XLOOKUP($G40,ScoringTable!$O$2:$O$161,ScoringTable!$L$2:$L$161,,-1),TRUE,_xlfn.XLOOKUP($G40,ScoringTable!$U$2:$U$161,ScoringTable!$R$2:$R$161,,-1))</f>
        <v>74</v>
      </c>
    </row>
    <row r="41" spans="1:13" s="7" customFormat="1" ht="16.05" customHeight="1">
      <c r="A41" s="113" t="s">
        <v>99</v>
      </c>
      <c r="B41" s="114" t="str">
        <f>IF(ISNA(VLOOKUP($F41,Declarations!B$6:C$185,2,FALSE)),"",IF(VLOOKUP($F41,Declarations!B$6:C$185,2,FALSE)="","NOT DECLARED",IF(ISNA(_xlfn.TEXTBEFORE(VLOOKUP($F41,Declarations!B$6:C$185,2,FALSE)," ")),VLOOKUP($F41,Declarations!B$6:C$185,2,FALSE),_xlfn.TEXTBEFORE(VLOOKUP($F41,Declarations!B$6:C$185,2,FALSE)," "))))</f>
        <v>ROSE</v>
      </c>
      <c r="C41" s="114" t="str">
        <f>IF(ISNA(VLOOKUP($F41,Declarations!B$6:C$185,2,FALSE)),"",IF(VLOOKUP($F41,Declarations!B$6:C$185,2,FALSE)="","NOT DECLARED",IF(ISNA(_xlfn.TEXTAFTER(VLOOKUP($F41,Declarations!B$6:C$185,2,FALSE)," ")),VLOOKUP($F41,Declarations!B$6:C$185,2,FALSE),_xlfn.TEXTAFTER(VLOOKUP($F41,Declarations!B$6:C$185,2,FALSE)," "))))</f>
        <v>NEIL</v>
      </c>
      <c r="D41" s="114" t="str">
        <f>IF(ISNA(VLOOKUP($F41,Declarations!$B$6:$F$185,5,FALSE)),"",IF(VLOOKUP($F41,Declarations!$B$6:$F$185,5,FALSE)="","NOT DECLARED",VLOOKUP($F41,Declarations!$B$6:$F$185,5,FALSE)))</f>
        <v>Poole Runners</v>
      </c>
      <c r="E41" s="112" t="str">
        <f>IF(ISNA(VLOOKUP($F41,Declarations!$B$6:$D$185,3,FALSE)),"",IF(VLOOKUP($F41,Declarations!$B$6:$D$185,3,FALSE)="","NOT DECLARED",VLOOKUP($F41,Declarations!$B$6:$D$185,3,FALSE)&amp;LEFT(VLOOKUP($F41,Declarations!$B$6:$E$185,4,FALSE))))</f>
        <v>U12G</v>
      </c>
      <c r="F41" s="58">
        <v>42</v>
      </c>
      <c r="G41" s="121">
        <v>2.87</v>
      </c>
      <c r="H41" s="121"/>
      <c r="I41" s="114" t="str">
        <f>IF(ISNA(VLOOKUP(F41,Declarations!B$6:C$185,2,FALSE)),"",IF(VLOOKUP(F41,Declarations!B$6:C$185,2,FALSE)="","NOT DECLARED",VLOOKUP(F41,Declarations!B$6:C$185,2,FALSE)))</f>
        <v>ROSE NEIL</v>
      </c>
      <c r="J41" s="112">
        <f>IF(LOWER(LEFT(G41,1))="n",1,VLOOKUP(G41,ScoringTable!D$2:I$95,6))</f>
        <v>32</v>
      </c>
      <c r="K41" s="112" t="str">
        <f>IF(OR(E41="",G41=""),"",IF(RIGHT(E41,1)="G",_xlfn.XLOOKUP(G41,Data!$D$14:$L$14,Data!$D$9:$L$9,"",-1,1),_xlfn.XLOOKUP(G41,Data!$D$7:$L$7,Data!$D$2:$L$2,"",-1,1)))</f>
        <v>PB5</v>
      </c>
      <c r="L41" s="160" t="str" cm="1">
        <f t="array" ref="L41">IFERROR(_xlfn.IFNA(
                      _xlfn.IFS(
                      G41="", "",
                      AND(E41="U12B",G41&gt;=Data!$M$7), "U12 Boys record",
                      AND(E41="U12G",G41&gt;=Data!$M$14), "U12 Girls record"
                       ),""), "")</f>
        <v/>
      </c>
      <c r="M41" s="18" cm="1">
        <f t="array" ref="M41">_xlfn.IFS($G41="",0, AND(NOT(ISNUMBER($G41)),LOWER(LEFT($G41,1))&lt;&gt;"n"),"Not a valid distance",OR(LOWER(LEFT($G41,1))="n",$G41&lt;ScoringTable!$O$161),1,RIGHT($E41,1)="B",_xlfn.XLOOKUP($G41,ScoringTable!$O$2:$O$161,ScoringTable!$L$2:$L$161,,-1),TRUE,_xlfn.XLOOKUP($G41,ScoringTable!$U$2:$U$161,ScoringTable!$R$2:$R$161,,-1))</f>
        <v>64</v>
      </c>
    </row>
    <row r="42" spans="1:13" s="7" customFormat="1" ht="16.05" customHeight="1">
      <c r="A42" s="113" t="s">
        <v>99</v>
      </c>
      <c r="B42" s="114" t="str">
        <f>IF(ISNA(VLOOKUP($F42,Declarations!B$6:C$185,2,FALSE)),"",IF(VLOOKUP($F42,Declarations!B$6:C$185,2,FALSE)="","NOT DECLARED",IF(ISNA(_xlfn.TEXTBEFORE(VLOOKUP($F42,Declarations!B$6:C$185,2,FALSE)," ")),VLOOKUP($F42,Declarations!B$6:C$185,2,FALSE),_xlfn.TEXTBEFORE(VLOOKUP($F42,Declarations!B$6:C$185,2,FALSE)," "))))</f>
        <v>DORA</v>
      </c>
      <c r="C42" s="114" t="str">
        <f>IF(ISNA(VLOOKUP($F42,Declarations!B$6:C$185,2,FALSE)),"",IF(VLOOKUP($F42,Declarations!B$6:C$185,2,FALSE)="","NOT DECLARED",IF(ISNA(_xlfn.TEXTAFTER(VLOOKUP($F42,Declarations!B$6:C$185,2,FALSE)," ")),VLOOKUP($F42,Declarations!B$6:C$185,2,FALSE),_xlfn.TEXTAFTER(VLOOKUP($F42,Declarations!B$6:C$185,2,FALSE)," "))))</f>
        <v>DOMA</v>
      </c>
      <c r="D42" s="114" t="str">
        <f>IF(ISNA(VLOOKUP($F42,Declarations!$B$6:$F$185,5,FALSE)),"",IF(VLOOKUP($F42,Declarations!$B$6:$F$185,5,FALSE)="","NOT DECLARED",VLOOKUP($F42,Declarations!$B$6:$F$185,5,FALSE)))</f>
        <v>Poole Runners</v>
      </c>
      <c r="E42" s="112" t="str">
        <f>IF(ISNA(VLOOKUP($F42,Declarations!$B$6:$D$185,3,FALSE)),"",IF(VLOOKUP($F42,Declarations!$B$6:$D$185,3,FALSE)="","NOT DECLARED",VLOOKUP($F42,Declarations!$B$6:$D$185,3,FALSE)&amp;LEFT(VLOOKUP($F42,Declarations!$B$6:$E$185,4,FALSE))))</f>
        <v>U12G</v>
      </c>
      <c r="F42" s="58">
        <v>43</v>
      </c>
      <c r="G42" s="121">
        <v>2.85</v>
      </c>
      <c r="H42" s="121"/>
      <c r="I42" s="114" t="str">
        <f>IF(ISNA(VLOOKUP(F42,Declarations!B$6:C$185,2,FALSE)),"",IF(VLOOKUP(F42,Declarations!B$6:C$185,2,FALSE)="","NOT DECLARED",VLOOKUP(F42,Declarations!B$6:C$185,2,FALSE)))</f>
        <v>DORA DOMA</v>
      </c>
      <c r="J42" s="112">
        <f>IF(LOWER(LEFT(G42,1))="n",1,VLOOKUP(G42,ScoringTable!D$2:I$95,6))</f>
        <v>31</v>
      </c>
      <c r="K42" s="112" t="str">
        <f>IF(OR(E42="",G42=""),"",IF(RIGHT(E42,1)="G",_xlfn.XLOOKUP(G42,Data!$D$14:$L$14,Data!$D$9:$L$9,"",-1,1),_xlfn.XLOOKUP(G42,Data!$D$7:$L$7,Data!$D$2:$L$2,"",-1,1)))</f>
        <v>PB5</v>
      </c>
      <c r="L42" s="160" t="str" cm="1">
        <f t="array" ref="L42">IFERROR(_xlfn.IFNA(
                      _xlfn.IFS(
                      G42="", "",
                      AND(E42="U12B",G42&gt;=Data!$M$7), "U12 Boys record",
                      AND(E42="U12G",G42&gt;=Data!$M$14), "U12 Girls record"
                       ),""), "")</f>
        <v/>
      </c>
      <c r="M42" s="18" cm="1">
        <f t="array" ref="M42">_xlfn.IFS($G42="",0, AND(NOT(ISNUMBER($G42)),LOWER(LEFT($G42,1))&lt;&gt;"n"),"Not a valid distance",OR(LOWER(LEFT($G42,1))="n",$G42&lt;ScoringTable!$O$161),1,RIGHT($E42,1)="B",_xlfn.XLOOKUP($G42,ScoringTable!$O$2:$O$161,ScoringTable!$L$2:$L$161,,-1),TRUE,_xlfn.XLOOKUP($G42,ScoringTable!$U$2:$U$161,ScoringTable!$R$2:$R$161,,-1))</f>
        <v>63</v>
      </c>
    </row>
    <row r="43" spans="1:13" s="7" customFormat="1" ht="16.05" customHeight="1">
      <c r="A43" s="113" t="s">
        <v>99</v>
      </c>
      <c r="B43" s="114" t="str">
        <f>IF(ISNA(VLOOKUP($F43,Declarations!B$6:C$185,2,FALSE)),"",IF(VLOOKUP($F43,Declarations!B$6:C$185,2,FALSE)="","NOT DECLARED",IF(ISNA(_xlfn.TEXTBEFORE(VLOOKUP($F43,Declarations!B$6:C$185,2,FALSE)," ")),VLOOKUP($F43,Declarations!B$6:C$185,2,FALSE),_xlfn.TEXTBEFORE(VLOOKUP($F43,Declarations!B$6:C$185,2,FALSE)," "))))</f>
        <v>POLLY</v>
      </c>
      <c r="C43" s="114" t="str">
        <f>IF(ISNA(VLOOKUP($F43,Declarations!B$6:C$185,2,FALSE)),"",IF(VLOOKUP($F43,Declarations!B$6:C$185,2,FALSE)="","NOT DECLARED",IF(ISNA(_xlfn.TEXTAFTER(VLOOKUP($F43,Declarations!B$6:C$185,2,FALSE)," ")),VLOOKUP($F43,Declarations!B$6:C$185,2,FALSE),_xlfn.TEXTAFTER(VLOOKUP($F43,Declarations!B$6:C$185,2,FALSE)," "))))</f>
        <v>WARBOYS</v>
      </c>
      <c r="D43" s="114" t="str">
        <f>IF(ISNA(VLOOKUP($F43,Declarations!$B$6:$F$185,5,FALSE)),"",IF(VLOOKUP($F43,Declarations!$B$6:$F$185,5,FALSE)="","NOT DECLARED",VLOOKUP($F43,Declarations!$B$6:$F$185,5,FALSE)))</f>
        <v>Poole Runners</v>
      </c>
      <c r="E43" s="112" t="str">
        <f>IF(ISNA(VLOOKUP($F43,Declarations!$B$6:$D$185,3,FALSE)),"",IF(VLOOKUP($F43,Declarations!$B$6:$D$185,3,FALSE)="","NOT DECLARED",VLOOKUP($F43,Declarations!$B$6:$D$185,3,FALSE)&amp;LEFT(VLOOKUP($F43,Declarations!$B$6:$E$185,4,FALSE))))</f>
        <v>U12G</v>
      </c>
      <c r="F43" s="58">
        <v>44</v>
      </c>
      <c r="G43" s="121">
        <v>2.85</v>
      </c>
      <c r="H43" s="121"/>
      <c r="I43" s="114" t="str">
        <f>IF(ISNA(VLOOKUP(F43,Declarations!B$6:C$185,2,FALSE)),"",IF(VLOOKUP(F43,Declarations!B$6:C$185,2,FALSE)="","NOT DECLARED",VLOOKUP(F43,Declarations!B$6:C$185,2,FALSE)))</f>
        <v>POLLY WARBOYS</v>
      </c>
      <c r="J43" s="112">
        <f>IF(LOWER(LEFT(G43,1))="n",1,VLOOKUP(G43,ScoringTable!D$2:I$95,6))</f>
        <v>31</v>
      </c>
      <c r="K43" s="112" t="str">
        <f>IF(OR(E43="",G43=""),"",IF(RIGHT(E43,1)="G",_xlfn.XLOOKUP(G43,Data!$D$14:$L$14,Data!$D$9:$L$9,"",-1,1),_xlfn.XLOOKUP(G43,Data!$D$7:$L$7,Data!$D$2:$L$2,"",-1,1)))</f>
        <v>PB5</v>
      </c>
      <c r="L43" s="160" t="str" cm="1">
        <f t="array" ref="L43">IFERROR(_xlfn.IFNA(
                      _xlfn.IFS(
                      G43="", "",
                      AND(E43="U12B",G43&gt;=Data!$M$7), "U12 Boys record",
                      AND(E43="U12G",G43&gt;=Data!$M$14), "U12 Girls record"
                       ),""), "")</f>
        <v/>
      </c>
      <c r="M43" s="18" cm="1">
        <f t="array" ref="M43">_xlfn.IFS($G43="",0, AND(NOT(ISNUMBER($G43)),LOWER(LEFT($G43,1))&lt;&gt;"n"),"Not a valid distance",OR(LOWER(LEFT($G43,1))="n",$G43&lt;ScoringTable!$O$161),1,RIGHT($E43,1)="B",_xlfn.XLOOKUP($G43,ScoringTable!$O$2:$O$161,ScoringTable!$L$2:$L$161,,-1),TRUE,_xlfn.XLOOKUP($G43,ScoringTable!$U$2:$U$161,ScoringTable!$R$2:$R$161,,-1))</f>
        <v>63</v>
      </c>
    </row>
    <row r="44" spans="1:13" s="7" customFormat="1" ht="16.05" customHeight="1">
      <c r="A44" s="113" t="s">
        <v>99</v>
      </c>
      <c r="B44" s="114" t="str">
        <f>IF(ISNA(VLOOKUP($F44,Declarations!B$6:C$185,2,FALSE)),"",IF(VLOOKUP($F44,Declarations!B$6:C$185,2,FALSE)="","NOT DECLARED",IF(ISNA(_xlfn.TEXTBEFORE(VLOOKUP($F44,Declarations!B$6:C$185,2,FALSE)," ")),VLOOKUP($F44,Declarations!B$6:C$185,2,FALSE),_xlfn.TEXTBEFORE(VLOOKUP($F44,Declarations!B$6:C$185,2,FALSE)," "))))</f>
        <v>VIOLET</v>
      </c>
      <c r="C44" s="114" t="str">
        <f>IF(ISNA(VLOOKUP($F44,Declarations!B$6:C$185,2,FALSE)),"",IF(VLOOKUP($F44,Declarations!B$6:C$185,2,FALSE)="","NOT DECLARED",IF(ISNA(_xlfn.TEXTAFTER(VLOOKUP($F44,Declarations!B$6:C$185,2,FALSE)," ")),VLOOKUP($F44,Declarations!B$6:C$185,2,FALSE),_xlfn.TEXTAFTER(VLOOKUP($F44,Declarations!B$6:C$185,2,FALSE)," "))))</f>
        <v>FULLING</v>
      </c>
      <c r="D44" s="114" t="str">
        <f>IF(ISNA(VLOOKUP($F44,Declarations!$B$6:$F$185,5,FALSE)),"",IF(VLOOKUP($F44,Declarations!$B$6:$F$185,5,FALSE)="","NOT DECLARED",VLOOKUP($F44,Declarations!$B$6:$F$185,5,FALSE)))</f>
        <v>Poole Runners</v>
      </c>
      <c r="E44" s="112" t="str">
        <f>IF(ISNA(VLOOKUP($F44,Declarations!$B$6:$D$185,3,FALSE)),"",IF(VLOOKUP($F44,Declarations!$B$6:$D$185,3,FALSE)="","NOT DECLARED",VLOOKUP($F44,Declarations!$B$6:$D$185,3,FALSE)&amp;LEFT(VLOOKUP($F44,Declarations!$B$6:$E$185,4,FALSE))))</f>
        <v>U12G</v>
      </c>
      <c r="F44" s="58">
        <v>45</v>
      </c>
      <c r="G44" s="121">
        <v>2.93</v>
      </c>
      <c r="H44" s="121"/>
      <c r="I44" s="114" t="str">
        <f>IF(ISNA(VLOOKUP(F44,Declarations!B$6:C$185,2,FALSE)),"",IF(VLOOKUP(F44,Declarations!B$6:C$185,2,FALSE)="","NOT DECLARED",VLOOKUP(F44,Declarations!B$6:C$185,2,FALSE)))</f>
        <v>VIOLET FULLING</v>
      </c>
      <c r="J44" s="112">
        <f>IF(LOWER(LEFT(G44,1))="n",1,VLOOKUP(G44,ScoringTable!D$2:I$95,6))</f>
        <v>34</v>
      </c>
      <c r="K44" s="112" t="str">
        <f>IF(OR(E44="",G44=""),"",IF(RIGHT(E44,1)="G",_xlfn.XLOOKUP(G44,Data!$D$14:$L$14,Data!$D$9:$L$9,"",-1,1),_xlfn.XLOOKUP(G44,Data!$D$7:$L$7,Data!$D$2:$L$2,"",-1,1)))</f>
        <v>PB5</v>
      </c>
      <c r="L44" s="160" t="str" cm="1">
        <f t="array" ref="L44">IFERROR(_xlfn.IFNA(
                      _xlfn.IFS(
                      G44="", "",
                      AND(E44="U12B",G44&gt;=Data!$M$7), "U12 Boys record",
                      AND(E44="U12G",G44&gt;=Data!$M$14), "U12 Girls record"
                       ),""), "")</f>
        <v/>
      </c>
      <c r="M44" s="18" cm="1">
        <f t="array" ref="M44">_xlfn.IFS($G44="",0, AND(NOT(ISNUMBER($G44)),LOWER(LEFT($G44,1))&lt;&gt;"n"),"Not a valid distance",OR(LOWER(LEFT($G44,1))="n",$G44&lt;ScoringTable!$O$161),1,RIGHT($E44,1)="B",_xlfn.XLOOKUP($G44,ScoringTable!$O$2:$O$161,ScoringTable!$L$2:$L$161,,-1),TRUE,_xlfn.XLOOKUP($G44,ScoringTable!$U$2:$U$161,ScoringTable!$R$2:$R$161,,-1))</f>
        <v>66</v>
      </c>
    </row>
    <row r="45" spans="1:13" s="7" customFormat="1" ht="16.05" customHeight="1">
      <c r="A45" s="113" t="s">
        <v>99</v>
      </c>
      <c r="B45" s="114" t="str">
        <f>IF(ISNA(VLOOKUP($F45,Declarations!B$6:C$185,2,FALSE)),"",IF(VLOOKUP($F45,Declarations!B$6:C$185,2,FALSE)="","NOT DECLARED",IF(ISNA(_xlfn.TEXTBEFORE(VLOOKUP($F45,Declarations!B$6:C$185,2,FALSE)," ")),VLOOKUP($F45,Declarations!B$6:C$185,2,FALSE),_xlfn.TEXTBEFORE(VLOOKUP($F45,Declarations!B$6:C$185,2,FALSE)," "))))</f>
        <v>BROOKE</v>
      </c>
      <c r="C45" s="114" t="str">
        <f>IF(ISNA(VLOOKUP($F45,Declarations!B$6:C$185,2,FALSE)),"",IF(VLOOKUP($F45,Declarations!B$6:C$185,2,FALSE)="","NOT DECLARED",IF(ISNA(_xlfn.TEXTAFTER(VLOOKUP($F45,Declarations!B$6:C$185,2,FALSE)," ")),VLOOKUP($F45,Declarations!B$6:C$185,2,FALSE),_xlfn.TEXTAFTER(VLOOKUP($F45,Declarations!B$6:C$185,2,FALSE)," "))))</f>
        <v>PARRY-DAVIDSON</v>
      </c>
      <c r="D45" s="114" t="str">
        <f>IF(ISNA(VLOOKUP($F45,Declarations!$B$6:$F$185,5,FALSE)),"",IF(VLOOKUP($F45,Declarations!$B$6:$F$185,5,FALSE)="","NOT DECLARED",VLOOKUP($F45,Declarations!$B$6:$F$185,5,FALSE)))</f>
        <v>Poole Runners</v>
      </c>
      <c r="E45" s="112" t="str">
        <f>IF(ISNA(VLOOKUP($F45,Declarations!$B$6:$D$185,3,FALSE)),"",IF(VLOOKUP($F45,Declarations!$B$6:$D$185,3,FALSE)="","NOT DECLARED",VLOOKUP($F45,Declarations!$B$6:$D$185,3,FALSE)&amp;LEFT(VLOOKUP($F45,Declarations!$B$6:$E$185,4,FALSE))))</f>
        <v>U12G</v>
      </c>
      <c r="F45" s="58">
        <v>46</v>
      </c>
      <c r="G45" s="121">
        <v>2.44</v>
      </c>
      <c r="H45" s="121"/>
      <c r="I45" s="114" t="str">
        <f>IF(ISNA(VLOOKUP(F45,Declarations!B$6:C$185,2,FALSE)),"",IF(VLOOKUP(F45,Declarations!B$6:C$185,2,FALSE)="","NOT DECLARED",VLOOKUP(F45,Declarations!B$6:C$185,2,FALSE)))</f>
        <v>BROOKE PARRY-DAVIDSON</v>
      </c>
      <c r="J45" s="112">
        <f>IF(LOWER(LEFT(G45,1))="n",1,VLOOKUP(G45,ScoringTable!D$2:I$95,6))</f>
        <v>18</v>
      </c>
      <c r="K45" s="112" t="str">
        <f>IF(OR(E45="",G45=""),"",IF(RIGHT(E45,1)="G",_xlfn.XLOOKUP(G45,Data!$D$14:$L$14,Data!$D$9:$L$9,"",-1,1),_xlfn.XLOOKUP(G45,Data!$D$7:$L$7,Data!$D$2:$L$2,"",-1,1)))</f>
        <v>PB3</v>
      </c>
      <c r="L45" s="160" t="str" cm="1">
        <f t="array" ref="L45">IFERROR(_xlfn.IFNA(
                      _xlfn.IFS(
                      G45="", "",
                      AND(E45="U12B",G45&gt;=Data!$M$7), "U12 Boys record",
                      AND(E45="U12G",G45&gt;=Data!$M$14), "U12 Girls record"
                       ),""), "")</f>
        <v/>
      </c>
      <c r="M45" s="18" cm="1">
        <f t="array" ref="M45">_xlfn.IFS($G45="",0, AND(NOT(ISNUMBER($G45)),LOWER(LEFT($G45,1))&lt;&gt;"n"),"Not a valid distance",OR(LOWER(LEFT($G45,1))="n",$G45&lt;ScoringTable!$O$161),1,RIGHT($E45,1)="B",_xlfn.XLOOKUP($G45,ScoringTable!$O$2:$O$161,ScoringTable!$L$2:$L$161,,-1),TRUE,_xlfn.XLOOKUP($G45,ScoringTable!$U$2:$U$161,ScoringTable!$R$2:$R$161,,-1))</f>
        <v>47</v>
      </c>
    </row>
    <row r="46" spans="1:13" s="7" customFormat="1" ht="16.05" customHeight="1">
      <c r="A46" s="113" t="s">
        <v>99</v>
      </c>
      <c r="B46" s="114" t="str">
        <f>IF(ISNA(VLOOKUP($F46,Declarations!B$6:C$185,2,FALSE)),"",IF(VLOOKUP($F46,Declarations!B$6:C$185,2,FALSE)="","NOT DECLARED",IF(ISNA(_xlfn.TEXTBEFORE(VLOOKUP($F46,Declarations!B$6:C$185,2,FALSE)," ")),VLOOKUP($F46,Declarations!B$6:C$185,2,FALSE),_xlfn.TEXTBEFORE(VLOOKUP($F46,Declarations!B$6:C$185,2,FALSE)," "))))</f>
        <v>JESSICA</v>
      </c>
      <c r="C46" s="114" t="str">
        <f>IF(ISNA(VLOOKUP($F46,Declarations!B$6:C$185,2,FALSE)),"",IF(VLOOKUP($F46,Declarations!B$6:C$185,2,FALSE)="","NOT DECLARED",IF(ISNA(_xlfn.TEXTAFTER(VLOOKUP($F46,Declarations!B$6:C$185,2,FALSE)," ")),VLOOKUP($F46,Declarations!B$6:C$185,2,FALSE),_xlfn.TEXTAFTER(VLOOKUP($F46,Declarations!B$6:C$185,2,FALSE)," "))))</f>
        <v>FRANK</v>
      </c>
      <c r="D46" s="114" t="str">
        <f>IF(ISNA(VLOOKUP($F46,Declarations!$B$6:$F$185,5,FALSE)),"",IF(VLOOKUP($F46,Declarations!$B$6:$F$185,5,FALSE)="","NOT DECLARED",VLOOKUP($F46,Declarations!$B$6:$F$185,5,FALSE)))</f>
        <v>Poole Runners</v>
      </c>
      <c r="E46" s="112" t="str">
        <f>IF(ISNA(VLOOKUP($F46,Declarations!$B$6:$D$185,3,FALSE)),"",IF(VLOOKUP($F46,Declarations!$B$6:$D$185,3,FALSE)="","NOT DECLARED",VLOOKUP($F46,Declarations!$B$6:$D$185,3,FALSE)&amp;LEFT(VLOOKUP($F46,Declarations!$B$6:$E$185,4,FALSE))))</f>
        <v>U12G</v>
      </c>
      <c r="F46" s="58">
        <v>47</v>
      </c>
      <c r="G46" s="121">
        <v>2.83</v>
      </c>
      <c r="H46" s="121"/>
      <c r="I46" s="114" t="str">
        <f>IF(ISNA(VLOOKUP(F46,Declarations!B$6:C$185,2,FALSE)),"",IF(VLOOKUP(F46,Declarations!B$6:C$185,2,FALSE)="","NOT DECLARED",VLOOKUP(F46,Declarations!B$6:C$185,2,FALSE)))</f>
        <v>JESSICA FRANK</v>
      </c>
      <c r="J46" s="112">
        <f>IF(LOWER(LEFT(G46,1))="n",1,VLOOKUP(G46,ScoringTable!D$2:I$95,6))</f>
        <v>31</v>
      </c>
      <c r="K46" s="112" t="str">
        <f>IF(OR(E46="",G46=""),"",IF(RIGHT(E46,1)="G",_xlfn.XLOOKUP(G46,Data!$D$14:$L$14,Data!$D$9:$L$9,"",-1,1),_xlfn.XLOOKUP(G46,Data!$D$7:$L$7,Data!$D$2:$L$2,"",-1,1)))</f>
        <v>PB5</v>
      </c>
      <c r="L46" s="160" t="str" cm="1">
        <f t="array" ref="L46">IFERROR(_xlfn.IFNA(
                      _xlfn.IFS(
                      G46="", "",
                      AND(E46="U12B",G46&gt;=Data!$M$7), "U12 Boys record",
                      AND(E46="U12G",G46&gt;=Data!$M$14), "U12 Girls record"
                       ),""), "")</f>
        <v/>
      </c>
      <c r="M46" s="18" cm="1">
        <f t="array" ref="M46">_xlfn.IFS($G46="",0, AND(NOT(ISNUMBER($G46)),LOWER(LEFT($G46,1))&lt;&gt;"n"),"Not a valid distance",OR(LOWER(LEFT($G46,1))="n",$G46&lt;ScoringTable!$O$161),1,RIGHT($E46,1)="B",_xlfn.XLOOKUP($G46,ScoringTable!$O$2:$O$161,ScoringTable!$L$2:$L$161,,-1),TRUE,_xlfn.XLOOKUP($G46,ScoringTable!$U$2:$U$161,ScoringTable!$R$2:$R$161,,-1))</f>
        <v>62</v>
      </c>
    </row>
    <row r="47" spans="1:13" s="7" customFormat="1" ht="16.05" customHeight="1">
      <c r="A47" s="113" t="s">
        <v>99</v>
      </c>
      <c r="B47" s="114" t="str">
        <f>IF(ISNA(VLOOKUP($F47,Declarations!B$6:C$185,2,FALSE)),"",IF(VLOOKUP($F47,Declarations!B$6:C$185,2,FALSE)="","NOT DECLARED",IF(ISNA(_xlfn.TEXTBEFORE(VLOOKUP($F47,Declarations!B$6:C$185,2,FALSE)," ")),VLOOKUP($F47,Declarations!B$6:C$185,2,FALSE),_xlfn.TEXTBEFORE(VLOOKUP($F47,Declarations!B$6:C$185,2,FALSE)," "))))</f>
        <v>MATILDA</v>
      </c>
      <c r="C47" s="114" t="str">
        <f>IF(ISNA(VLOOKUP($F47,Declarations!B$6:C$185,2,FALSE)),"",IF(VLOOKUP($F47,Declarations!B$6:C$185,2,FALSE)="","NOT DECLARED",IF(ISNA(_xlfn.TEXTAFTER(VLOOKUP($F47,Declarations!B$6:C$185,2,FALSE)," ")),VLOOKUP($F47,Declarations!B$6:C$185,2,FALSE),_xlfn.TEXTAFTER(VLOOKUP($F47,Declarations!B$6:C$185,2,FALSE)," "))))</f>
        <v>COATESMITH</v>
      </c>
      <c r="D47" s="114" t="str">
        <f>IF(ISNA(VLOOKUP($F47,Declarations!$B$6:$F$185,5,FALSE)),"",IF(VLOOKUP($F47,Declarations!$B$6:$F$185,5,FALSE)="","NOT DECLARED",VLOOKUP($F47,Declarations!$B$6:$F$185,5,FALSE)))</f>
        <v>Poole Runners</v>
      </c>
      <c r="E47" s="112" t="str">
        <f>IF(ISNA(VLOOKUP($F47,Declarations!$B$6:$D$185,3,FALSE)),"",IF(VLOOKUP($F47,Declarations!$B$6:$D$185,3,FALSE)="","NOT DECLARED",VLOOKUP($F47,Declarations!$B$6:$D$185,3,FALSE)&amp;LEFT(VLOOKUP($F47,Declarations!$B$6:$E$185,4,FALSE))))</f>
        <v>U12G</v>
      </c>
      <c r="F47" s="58">
        <v>48</v>
      </c>
      <c r="G47" s="121">
        <v>3.17</v>
      </c>
      <c r="H47" s="121"/>
      <c r="I47" s="114" t="str">
        <f>IF(ISNA(VLOOKUP(F47,Declarations!B$6:C$185,2,FALSE)),"",IF(VLOOKUP(F47,Declarations!B$6:C$185,2,FALSE)="","NOT DECLARED",VLOOKUP(F47,Declarations!B$6:C$185,2,FALSE)))</f>
        <v>MATILDA COATESMITH</v>
      </c>
      <c r="J47" s="112">
        <f>IF(LOWER(LEFT(G47,1))="n",1,VLOOKUP(G47,ScoringTable!D$2:I$95,6))</f>
        <v>42</v>
      </c>
      <c r="K47" s="112" t="str">
        <f>IF(OR(E47="",G47=""),"",IF(RIGHT(E47,1)="G",_xlfn.XLOOKUP(G47,Data!$D$14:$L$14,Data!$D$9:$L$9,"",-1,1),_xlfn.XLOOKUP(G47,Data!$D$7:$L$7,Data!$D$2:$L$2,"",-1,1)))</f>
        <v>PB6</v>
      </c>
      <c r="L47" s="160" t="str" cm="1">
        <f t="array" ref="L47">IFERROR(_xlfn.IFNA(
                      _xlfn.IFS(
                      G47="", "",
                      AND(E47="U12B",G47&gt;=Data!$M$7), "U12 Boys record",
                      AND(E47="U12G",G47&gt;=Data!$M$14), "U12 Girls record"
                       ),""), "")</f>
        <v/>
      </c>
      <c r="M47" s="18" cm="1">
        <f t="array" ref="M47">_xlfn.IFS($G47="",0, AND(NOT(ISNUMBER($G47)),LOWER(LEFT($G47,1))&lt;&gt;"n"),"Not a valid distance",OR(LOWER(LEFT($G47,1))="n",$G47&lt;ScoringTable!$O$161),1,RIGHT($E47,1)="B",_xlfn.XLOOKUP($G47,ScoringTable!$O$2:$O$161,ScoringTable!$L$2:$L$161,,-1),TRUE,_xlfn.XLOOKUP($G47,ScoringTable!$U$2:$U$161,ScoringTable!$R$2:$R$161,,-1))</f>
        <v>76</v>
      </c>
    </row>
    <row r="48" spans="1:13" s="7" customFormat="1" ht="16.05" customHeight="1">
      <c r="A48" s="113" t="s">
        <v>99</v>
      </c>
      <c r="B48" s="114" t="str">
        <f>IF(ISNA(VLOOKUP($F48,Declarations!B$6:C$185,2,FALSE)),"",IF(VLOOKUP($F48,Declarations!B$6:C$185,2,FALSE)="","NOT DECLARED",IF(ISNA(_xlfn.TEXTBEFORE(VLOOKUP($F48,Declarations!B$6:C$185,2,FALSE)," ")),VLOOKUP($F48,Declarations!B$6:C$185,2,FALSE),_xlfn.TEXTBEFORE(VLOOKUP($F48,Declarations!B$6:C$185,2,FALSE)," "))))</f>
        <v>IZZY</v>
      </c>
      <c r="C48" s="114" t="str">
        <f>IF(ISNA(VLOOKUP($F48,Declarations!B$6:C$185,2,FALSE)),"",IF(VLOOKUP($F48,Declarations!B$6:C$185,2,FALSE)="","NOT DECLARED",IF(ISNA(_xlfn.TEXTAFTER(VLOOKUP($F48,Declarations!B$6:C$185,2,FALSE)," ")),VLOOKUP($F48,Declarations!B$6:C$185,2,FALSE),_xlfn.TEXTAFTER(VLOOKUP($F48,Declarations!B$6:C$185,2,FALSE)," "))))</f>
        <v>YOUNG</v>
      </c>
      <c r="D48" s="114" t="str">
        <f>IF(ISNA(VLOOKUP($F48,Declarations!$B$6:$F$185,5,FALSE)),"",IF(VLOOKUP($F48,Declarations!$B$6:$F$185,5,FALSE)="","NOT DECLARED",VLOOKUP($F48,Declarations!$B$6:$F$185,5,FALSE)))</f>
        <v>Poole Runners</v>
      </c>
      <c r="E48" s="112" t="str">
        <f>IF(ISNA(VLOOKUP($F48,Declarations!$B$6:$D$185,3,FALSE)),"",IF(VLOOKUP($F48,Declarations!$B$6:$D$185,3,FALSE)="","NOT DECLARED",VLOOKUP($F48,Declarations!$B$6:$D$185,3,FALSE)&amp;LEFT(VLOOKUP($F48,Declarations!$B$6:$E$185,4,FALSE))))</f>
        <v>U12G</v>
      </c>
      <c r="F48" s="58">
        <v>49</v>
      </c>
      <c r="G48" s="121">
        <v>3.08</v>
      </c>
      <c r="H48" s="121"/>
      <c r="I48" s="114" t="str">
        <f>IF(ISNA(VLOOKUP(F48,Declarations!B$6:C$185,2,FALSE)),"",IF(VLOOKUP(F48,Declarations!B$6:C$185,2,FALSE)="","NOT DECLARED",VLOOKUP(F48,Declarations!B$6:C$185,2,FALSE)))</f>
        <v>IZZY YOUNG</v>
      </c>
      <c r="J48" s="112">
        <f>IF(LOWER(LEFT(G48,1))="n",1,VLOOKUP(G48,ScoringTable!D$2:I$95,6))</f>
        <v>39</v>
      </c>
      <c r="K48" s="112" t="str">
        <f>IF(OR(E48="",G48=""),"",IF(RIGHT(E48,1)="G",_xlfn.XLOOKUP(G48,Data!$D$14:$L$14,Data!$D$9:$L$9,"",-1,1),_xlfn.XLOOKUP(G48,Data!$D$7:$L$7,Data!$D$2:$L$2,"",-1,1)))</f>
        <v>PB6</v>
      </c>
      <c r="L48" s="160" t="str" cm="1">
        <f t="array" ref="L48">IFERROR(_xlfn.IFNA(
                      _xlfn.IFS(
                      G48="", "",
                      AND(E48="U12B",G48&gt;=Data!$M$7), "U12 Boys record",
                      AND(E48="U12G",G48&gt;=Data!$M$14), "U12 Girls record"
                       ),""), "")</f>
        <v/>
      </c>
      <c r="M48" s="18" cm="1">
        <f t="array" ref="M48">_xlfn.IFS($G48="",0, AND(NOT(ISNUMBER($G48)),LOWER(LEFT($G48,1))&lt;&gt;"n"),"Not a valid distance",OR(LOWER(LEFT($G48,1))="n",$G48&lt;ScoringTable!$O$161),1,RIGHT($E48,1)="B",_xlfn.XLOOKUP($G48,ScoringTable!$O$2:$O$161,ScoringTable!$L$2:$L$161,,-1),TRUE,_xlfn.XLOOKUP($G48,ScoringTable!$U$2:$U$161,ScoringTable!$R$2:$R$161,,-1))</f>
        <v>72</v>
      </c>
    </row>
    <row r="49" spans="1:13" s="7" customFormat="1" ht="16.05" customHeight="1">
      <c r="A49" s="113" t="s">
        <v>99</v>
      </c>
      <c r="B49" s="114" t="str">
        <f>IF(ISNA(VLOOKUP($F49,Declarations!B$6:C$185,2,FALSE)),"",IF(VLOOKUP($F49,Declarations!B$6:C$185,2,FALSE)="","NOT DECLARED",IF(ISNA(_xlfn.TEXTBEFORE(VLOOKUP($F49,Declarations!B$6:C$185,2,FALSE)," ")),VLOOKUP($F49,Declarations!B$6:C$185,2,FALSE),_xlfn.TEXTBEFORE(VLOOKUP($F49,Declarations!B$6:C$185,2,FALSE)," "))))</f>
        <v>WILLA</v>
      </c>
      <c r="C49" s="114" t="str">
        <f>IF(ISNA(VLOOKUP($F49,Declarations!B$6:C$185,2,FALSE)),"",IF(VLOOKUP($F49,Declarations!B$6:C$185,2,FALSE)="","NOT DECLARED",IF(ISNA(_xlfn.TEXTAFTER(VLOOKUP($F49,Declarations!B$6:C$185,2,FALSE)," ")),VLOOKUP($F49,Declarations!B$6:C$185,2,FALSE),_xlfn.TEXTAFTER(VLOOKUP($F49,Declarations!B$6:C$185,2,FALSE)," "))))</f>
        <v>GRAY</v>
      </c>
      <c r="D49" s="114" t="str">
        <f>IF(ISNA(VLOOKUP($F49,Declarations!$B$6:$F$185,5,FALSE)),"",IF(VLOOKUP($F49,Declarations!$B$6:$F$185,5,FALSE)="","NOT DECLARED",VLOOKUP($F49,Declarations!$B$6:$F$185,5,FALSE)))</f>
        <v>Poole Runners</v>
      </c>
      <c r="E49" s="112" t="str">
        <f>IF(ISNA(VLOOKUP($F49,Declarations!$B$6:$D$185,3,FALSE)),"",IF(VLOOKUP($F49,Declarations!$B$6:$D$185,3,FALSE)="","NOT DECLARED",VLOOKUP($F49,Declarations!$B$6:$D$185,3,FALSE)&amp;LEFT(VLOOKUP($F49,Declarations!$B$6:$E$185,4,FALSE))))</f>
        <v>U12G</v>
      </c>
      <c r="F49" s="58">
        <v>50</v>
      </c>
      <c r="G49" s="121">
        <v>2.79</v>
      </c>
      <c r="H49" s="121"/>
      <c r="I49" s="114" t="str">
        <f>IF(ISNA(VLOOKUP(F49,Declarations!B$6:C$185,2,FALSE)),"",IF(VLOOKUP(F49,Declarations!B$6:C$185,2,FALSE)="","NOT DECLARED",VLOOKUP(F49,Declarations!B$6:C$185,2,FALSE)))</f>
        <v>WILLA GRAY</v>
      </c>
      <c r="J49" s="112">
        <f>IF(LOWER(LEFT(G49,1))="n",1,VLOOKUP(G49,ScoringTable!D$2:I$95,6))</f>
        <v>29</v>
      </c>
      <c r="K49" s="112" t="str">
        <f>IF(OR(E49="",G49=""),"",IF(RIGHT(E49,1)="G",_xlfn.XLOOKUP(G49,Data!$D$14:$L$14,Data!$D$9:$L$9,"",-1,1),_xlfn.XLOOKUP(G49,Data!$D$7:$L$7,Data!$D$2:$L$2,"",-1,1)))</f>
        <v>PB5</v>
      </c>
      <c r="L49" s="160" t="str" cm="1">
        <f t="array" ref="L49">IFERROR(_xlfn.IFNA(
                      _xlfn.IFS(
                      G49="", "",
                      AND(E49="U12B",G49&gt;=Data!$M$7), "U12 Boys record",
                      AND(E49="U12G",G49&gt;=Data!$M$14), "U12 Girls record"
                       ),""), "")</f>
        <v/>
      </c>
      <c r="M49" s="18" cm="1">
        <f t="array" ref="M49">_xlfn.IFS($G49="",0, AND(NOT(ISNUMBER($G49)),LOWER(LEFT($G49,1))&lt;&gt;"n"),"Not a valid distance",OR(LOWER(LEFT($G49,1))="n",$G49&lt;ScoringTable!$O$161),1,RIGHT($E49,1)="B",_xlfn.XLOOKUP($G49,ScoringTable!$O$2:$O$161,ScoringTable!$L$2:$L$161,,-1),TRUE,_xlfn.XLOOKUP($G49,ScoringTable!$U$2:$U$161,ScoringTable!$R$2:$R$161,,-1))</f>
        <v>61</v>
      </c>
    </row>
    <row r="50" spans="1:13" s="7" customFormat="1" ht="16.05" customHeight="1">
      <c r="A50" s="113" t="s">
        <v>99</v>
      </c>
      <c r="B50" s="114" t="str">
        <f>IF(ISNA(VLOOKUP($F50,Declarations!B$6:C$185,2,FALSE)),"",IF(VLOOKUP($F50,Declarations!B$6:C$185,2,FALSE)="","NOT DECLARED",IF(ISNA(_xlfn.TEXTBEFORE(VLOOKUP($F50,Declarations!B$6:C$185,2,FALSE)," ")),VLOOKUP($F50,Declarations!B$6:C$185,2,FALSE),_xlfn.TEXTBEFORE(VLOOKUP($F50,Declarations!B$6:C$185,2,FALSE)," "))))</f>
        <v>MATTHEW</v>
      </c>
      <c r="C50" s="114" t="str">
        <f>IF(ISNA(VLOOKUP($F50,Declarations!B$6:C$185,2,FALSE)),"",IF(VLOOKUP($F50,Declarations!B$6:C$185,2,FALSE)="","NOT DECLARED",IF(ISNA(_xlfn.TEXTAFTER(VLOOKUP($F50,Declarations!B$6:C$185,2,FALSE)," ")),VLOOKUP($F50,Declarations!B$6:C$185,2,FALSE),_xlfn.TEXTAFTER(VLOOKUP($F50,Declarations!B$6:C$185,2,FALSE)," "))))</f>
        <v>SCALES</v>
      </c>
      <c r="D50" s="114" t="str">
        <f>IF(ISNA(VLOOKUP($F50,Declarations!$B$6:$F$185,5,FALSE)),"",IF(VLOOKUP($F50,Declarations!$B$6:$F$185,5,FALSE)="","NOT DECLARED",VLOOKUP($F50,Declarations!$B$6:$F$185,5,FALSE)))</f>
        <v>Camberley &amp; District AC</v>
      </c>
      <c r="E50" s="112" t="str">
        <f>IF(ISNA(VLOOKUP($F50,Declarations!$B$6:$D$185,3,FALSE)),"",IF(VLOOKUP($F50,Declarations!$B$6:$D$185,3,FALSE)="","NOT DECLARED",VLOOKUP($F50,Declarations!$B$6:$D$185,3,FALSE)&amp;LEFT(VLOOKUP($F50,Declarations!$B$6:$E$185,4,FALSE))))</f>
        <v>U12B</v>
      </c>
      <c r="F50" s="58">
        <v>11</v>
      </c>
      <c r="G50" s="121">
        <v>3.83</v>
      </c>
      <c r="H50" s="121"/>
      <c r="I50" s="114" t="str">
        <f>IF(ISNA(VLOOKUP(F50,Declarations!B$6:C$185,2,FALSE)),"",IF(VLOOKUP(F50,Declarations!B$6:C$185,2,FALSE)="","NOT DECLARED",VLOOKUP(F50,Declarations!B$6:C$185,2,FALSE)))</f>
        <v>MATTHEW SCALES</v>
      </c>
      <c r="J50" s="112">
        <f>IF(LOWER(LEFT(G50,1))="n",1,VLOOKUP(G50,ScoringTable!D$2:I$95,6))</f>
        <v>64</v>
      </c>
      <c r="K50" s="112" t="str">
        <f>IF(OR(E50="",G50=""),"",IF(RIGHT(E50,1)="G",_xlfn.XLOOKUP(G50,Data!$D$14:$L$14,Data!$D$9:$L$9,"",-1,1),_xlfn.XLOOKUP(G50,Data!$D$7:$L$7,Data!$D$2:$L$2,"",-1,1)))</f>
        <v>PB8</v>
      </c>
      <c r="L50" s="160" t="str" cm="1">
        <f t="array" ref="L50">IFERROR(_xlfn.IFNA(
                      _xlfn.IFS(
                      G50="", "",
                      AND(E50="U12B",G50&gt;=Data!$M$7), "U12 Boys record",
                      AND(E50="U12G",G50&gt;=Data!$M$14), "U12 Girls record"
                       ),""), "")</f>
        <v/>
      </c>
      <c r="M50" s="18" cm="1">
        <f t="array" ref="M50">_xlfn.IFS($G50="",0, AND(NOT(ISNUMBER($G50)),LOWER(LEFT($G50,1))&lt;&gt;"n"),"Not a valid distance",OR(LOWER(LEFT($G50,1))="n",$G50&lt;ScoringTable!$O$161),1,RIGHT($E50,1)="B",_xlfn.XLOOKUP($G50,ScoringTable!$O$2:$O$161,ScoringTable!$L$2:$L$161,,-1),TRUE,_xlfn.XLOOKUP($G50,ScoringTable!$U$2:$U$161,ScoringTable!$R$2:$R$161,,-1))</f>
        <v>92</v>
      </c>
    </row>
    <row r="51" spans="1:13" s="7" customFormat="1" ht="16.05" customHeight="1">
      <c r="A51" s="113" t="s">
        <v>99</v>
      </c>
      <c r="B51" s="114" t="str">
        <f>IF(ISNA(VLOOKUP($F51,Declarations!B$6:C$185,2,FALSE)),"",IF(VLOOKUP($F51,Declarations!B$6:C$185,2,FALSE)="","NOT DECLARED",IF(ISNA(_xlfn.TEXTBEFORE(VLOOKUP($F51,Declarations!B$6:C$185,2,FALSE)," ")),VLOOKUP($F51,Declarations!B$6:C$185,2,FALSE),_xlfn.TEXTBEFORE(VLOOKUP($F51,Declarations!B$6:C$185,2,FALSE)," "))))</f>
        <v>OSCAR</v>
      </c>
      <c r="C51" s="114" t="str">
        <f>IF(ISNA(VLOOKUP($F51,Declarations!B$6:C$185,2,FALSE)),"",IF(VLOOKUP($F51,Declarations!B$6:C$185,2,FALSE)="","NOT DECLARED",IF(ISNA(_xlfn.TEXTAFTER(VLOOKUP($F51,Declarations!B$6:C$185,2,FALSE)," ")),VLOOKUP($F51,Declarations!B$6:C$185,2,FALSE),_xlfn.TEXTAFTER(VLOOKUP($F51,Declarations!B$6:C$185,2,FALSE)," "))))</f>
        <v>FROST</v>
      </c>
      <c r="D51" s="114" t="str">
        <f>IF(ISNA(VLOOKUP($F51,Declarations!$B$6:$F$185,5,FALSE)),"",IF(VLOOKUP($F51,Declarations!$B$6:$F$185,5,FALSE)="","NOT DECLARED",VLOOKUP($F51,Declarations!$B$6:$F$185,5,FALSE)))</f>
        <v>Camberley &amp; District AC</v>
      </c>
      <c r="E51" s="112" t="str">
        <f>IF(ISNA(VLOOKUP($F51,Declarations!$B$6:$D$185,3,FALSE)),"",IF(VLOOKUP($F51,Declarations!$B$6:$D$185,3,FALSE)="","NOT DECLARED",VLOOKUP($F51,Declarations!$B$6:$D$185,3,FALSE)&amp;LEFT(VLOOKUP($F51,Declarations!$B$6:$E$185,4,FALSE))))</f>
        <v>U12B</v>
      </c>
      <c r="F51" s="58">
        <v>12</v>
      </c>
      <c r="G51" s="121">
        <v>3.09</v>
      </c>
      <c r="H51" s="121"/>
      <c r="I51" s="114" t="str">
        <f>IF(ISNA(VLOOKUP(F51,Declarations!B$6:C$185,2,FALSE)),"",IF(VLOOKUP(F51,Declarations!B$6:C$185,2,FALSE)="","NOT DECLARED",VLOOKUP(F51,Declarations!B$6:C$185,2,FALSE)))</f>
        <v>OSCAR FROST</v>
      </c>
      <c r="J51" s="112">
        <f>IF(LOWER(LEFT(G51,1))="n",1,VLOOKUP(G51,ScoringTable!D$2:I$95,6))</f>
        <v>39</v>
      </c>
      <c r="K51" s="112" t="str">
        <f>IF(OR(E51="",G51=""),"",IF(RIGHT(E51,1)="G",_xlfn.XLOOKUP(G51,Data!$D$14:$L$14,Data!$D$9:$L$9,"",-1,1),_xlfn.XLOOKUP(G51,Data!$D$7:$L$7,Data!$D$2:$L$2,"",-1,1)))</f>
        <v>PB5</v>
      </c>
      <c r="L51" s="160" t="str" cm="1">
        <f t="array" ref="L51">IFERROR(_xlfn.IFNA(
                      _xlfn.IFS(
                      G51="", "",
                      AND(E51="U12B",G51&gt;=Data!$M$7), "U12 Boys record",
                      AND(E51="U12G",G51&gt;=Data!$M$14), "U12 Girls record"
                       ),""), "")</f>
        <v/>
      </c>
      <c r="M51" s="18" cm="1">
        <f t="array" ref="M51">_xlfn.IFS($G51="",0, AND(NOT(ISNUMBER($G51)),LOWER(LEFT($G51,1))&lt;&gt;"n"),"Not a valid distance",OR(LOWER(LEFT($G51,1))="n",$G51&lt;ScoringTable!$O$161),1,RIGHT($E51,1)="B",_xlfn.XLOOKUP($G51,ScoringTable!$O$2:$O$161,ScoringTable!$L$2:$L$161,,-1),TRUE,_xlfn.XLOOKUP($G51,ScoringTable!$U$2:$U$161,ScoringTable!$R$2:$R$161,,-1))</f>
        <v>63</v>
      </c>
    </row>
    <row r="52" spans="1:13" s="7" customFormat="1" ht="16.05" customHeight="1">
      <c r="A52" s="113" t="s">
        <v>99</v>
      </c>
      <c r="B52" s="114" t="str">
        <f>IF(ISNA(VLOOKUP($F52,Declarations!B$6:C$185,2,FALSE)),"",IF(VLOOKUP($F52,Declarations!B$6:C$185,2,FALSE)="","NOT DECLARED",IF(ISNA(_xlfn.TEXTBEFORE(VLOOKUP($F52,Declarations!B$6:C$185,2,FALSE)," ")),VLOOKUP($F52,Declarations!B$6:C$185,2,FALSE),_xlfn.TEXTBEFORE(VLOOKUP($F52,Declarations!B$6:C$185,2,FALSE)," "))))</f>
        <v>HARRY</v>
      </c>
      <c r="C52" s="114" t="str">
        <f>IF(ISNA(VLOOKUP($F52,Declarations!B$6:C$185,2,FALSE)),"",IF(VLOOKUP($F52,Declarations!B$6:C$185,2,FALSE)="","NOT DECLARED",IF(ISNA(_xlfn.TEXTAFTER(VLOOKUP($F52,Declarations!B$6:C$185,2,FALSE)," ")),VLOOKUP($F52,Declarations!B$6:C$185,2,FALSE),_xlfn.TEXTAFTER(VLOOKUP($F52,Declarations!B$6:C$185,2,FALSE)," "))))</f>
        <v>COLLINS</v>
      </c>
      <c r="D52" s="114" t="str">
        <f>IF(ISNA(VLOOKUP($F52,Declarations!$B$6:$F$185,5,FALSE)),"",IF(VLOOKUP($F52,Declarations!$B$6:$F$185,5,FALSE)="","NOT DECLARED",VLOOKUP($F52,Declarations!$B$6:$F$185,5,FALSE)))</f>
        <v>Camberley &amp; District AC</v>
      </c>
      <c r="E52" s="112" t="str">
        <f>IF(ISNA(VLOOKUP($F52,Declarations!$B$6:$D$185,3,FALSE)),"",IF(VLOOKUP($F52,Declarations!$B$6:$D$185,3,FALSE)="","NOT DECLARED",VLOOKUP($F52,Declarations!$B$6:$D$185,3,FALSE)&amp;LEFT(VLOOKUP($F52,Declarations!$B$6:$E$185,4,FALSE))))</f>
        <v>U12B</v>
      </c>
      <c r="F52" s="58">
        <v>13</v>
      </c>
      <c r="G52" s="121">
        <v>2.99</v>
      </c>
      <c r="H52" s="121"/>
      <c r="I52" s="114" t="str">
        <f>IF(ISNA(VLOOKUP(F52,Declarations!B$6:C$185,2,FALSE)),"",IF(VLOOKUP(F52,Declarations!B$6:C$185,2,FALSE)="","NOT DECLARED",VLOOKUP(F52,Declarations!B$6:C$185,2,FALSE)))</f>
        <v>HARRY COLLINS</v>
      </c>
      <c r="J52" s="112">
        <f>IF(LOWER(LEFT(G52,1))="n",1,VLOOKUP(G52,ScoringTable!D$2:I$95,6))</f>
        <v>36</v>
      </c>
      <c r="K52" s="112" t="str">
        <f>IF(OR(E52="",G52=""),"",IF(RIGHT(E52,1)="G",_xlfn.XLOOKUP(G52,Data!$D$14:$L$14,Data!$D$9:$L$9,"",-1,1),_xlfn.XLOOKUP(G52,Data!$D$7:$L$7,Data!$D$2:$L$2,"",-1,1)))</f>
        <v>PB4</v>
      </c>
      <c r="L52" s="160" t="str" cm="1">
        <f t="array" ref="L52">IFERROR(_xlfn.IFNA(
                      _xlfn.IFS(
                      G52="", "",
                      AND(E52="U12B",G52&gt;=Data!$M$7), "U12 Boys record",
                      AND(E52="U12G",G52&gt;=Data!$M$14), "U12 Girls record"
                       ),""), "")</f>
        <v/>
      </c>
      <c r="M52" s="18" cm="1">
        <f t="array" ref="M52">_xlfn.IFS($G52="",0, AND(NOT(ISNUMBER($G52)),LOWER(LEFT($G52,1))&lt;&gt;"n"),"Not a valid distance",OR(LOWER(LEFT($G52,1))="n",$G52&lt;ScoringTable!$O$161),1,RIGHT($E52,1)="B",_xlfn.XLOOKUP($G52,ScoringTable!$O$2:$O$161,ScoringTable!$L$2:$L$161,,-1),TRUE,_xlfn.XLOOKUP($G52,ScoringTable!$U$2:$U$161,ScoringTable!$R$2:$R$161,,-1))</f>
        <v>59</v>
      </c>
    </row>
    <row r="53" spans="1:13" s="7" customFormat="1" ht="16.05" customHeight="1">
      <c r="A53" s="113" t="s">
        <v>99</v>
      </c>
      <c r="B53" s="114" t="str">
        <f>IF(ISNA(VLOOKUP($F53,Declarations!B$6:C$185,2,FALSE)),"",IF(VLOOKUP($F53,Declarations!B$6:C$185,2,FALSE)="","NOT DECLARED",IF(ISNA(_xlfn.TEXTBEFORE(VLOOKUP($F53,Declarations!B$6:C$185,2,FALSE)," ")),VLOOKUP($F53,Declarations!B$6:C$185,2,FALSE),_xlfn.TEXTBEFORE(VLOOKUP($F53,Declarations!B$6:C$185,2,FALSE)," "))))</f>
        <v>DANIEL</v>
      </c>
      <c r="C53" s="114" t="str">
        <f>IF(ISNA(VLOOKUP($F53,Declarations!B$6:C$185,2,FALSE)),"",IF(VLOOKUP($F53,Declarations!B$6:C$185,2,FALSE)="","NOT DECLARED",IF(ISNA(_xlfn.TEXTAFTER(VLOOKUP($F53,Declarations!B$6:C$185,2,FALSE)," ")),VLOOKUP($F53,Declarations!B$6:C$185,2,FALSE),_xlfn.TEXTAFTER(VLOOKUP($F53,Declarations!B$6:C$185,2,FALSE)," "))))</f>
        <v>BURDON</v>
      </c>
      <c r="D53" s="114" t="str">
        <f>IF(ISNA(VLOOKUP($F53,Declarations!$B$6:$F$185,5,FALSE)),"",IF(VLOOKUP($F53,Declarations!$B$6:$F$185,5,FALSE)="","NOT DECLARED",VLOOKUP($F53,Declarations!$B$6:$F$185,5,FALSE)))</f>
        <v>Camberley &amp; District AC</v>
      </c>
      <c r="E53" s="112" t="str">
        <f>IF(ISNA(VLOOKUP($F53,Declarations!$B$6:$D$185,3,FALSE)),"",IF(VLOOKUP($F53,Declarations!$B$6:$D$185,3,FALSE)="","NOT DECLARED",VLOOKUP($F53,Declarations!$B$6:$D$185,3,FALSE)&amp;LEFT(VLOOKUP($F53,Declarations!$B$6:$E$185,4,FALSE))))</f>
        <v>U12B</v>
      </c>
      <c r="F53" s="58">
        <v>14</v>
      </c>
      <c r="G53" s="121">
        <v>3.3</v>
      </c>
      <c r="H53" s="121"/>
      <c r="I53" s="114" t="str">
        <f>IF(ISNA(VLOOKUP(F53,Declarations!B$6:C$185,2,FALSE)),"",IF(VLOOKUP(F53,Declarations!B$6:C$185,2,FALSE)="","NOT DECLARED",VLOOKUP(F53,Declarations!B$6:C$185,2,FALSE)))</f>
        <v>DANIEL BURDON</v>
      </c>
      <c r="J53" s="112">
        <f>IF(LOWER(LEFT(G53,1))="n",1,VLOOKUP(G53,ScoringTable!D$2:I$95,6))</f>
        <v>46</v>
      </c>
      <c r="K53" s="112" t="str">
        <f>IF(OR(E53="",G53=""),"",IF(RIGHT(E53,1)="G",_xlfn.XLOOKUP(G53,Data!$D$14:$L$14,Data!$D$9:$L$9,"",-1,1),_xlfn.XLOOKUP(G53,Data!$D$7:$L$7,Data!$D$2:$L$2,"",-1,1)))</f>
        <v>PB6</v>
      </c>
      <c r="L53" s="160" t="str" cm="1">
        <f t="array" ref="L53">IFERROR(_xlfn.IFNA(
                      _xlfn.IFS(
                      G53="", "",
                      AND(E53="U12B",G53&gt;=Data!$M$7), "U12 Boys record",
                      AND(E53="U12G",G53&gt;=Data!$M$14), "U12 Girls record"
                       ),""), "")</f>
        <v/>
      </c>
      <c r="M53" s="18" cm="1">
        <f t="array" ref="M53">_xlfn.IFS($G53="",0, AND(NOT(ISNUMBER($G53)),LOWER(LEFT($G53,1))&lt;&gt;"n"),"Not a valid distance",OR(LOWER(LEFT($G53,1))="n",$G53&lt;ScoringTable!$O$161),1,RIGHT($E53,1)="B",_xlfn.XLOOKUP($G53,ScoringTable!$O$2:$O$161,ScoringTable!$L$2:$L$161,,-1),TRUE,_xlfn.XLOOKUP($G53,ScoringTable!$U$2:$U$161,ScoringTable!$R$2:$R$161,,-1))</f>
        <v>71</v>
      </c>
    </row>
    <row r="54" spans="1:13" s="7" customFormat="1" ht="16.05" customHeight="1">
      <c r="A54" s="113" t="s">
        <v>99</v>
      </c>
      <c r="B54" s="114" t="str">
        <f>IF(ISNA(VLOOKUP($F54,Declarations!B$6:C$185,2,FALSE)),"",IF(VLOOKUP($F54,Declarations!B$6:C$185,2,FALSE)="","NOT DECLARED",IF(ISNA(_xlfn.TEXTBEFORE(VLOOKUP($F54,Declarations!B$6:C$185,2,FALSE)," ")),VLOOKUP($F54,Declarations!B$6:C$185,2,FALSE),_xlfn.TEXTBEFORE(VLOOKUP($F54,Declarations!B$6:C$185,2,FALSE)," "))))</f>
        <v>TOBI</v>
      </c>
      <c r="C54" s="114" t="str">
        <f>IF(ISNA(VLOOKUP($F54,Declarations!B$6:C$185,2,FALSE)),"",IF(VLOOKUP($F54,Declarations!B$6:C$185,2,FALSE)="","NOT DECLARED",IF(ISNA(_xlfn.TEXTAFTER(VLOOKUP($F54,Declarations!B$6:C$185,2,FALSE)," ")),VLOOKUP($F54,Declarations!B$6:C$185,2,FALSE),_xlfn.TEXTAFTER(VLOOKUP($F54,Declarations!B$6:C$185,2,FALSE)," "))))</f>
        <v>AKINLUYI</v>
      </c>
      <c r="D54" s="114" t="str">
        <f>IF(ISNA(VLOOKUP($F54,Declarations!$B$6:$F$185,5,FALSE)),"",IF(VLOOKUP($F54,Declarations!$B$6:$F$185,5,FALSE)="","NOT DECLARED",VLOOKUP($F54,Declarations!$B$6:$F$185,5,FALSE)))</f>
        <v>Camberley &amp; District AC</v>
      </c>
      <c r="E54" s="112" t="str">
        <f>IF(ISNA(VLOOKUP($F54,Declarations!$B$6:$D$185,3,FALSE)),"",IF(VLOOKUP($F54,Declarations!$B$6:$D$185,3,FALSE)="","NOT DECLARED",VLOOKUP($F54,Declarations!$B$6:$D$185,3,FALSE)&amp;LEFT(VLOOKUP($F54,Declarations!$B$6:$E$185,4,FALSE))))</f>
        <v>U12B</v>
      </c>
      <c r="F54" s="58">
        <v>15</v>
      </c>
      <c r="G54" s="121">
        <v>3.07</v>
      </c>
      <c r="H54" s="121"/>
      <c r="I54" s="114" t="str">
        <f>IF(ISNA(VLOOKUP(F54,Declarations!B$6:C$185,2,FALSE)),"",IF(VLOOKUP(F54,Declarations!B$6:C$185,2,FALSE)="","NOT DECLARED",VLOOKUP(F54,Declarations!B$6:C$185,2,FALSE)))</f>
        <v>TOBI AKINLUYI</v>
      </c>
      <c r="J54" s="112">
        <f>IF(LOWER(LEFT(G54,1))="n",1,VLOOKUP(G54,ScoringTable!D$2:I$95,6))</f>
        <v>39</v>
      </c>
      <c r="K54" s="112" t="str">
        <f>IF(OR(E54="",G54=""),"",IF(RIGHT(E54,1)="G",_xlfn.XLOOKUP(G54,Data!$D$14:$L$14,Data!$D$9:$L$9,"",-1,1),_xlfn.XLOOKUP(G54,Data!$D$7:$L$7,Data!$D$2:$L$2,"",-1,1)))</f>
        <v>PB5</v>
      </c>
      <c r="L54" s="160" t="str" cm="1">
        <f t="array" ref="L54">IFERROR(_xlfn.IFNA(
                      _xlfn.IFS(
                      G54="", "",
                      AND(E54="U12B",G54&gt;=Data!$M$7), "U12 Boys record",
                      AND(E54="U12G",G54&gt;=Data!$M$14), "U12 Girls record"
                       ),""), "")</f>
        <v/>
      </c>
      <c r="M54" s="18" cm="1">
        <f t="array" ref="M54">_xlfn.IFS($G54="",0, AND(NOT(ISNUMBER($G54)),LOWER(LEFT($G54,1))&lt;&gt;"n"),"Not a valid distance",OR(LOWER(LEFT($G54,1))="n",$G54&lt;ScoringTable!$O$161),1,RIGHT($E54,1)="B",_xlfn.XLOOKUP($G54,ScoringTable!$O$2:$O$161,ScoringTable!$L$2:$L$161,,-1),TRUE,_xlfn.XLOOKUP($G54,ScoringTable!$U$2:$U$161,ScoringTable!$R$2:$R$161,,-1))</f>
        <v>62</v>
      </c>
    </row>
    <row r="55" spans="1:13" s="7" customFormat="1" ht="16.05" customHeight="1">
      <c r="A55" s="113" t="s">
        <v>99</v>
      </c>
      <c r="B55" s="114" t="str">
        <f>IF(ISNA(VLOOKUP($F55,Declarations!B$6:C$185,2,FALSE)),"",IF(VLOOKUP($F55,Declarations!B$6:C$185,2,FALSE)="","NOT DECLARED",IF(ISNA(_xlfn.TEXTBEFORE(VLOOKUP($F55,Declarations!B$6:C$185,2,FALSE)," ")),VLOOKUP($F55,Declarations!B$6:C$185,2,FALSE),_xlfn.TEXTBEFORE(VLOOKUP($F55,Declarations!B$6:C$185,2,FALSE)," "))))</f>
        <v>RAFI</v>
      </c>
      <c r="C55" s="114" t="str">
        <f>IF(ISNA(VLOOKUP($F55,Declarations!B$6:C$185,2,FALSE)),"",IF(VLOOKUP($F55,Declarations!B$6:C$185,2,FALSE)="","NOT DECLARED",IF(ISNA(_xlfn.TEXTAFTER(VLOOKUP($F55,Declarations!B$6:C$185,2,FALSE)," ")),VLOOKUP($F55,Declarations!B$6:C$185,2,FALSE),_xlfn.TEXTAFTER(VLOOKUP($F55,Declarations!B$6:C$185,2,FALSE)," "))))</f>
        <v>PAYNE</v>
      </c>
      <c r="D55" s="114" t="str">
        <f>IF(ISNA(VLOOKUP($F55,Declarations!$B$6:$F$185,5,FALSE)),"",IF(VLOOKUP($F55,Declarations!$B$6:$F$185,5,FALSE)="","NOT DECLARED",VLOOKUP($F55,Declarations!$B$6:$F$185,5,FALSE)))</f>
        <v>Camberley &amp; District AC</v>
      </c>
      <c r="E55" s="112" t="str">
        <f>IF(ISNA(VLOOKUP($F55,Declarations!$B$6:$D$185,3,FALSE)),"",IF(VLOOKUP($F55,Declarations!$B$6:$D$185,3,FALSE)="","NOT DECLARED",VLOOKUP($F55,Declarations!$B$6:$D$185,3,FALSE)&amp;LEFT(VLOOKUP($F55,Declarations!$B$6:$E$185,4,FALSE))))</f>
        <v>U12B</v>
      </c>
      <c r="F55" s="58">
        <v>16</v>
      </c>
      <c r="G55" s="121">
        <v>3.21</v>
      </c>
      <c r="H55" s="121"/>
      <c r="I55" s="114" t="str">
        <f>IF(ISNA(VLOOKUP(F55,Declarations!B$6:C$185,2,FALSE)),"",IF(VLOOKUP(F55,Declarations!B$6:C$185,2,FALSE)="","NOT DECLARED",VLOOKUP(F55,Declarations!B$6:C$185,2,FALSE)))</f>
        <v>RAFI PAYNE</v>
      </c>
      <c r="J55" s="112">
        <f>IF(LOWER(LEFT(G55,1))="n",1,VLOOKUP(G55,ScoringTable!D$2:I$95,6))</f>
        <v>43</v>
      </c>
      <c r="K55" s="112" t="str">
        <f>IF(OR(E55="",G55=""),"",IF(RIGHT(E55,1)="G",_xlfn.XLOOKUP(G55,Data!$D$14:$L$14,Data!$D$9:$L$9,"",-1,1),_xlfn.XLOOKUP(G55,Data!$D$7:$L$7,Data!$D$2:$L$2,"",-1,1)))</f>
        <v>PB5</v>
      </c>
      <c r="L55" s="160" t="str" cm="1">
        <f t="array" ref="L55">IFERROR(_xlfn.IFNA(
                      _xlfn.IFS(
                      G55="", "",
                      AND(E55="U12B",G55&gt;=Data!$M$7), "U12 Boys record",
                      AND(E55="U12G",G55&gt;=Data!$M$14), "U12 Girls record"
                       ),""), "")</f>
        <v/>
      </c>
      <c r="M55" s="18" cm="1">
        <f t="array" ref="M55">_xlfn.IFS($G55="",0, AND(NOT(ISNUMBER($G55)),LOWER(LEFT($G55,1))&lt;&gt;"n"),"Not a valid distance",OR(LOWER(LEFT($G55,1))="n",$G55&lt;ScoringTable!$O$161),1,RIGHT($E55,1)="B",_xlfn.XLOOKUP($G55,ScoringTable!$O$2:$O$161,ScoringTable!$L$2:$L$161,,-1),TRUE,_xlfn.XLOOKUP($G55,ScoringTable!$U$2:$U$161,ScoringTable!$R$2:$R$161,,-1))</f>
        <v>68</v>
      </c>
    </row>
    <row r="56" spans="1:13" s="7" customFormat="1" ht="16.05" customHeight="1">
      <c r="A56" s="113" t="s">
        <v>99</v>
      </c>
      <c r="B56" s="114" t="str">
        <f>IF(ISNA(VLOOKUP($F56,Declarations!B$6:C$185,2,FALSE)),"",IF(VLOOKUP($F56,Declarations!B$6:C$185,2,FALSE)="","NOT DECLARED",IF(ISNA(_xlfn.TEXTBEFORE(VLOOKUP($F56,Declarations!B$6:C$185,2,FALSE)," ")),VLOOKUP($F56,Declarations!B$6:C$185,2,FALSE),_xlfn.TEXTBEFORE(VLOOKUP($F56,Declarations!B$6:C$185,2,FALSE)," "))))</f>
        <v>FELIX</v>
      </c>
      <c r="C56" s="114" t="str">
        <f>IF(ISNA(VLOOKUP($F56,Declarations!B$6:C$185,2,FALSE)),"",IF(VLOOKUP($F56,Declarations!B$6:C$185,2,FALSE)="","NOT DECLARED",IF(ISNA(_xlfn.TEXTAFTER(VLOOKUP($F56,Declarations!B$6:C$185,2,FALSE)," ")),VLOOKUP($F56,Declarations!B$6:C$185,2,FALSE),_xlfn.TEXTAFTER(VLOOKUP($F56,Declarations!B$6:C$185,2,FALSE)," "))))</f>
        <v>POWERS</v>
      </c>
      <c r="D56" s="114" t="str">
        <f>IF(ISNA(VLOOKUP($F56,Declarations!$B$6:$F$185,5,FALSE)),"",IF(VLOOKUP($F56,Declarations!$B$6:$F$185,5,FALSE)="","NOT DECLARED",VLOOKUP($F56,Declarations!$B$6:$F$185,5,FALSE)))</f>
        <v>Camberley &amp; District AC</v>
      </c>
      <c r="E56" s="112" t="str">
        <f>IF(ISNA(VLOOKUP($F56,Declarations!$B$6:$D$185,3,FALSE)),"",IF(VLOOKUP($F56,Declarations!$B$6:$D$185,3,FALSE)="","NOT DECLARED",VLOOKUP($F56,Declarations!$B$6:$D$185,3,FALSE)&amp;LEFT(VLOOKUP($F56,Declarations!$B$6:$E$185,4,FALSE))))</f>
        <v>U12B</v>
      </c>
      <c r="F56" s="58">
        <v>17</v>
      </c>
      <c r="G56" s="121">
        <v>2.72</v>
      </c>
      <c r="H56" s="121"/>
      <c r="I56" s="114" t="str">
        <f>IF(ISNA(VLOOKUP(F56,Declarations!B$6:C$185,2,FALSE)),"",IF(VLOOKUP(F56,Declarations!B$6:C$185,2,FALSE)="","NOT DECLARED",VLOOKUP(F56,Declarations!B$6:C$185,2,FALSE)))</f>
        <v>FELIX POWERS</v>
      </c>
      <c r="J56" s="112">
        <f>IF(LOWER(LEFT(G56,1))="n",1,VLOOKUP(G56,ScoringTable!D$2:I$95,6))</f>
        <v>27</v>
      </c>
      <c r="K56" s="112" t="str">
        <f>IF(OR(E56="",G56=""),"",IF(RIGHT(E56,1)="G",_xlfn.XLOOKUP(G56,Data!$D$14:$L$14,Data!$D$9:$L$9,"",-1,1),_xlfn.XLOOKUP(G56,Data!$D$7:$L$7,Data!$D$2:$L$2,"",-1,1)))</f>
        <v>PB3</v>
      </c>
      <c r="L56" s="160" t="str" cm="1">
        <f t="array" ref="L56">IFERROR(_xlfn.IFNA(
                      _xlfn.IFS(
                      G56="", "",
                      AND(E56="U12B",G56&gt;=Data!$M$7), "U12 Boys record",
                      AND(E56="U12G",G56&gt;=Data!$M$14), "U12 Girls record"
                       ),""), "")</f>
        <v/>
      </c>
      <c r="M56" s="18" cm="1">
        <f t="array" ref="M56">_xlfn.IFS($G56="",0, AND(NOT(ISNUMBER($G56)),LOWER(LEFT($G56,1))&lt;&gt;"n"),"Not a valid distance",OR(LOWER(LEFT($G56,1))="n",$G56&lt;ScoringTable!$O$161),1,RIGHT($E56,1)="B",_xlfn.XLOOKUP($G56,ScoringTable!$O$2:$O$161,ScoringTable!$L$2:$L$161,,-1),TRUE,_xlfn.XLOOKUP($G56,ScoringTable!$U$2:$U$161,ScoringTable!$R$2:$R$161,,-1))</f>
        <v>48</v>
      </c>
    </row>
    <row r="57" spans="1:13" s="7" customFormat="1" ht="16.05" customHeight="1">
      <c r="A57" s="113" t="s">
        <v>99</v>
      </c>
      <c r="B57" s="114" t="str">
        <f>IF(ISNA(VLOOKUP($F57,Declarations!B$6:C$185,2,FALSE)),"",IF(VLOOKUP($F57,Declarations!B$6:C$185,2,FALSE)="","NOT DECLARED",IF(ISNA(_xlfn.TEXTBEFORE(VLOOKUP($F57,Declarations!B$6:C$185,2,FALSE)," ")),VLOOKUP($F57,Declarations!B$6:C$185,2,FALSE),_xlfn.TEXTBEFORE(VLOOKUP($F57,Declarations!B$6:C$185,2,FALSE)," "))))</f>
        <v>CADEN</v>
      </c>
      <c r="C57" s="114" t="str">
        <f>IF(ISNA(VLOOKUP($F57,Declarations!B$6:C$185,2,FALSE)),"",IF(VLOOKUP($F57,Declarations!B$6:C$185,2,FALSE)="","NOT DECLARED",IF(ISNA(_xlfn.TEXTAFTER(VLOOKUP($F57,Declarations!B$6:C$185,2,FALSE)," ")),VLOOKUP($F57,Declarations!B$6:C$185,2,FALSE),_xlfn.TEXTAFTER(VLOOKUP($F57,Declarations!B$6:C$185,2,FALSE)," "))))</f>
        <v>LUCAS</v>
      </c>
      <c r="D57" s="114" t="str">
        <f>IF(ISNA(VLOOKUP($F57,Declarations!$B$6:$F$185,5,FALSE)),"",IF(VLOOKUP($F57,Declarations!$B$6:$F$185,5,FALSE)="","NOT DECLARED",VLOOKUP($F57,Declarations!$B$6:$F$185,5,FALSE)))</f>
        <v>Camberley &amp; District AC</v>
      </c>
      <c r="E57" s="112" t="str">
        <f>IF(ISNA(VLOOKUP($F57,Declarations!$B$6:$D$185,3,FALSE)),"",IF(VLOOKUP($F57,Declarations!$B$6:$D$185,3,FALSE)="","NOT DECLARED",VLOOKUP($F57,Declarations!$B$6:$D$185,3,FALSE)&amp;LEFT(VLOOKUP($F57,Declarations!$B$6:$E$185,4,FALSE))))</f>
        <v>U12B</v>
      </c>
      <c r="F57" s="58">
        <v>18</v>
      </c>
      <c r="G57" s="121">
        <v>2.72</v>
      </c>
      <c r="H57" s="121"/>
      <c r="I57" s="114" t="str">
        <f>IF(ISNA(VLOOKUP(F57,Declarations!B$6:C$185,2,FALSE)),"",IF(VLOOKUP(F57,Declarations!B$6:C$185,2,FALSE)="","NOT DECLARED",VLOOKUP(F57,Declarations!B$6:C$185,2,FALSE)))</f>
        <v>CADEN LUCAS</v>
      </c>
      <c r="J57" s="112">
        <f>IF(LOWER(LEFT(G57,1))="n",1,VLOOKUP(G57,ScoringTable!D$2:I$95,6))</f>
        <v>27</v>
      </c>
      <c r="K57" s="112" t="str">
        <f>IF(OR(E57="",G57=""),"",IF(RIGHT(E57,1)="G",_xlfn.XLOOKUP(G57,Data!$D$14:$L$14,Data!$D$9:$L$9,"",-1,1),_xlfn.XLOOKUP(G57,Data!$D$7:$L$7,Data!$D$2:$L$2,"",-1,1)))</f>
        <v>PB3</v>
      </c>
      <c r="L57" s="160" t="str" cm="1">
        <f t="array" ref="L57">IFERROR(_xlfn.IFNA(
                      _xlfn.IFS(
                      G57="", "",
                      AND(E57="U12B",G57&gt;=Data!$M$7), "U12 Boys record",
                      AND(E57="U12G",G57&gt;=Data!$M$14), "U12 Girls record"
                       ),""), "")</f>
        <v/>
      </c>
      <c r="M57" s="18" cm="1">
        <f t="array" ref="M57">_xlfn.IFS($G57="",0, AND(NOT(ISNUMBER($G57)),LOWER(LEFT($G57,1))&lt;&gt;"n"),"Not a valid distance",OR(LOWER(LEFT($G57,1))="n",$G57&lt;ScoringTable!$O$161),1,RIGHT($E57,1)="B",_xlfn.XLOOKUP($G57,ScoringTable!$O$2:$O$161,ScoringTable!$L$2:$L$161,,-1),TRUE,_xlfn.XLOOKUP($G57,ScoringTable!$U$2:$U$161,ScoringTable!$R$2:$R$161,,-1))</f>
        <v>48</v>
      </c>
    </row>
    <row r="58" spans="1:13" s="7" customFormat="1" ht="16.05" customHeight="1">
      <c r="A58" s="113" t="s">
        <v>99</v>
      </c>
      <c r="B58" s="114" t="str">
        <f>IF(ISNA(VLOOKUP($F58,Declarations!B$6:C$185,2,FALSE)),"",IF(VLOOKUP($F58,Declarations!B$6:C$185,2,FALSE)="","NOT DECLARED",IF(ISNA(_xlfn.TEXTBEFORE(VLOOKUP($F58,Declarations!B$6:C$185,2,FALSE)," ")),VLOOKUP($F58,Declarations!B$6:C$185,2,FALSE),_xlfn.TEXTBEFORE(VLOOKUP($F58,Declarations!B$6:C$185,2,FALSE)," "))))</f>
        <v>OLI</v>
      </c>
      <c r="C58" s="114" t="str">
        <f>IF(ISNA(VLOOKUP($F58,Declarations!B$6:C$185,2,FALSE)),"",IF(VLOOKUP($F58,Declarations!B$6:C$185,2,FALSE)="","NOT DECLARED",IF(ISNA(_xlfn.TEXTAFTER(VLOOKUP($F58,Declarations!B$6:C$185,2,FALSE)," ")),VLOOKUP($F58,Declarations!B$6:C$185,2,FALSE),_xlfn.TEXTAFTER(VLOOKUP($F58,Declarations!B$6:C$185,2,FALSE)," "))))</f>
        <v>THOMPSON</v>
      </c>
      <c r="D58" s="114" t="str">
        <f>IF(ISNA(VLOOKUP($F58,Declarations!$B$6:$F$185,5,FALSE)),"",IF(VLOOKUP($F58,Declarations!$B$6:$F$185,5,FALSE)="","NOT DECLARED",VLOOKUP($F58,Declarations!$B$6:$F$185,5,FALSE)))</f>
        <v>Woking AC</v>
      </c>
      <c r="E58" s="112" t="str">
        <f>IF(ISNA(VLOOKUP($F58,Declarations!$B$6:$D$185,3,FALSE)),"",IF(VLOOKUP($F58,Declarations!$B$6:$D$185,3,FALSE)="","NOT DECLARED",VLOOKUP($F58,Declarations!$B$6:$D$185,3,FALSE)&amp;LEFT(VLOOKUP($F58,Declarations!$B$6:$E$185,4,FALSE))))</f>
        <v>U12B</v>
      </c>
      <c r="F58" s="58">
        <v>31</v>
      </c>
      <c r="G58" s="121">
        <v>3.06</v>
      </c>
      <c r="H58" s="121"/>
      <c r="I58" s="114" t="str">
        <f>IF(ISNA(VLOOKUP(F58,Declarations!B$6:C$185,2,FALSE)),"",IF(VLOOKUP(F58,Declarations!B$6:C$185,2,FALSE)="","NOT DECLARED",VLOOKUP(F58,Declarations!B$6:C$185,2,FALSE)))</f>
        <v>OLI THOMPSON</v>
      </c>
      <c r="J58" s="112">
        <f>IF(LOWER(LEFT(G58,1))="n",1,VLOOKUP(G58,ScoringTable!D$2:I$95,6))</f>
        <v>38</v>
      </c>
      <c r="K58" s="112" t="str">
        <f>IF(OR(E58="",G58=""),"",IF(RIGHT(E58,1)="G",_xlfn.XLOOKUP(G58,Data!$D$14:$L$14,Data!$D$9:$L$9,"",-1,1),_xlfn.XLOOKUP(G58,Data!$D$7:$L$7,Data!$D$2:$L$2,"",-1,1)))</f>
        <v>PB5</v>
      </c>
      <c r="L58" s="160" t="str" cm="1">
        <f t="array" ref="L58">IFERROR(_xlfn.IFNA(
                      _xlfn.IFS(
                      G58="", "",
                      AND(E58="U12B",G58&gt;=Data!$M$7), "U12 Boys record",
                      AND(E58="U12G",G58&gt;=Data!$M$14), "U12 Girls record"
                       ),""), "")</f>
        <v/>
      </c>
      <c r="M58" s="18" cm="1">
        <f t="array" ref="M58">_xlfn.IFS($G58="",0, AND(NOT(ISNUMBER($G58)),LOWER(LEFT($G58,1))&lt;&gt;"n"),"Not a valid distance",OR(LOWER(LEFT($G58,1))="n",$G58&lt;ScoringTable!$O$161),1,RIGHT($E58,1)="B",_xlfn.XLOOKUP($G58,ScoringTable!$O$2:$O$161,ScoringTable!$L$2:$L$161,,-1),TRUE,_xlfn.XLOOKUP($G58,ScoringTable!$U$2:$U$161,ScoringTable!$R$2:$R$161,,-1))</f>
        <v>62</v>
      </c>
    </row>
    <row r="59" spans="1:13" s="7" customFormat="1" ht="16.05" customHeight="1">
      <c r="A59" s="113" t="s">
        <v>99</v>
      </c>
      <c r="B59" s="114" t="str">
        <f>IF(ISNA(VLOOKUP($F59,Declarations!B$6:C$185,2,FALSE)),"",IF(VLOOKUP($F59,Declarations!B$6:C$185,2,FALSE)="","NOT DECLARED",IF(ISNA(_xlfn.TEXTBEFORE(VLOOKUP($F59,Declarations!B$6:C$185,2,FALSE)," ")),VLOOKUP($F59,Declarations!B$6:C$185,2,FALSE),_xlfn.TEXTBEFORE(VLOOKUP($F59,Declarations!B$6:C$185,2,FALSE)," "))))</f>
        <v>ISAAC</v>
      </c>
      <c r="C59" s="114" t="str">
        <f>IF(ISNA(VLOOKUP($F59,Declarations!B$6:C$185,2,FALSE)),"",IF(VLOOKUP($F59,Declarations!B$6:C$185,2,FALSE)="","NOT DECLARED",IF(ISNA(_xlfn.TEXTAFTER(VLOOKUP($F59,Declarations!B$6:C$185,2,FALSE)," ")),VLOOKUP($F59,Declarations!B$6:C$185,2,FALSE),_xlfn.TEXTAFTER(VLOOKUP($F59,Declarations!B$6:C$185,2,FALSE)," "))))</f>
        <v>HUTCHISON</v>
      </c>
      <c r="D59" s="114" t="str">
        <f>IF(ISNA(VLOOKUP($F59,Declarations!$B$6:$F$185,5,FALSE)),"",IF(VLOOKUP($F59,Declarations!$B$6:$F$185,5,FALSE)="","NOT DECLARED",VLOOKUP($F59,Declarations!$B$6:$F$185,5,FALSE)))</f>
        <v>Woking AC</v>
      </c>
      <c r="E59" s="112" t="str">
        <f>IF(ISNA(VLOOKUP($F59,Declarations!$B$6:$D$185,3,FALSE)),"",IF(VLOOKUP($F59,Declarations!$B$6:$D$185,3,FALSE)="","NOT DECLARED",VLOOKUP($F59,Declarations!$B$6:$D$185,3,FALSE)&amp;LEFT(VLOOKUP($F59,Declarations!$B$6:$E$185,4,FALSE))))</f>
        <v>U12B</v>
      </c>
      <c r="F59" s="58">
        <v>32</v>
      </c>
      <c r="G59" s="121">
        <v>3.01</v>
      </c>
      <c r="H59" s="121"/>
      <c r="I59" s="114" t="str">
        <f>IF(ISNA(VLOOKUP(F59,Declarations!B$6:C$185,2,FALSE)),"",IF(VLOOKUP(F59,Declarations!B$6:C$185,2,FALSE)="","NOT DECLARED",VLOOKUP(F59,Declarations!B$6:C$185,2,FALSE)))</f>
        <v>ISAAC HUTCHISON</v>
      </c>
      <c r="J59" s="112">
        <f>IF(LOWER(LEFT(G59,1))="n",1,VLOOKUP(G59,ScoringTable!D$2:I$95,6))</f>
        <v>37</v>
      </c>
      <c r="K59" s="112" t="str">
        <f>IF(OR(E59="",G59=""),"",IF(RIGHT(E59,1)="G",_xlfn.XLOOKUP(G59,Data!$D$14:$L$14,Data!$D$9:$L$9,"",-1,1),_xlfn.XLOOKUP(G59,Data!$D$7:$L$7,Data!$D$2:$L$2,"",-1,1)))</f>
        <v>PB5</v>
      </c>
      <c r="L59" s="160" t="str" cm="1">
        <f t="array" ref="L59">IFERROR(_xlfn.IFNA(
                      _xlfn.IFS(
                      G59="", "",
                      AND(E59="U12B",G59&gt;=Data!$M$7), "U12 Boys record",
                      AND(E59="U12G",G59&gt;=Data!$M$14), "U12 Girls record"
                       ),""), "")</f>
        <v/>
      </c>
      <c r="M59" s="18" cm="1">
        <f t="array" ref="M59">_xlfn.IFS($G59="",0, AND(NOT(ISNUMBER($G59)),LOWER(LEFT($G59,1))&lt;&gt;"n"),"Not a valid distance",OR(LOWER(LEFT($G59,1))="n",$G59&lt;ScoringTable!$O$161),1,RIGHT($E59,1)="B",_xlfn.XLOOKUP($G59,ScoringTable!$O$2:$O$161,ScoringTable!$L$2:$L$161,,-1),TRUE,_xlfn.XLOOKUP($G59,ScoringTable!$U$2:$U$161,ScoringTable!$R$2:$R$161,,-1))</f>
        <v>60</v>
      </c>
    </row>
    <row r="60" spans="1:13" s="7" customFormat="1" ht="16.05" customHeight="1">
      <c r="A60" s="113" t="s">
        <v>99</v>
      </c>
      <c r="B60" s="114" t="str">
        <f>IF(ISNA(VLOOKUP($F60,Declarations!B$6:C$185,2,FALSE)),"",IF(VLOOKUP($F60,Declarations!B$6:C$185,2,FALSE)="","NOT DECLARED",IF(ISNA(_xlfn.TEXTBEFORE(VLOOKUP($F60,Declarations!B$6:C$185,2,FALSE)," ")),VLOOKUP($F60,Declarations!B$6:C$185,2,FALSE),_xlfn.TEXTBEFORE(VLOOKUP($F60,Declarations!B$6:C$185,2,FALSE)," "))))</f>
        <v>WILLIAM</v>
      </c>
      <c r="C60" s="114" t="str">
        <f>IF(ISNA(VLOOKUP($F60,Declarations!B$6:C$185,2,FALSE)),"",IF(VLOOKUP($F60,Declarations!B$6:C$185,2,FALSE)="","NOT DECLARED",IF(ISNA(_xlfn.TEXTAFTER(VLOOKUP($F60,Declarations!B$6:C$185,2,FALSE)," ")),VLOOKUP($F60,Declarations!B$6:C$185,2,FALSE),_xlfn.TEXTAFTER(VLOOKUP($F60,Declarations!B$6:C$185,2,FALSE)," "))))</f>
        <v>PEARCE</v>
      </c>
      <c r="D60" s="114" t="str">
        <f>IF(ISNA(VLOOKUP($F60,Declarations!$B$6:$F$185,5,FALSE)),"",IF(VLOOKUP($F60,Declarations!$B$6:$F$185,5,FALSE)="","NOT DECLARED",VLOOKUP($F60,Declarations!$B$6:$F$185,5,FALSE)))</f>
        <v>Woking AC</v>
      </c>
      <c r="E60" s="112" t="str">
        <f>IF(ISNA(VLOOKUP($F60,Declarations!$B$6:$D$185,3,FALSE)),"",IF(VLOOKUP($F60,Declarations!$B$6:$D$185,3,FALSE)="","NOT DECLARED",VLOOKUP($F60,Declarations!$B$6:$D$185,3,FALSE)&amp;LEFT(VLOOKUP($F60,Declarations!$B$6:$E$185,4,FALSE))))</f>
        <v>U12B</v>
      </c>
      <c r="F60" s="58">
        <v>33</v>
      </c>
      <c r="G60" s="121">
        <v>3.79</v>
      </c>
      <c r="H60" s="121"/>
      <c r="I60" s="114" t="str">
        <f>IF(ISNA(VLOOKUP(F60,Declarations!B$6:C$185,2,FALSE)),"",IF(VLOOKUP(F60,Declarations!B$6:C$185,2,FALSE)="","NOT DECLARED",VLOOKUP(F60,Declarations!B$6:C$185,2,FALSE)))</f>
        <v>WILLIAM PEARCE</v>
      </c>
      <c r="J60" s="112">
        <f>IF(LOWER(LEFT(G60,1))="n",1,VLOOKUP(G60,ScoringTable!D$2:I$95,6))</f>
        <v>63</v>
      </c>
      <c r="K60" s="112" t="str">
        <f>IF(OR(E60="",G60=""),"",IF(RIGHT(E60,1)="G",_xlfn.XLOOKUP(G60,Data!$D$14:$L$14,Data!$D$9:$L$9,"",-1,1),_xlfn.XLOOKUP(G60,Data!$D$7:$L$7,Data!$D$2:$L$2,"",-1,1)))</f>
        <v>PB8</v>
      </c>
      <c r="L60" s="160" t="str" cm="1">
        <f t="array" ref="L60">IFERROR(_xlfn.IFNA(
                      _xlfn.IFS(
                      G60="", "",
                      AND(E60="U12B",G60&gt;=Data!$M$7), "U12 Boys record",
                      AND(E60="U12G",G60&gt;=Data!$M$14), "U12 Girls record"
                       ),""), "")</f>
        <v/>
      </c>
      <c r="M60" s="18" cm="1">
        <f t="array" ref="M60">_xlfn.IFS($G60="",0, AND(NOT(ISNUMBER($G60)),LOWER(LEFT($G60,1))&lt;&gt;"n"),"Not a valid distance",OR(LOWER(LEFT($G60,1))="n",$G60&lt;ScoringTable!$O$161),1,RIGHT($E60,1)="B",_xlfn.XLOOKUP($G60,ScoringTable!$O$2:$O$161,ScoringTable!$L$2:$L$161,,-1),TRUE,_xlfn.XLOOKUP($G60,ScoringTable!$U$2:$U$161,ScoringTable!$R$2:$R$161,,-1))</f>
        <v>91</v>
      </c>
    </row>
    <row r="61" spans="1:13" s="7" customFormat="1" ht="16.05" customHeight="1">
      <c r="A61" s="113" t="s">
        <v>99</v>
      </c>
      <c r="B61" s="114" t="str">
        <f>IF(ISNA(VLOOKUP($F61,Declarations!B$6:C$185,2,FALSE)),"",IF(VLOOKUP($F61,Declarations!B$6:C$185,2,FALSE)="","NOT DECLARED",IF(ISNA(_xlfn.TEXTBEFORE(VLOOKUP($F61,Declarations!B$6:C$185,2,FALSE)," ")),VLOOKUP($F61,Declarations!B$6:C$185,2,FALSE),_xlfn.TEXTBEFORE(VLOOKUP($F61,Declarations!B$6:C$185,2,FALSE)," "))))</f>
        <v>LOUIS</v>
      </c>
      <c r="C61" s="114" t="str">
        <f>IF(ISNA(VLOOKUP($F61,Declarations!B$6:C$185,2,FALSE)),"",IF(VLOOKUP($F61,Declarations!B$6:C$185,2,FALSE)="","NOT DECLARED",IF(ISNA(_xlfn.TEXTAFTER(VLOOKUP($F61,Declarations!B$6:C$185,2,FALSE)," ")),VLOOKUP($F61,Declarations!B$6:C$185,2,FALSE),_xlfn.TEXTAFTER(VLOOKUP($F61,Declarations!B$6:C$185,2,FALSE)," "))))</f>
        <v>MASON</v>
      </c>
      <c r="D61" s="114" t="str">
        <f>IF(ISNA(VLOOKUP($F61,Declarations!$B$6:$F$185,5,FALSE)),"",IF(VLOOKUP($F61,Declarations!$B$6:$F$185,5,FALSE)="","NOT DECLARED",VLOOKUP($F61,Declarations!$B$6:$F$185,5,FALSE)))</f>
        <v>Woking AC</v>
      </c>
      <c r="E61" s="112" t="str">
        <f>IF(ISNA(VLOOKUP($F61,Declarations!$B$6:$D$185,3,FALSE)),"",IF(VLOOKUP($F61,Declarations!$B$6:$D$185,3,FALSE)="","NOT DECLARED",VLOOKUP($F61,Declarations!$B$6:$D$185,3,FALSE)&amp;LEFT(VLOOKUP($F61,Declarations!$B$6:$E$185,4,FALSE))))</f>
        <v>U12B</v>
      </c>
      <c r="F61" s="58">
        <v>34</v>
      </c>
      <c r="G61" s="121">
        <v>3.3</v>
      </c>
      <c r="H61" s="121"/>
      <c r="I61" s="114" t="str">
        <f>IF(ISNA(VLOOKUP(F61,Declarations!B$6:C$185,2,FALSE)),"",IF(VLOOKUP(F61,Declarations!B$6:C$185,2,FALSE)="","NOT DECLARED",VLOOKUP(F61,Declarations!B$6:C$185,2,FALSE)))</f>
        <v>LOUIS MASON</v>
      </c>
      <c r="J61" s="112">
        <f>IF(LOWER(LEFT(G61,1))="n",1,VLOOKUP(G61,ScoringTable!D$2:I$95,6))</f>
        <v>46</v>
      </c>
      <c r="K61" s="112" t="str">
        <f>IF(OR(E61="",G61=""),"",IF(RIGHT(E61,1)="G",_xlfn.XLOOKUP(G61,Data!$D$14:$L$14,Data!$D$9:$L$9,"",-1,1),_xlfn.XLOOKUP(G61,Data!$D$7:$L$7,Data!$D$2:$L$2,"",-1,1)))</f>
        <v>PB6</v>
      </c>
      <c r="L61" s="160" t="str" cm="1">
        <f t="array" ref="L61">IFERROR(_xlfn.IFNA(
                      _xlfn.IFS(
                      G61="", "",
                      AND(E61="U12B",G61&gt;=Data!$M$7), "U12 Boys record",
                      AND(E61="U12G",G61&gt;=Data!$M$14), "U12 Girls record"
                       ),""), "")</f>
        <v/>
      </c>
      <c r="M61" s="18" cm="1">
        <f t="array" ref="M61">_xlfn.IFS($G61="",0, AND(NOT(ISNUMBER($G61)),LOWER(LEFT($G61,1))&lt;&gt;"n"),"Not a valid distance",OR(LOWER(LEFT($G61,1))="n",$G61&lt;ScoringTable!$O$161),1,RIGHT($E61,1)="B",_xlfn.XLOOKUP($G61,ScoringTable!$O$2:$O$161,ScoringTable!$L$2:$L$161,,-1),TRUE,_xlfn.XLOOKUP($G61,ScoringTable!$U$2:$U$161,ScoringTable!$R$2:$R$161,,-1))</f>
        <v>71</v>
      </c>
    </row>
    <row r="62" spans="1:13" s="7" customFormat="1" ht="16.05" customHeight="1">
      <c r="A62" s="113" t="s">
        <v>99</v>
      </c>
      <c r="B62" s="114" t="str">
        <f>IF(ISNA(VLOOKUP($F62,Declarations!B$6:C$185,2,FALSE)),"",IF(VLOOKUP($F62,Declarations!B$6:C$185,2,FALSE)="","NOT DECLARED",IF(ISNA(_xlfn.TEXTBEFORE(VLOOKUP($F62,Declarations!B$6:C$185,2,FALSE)," ")),VLOOKUP($F62,Declarations!B$6:C$185,2,FALSE),_xlfn.TEXTBEFORE(VLOOKUP($F62,Declarations!B$6:C$185,2,FALSE)," "))))</f>
        <v>MATTHIAS</v>
      </c>
      <c r="C62" s="114" t="str">
        <f>IF(ISNA(VLOOKUP($F62,Declarations!B$6:C$185,2,FALSE)),"",IF(VLOOKUP($F62,Declarations!B$6:C$185,2,FALSE)="","NOT DECLARED",IF(ISNA(_xlfn.TEXTAFTER(VLOOKUP($F62,Declarations!B$6:C$185,2,FALSE)," ")),VLOOKUP($F62,Declarations!B$6:C$185,2,FALSE),_xlfn.TEXTAFTER(VLOOKUP($F62,Declarations!B$6:C$185,2,FALSE)," "))))</f>
        <v>DE PAULA DENS</v>
      </c>
      <c r="D62" s="114" t="str">
        <f>IF(ISNA(VLOOKUP($F62,Declarations!$B$6:$F$185,5,FALSE)),"",IF(VLOOKUP($F62,Declarations!$B$6:$F$185,5,FALSE)="","NOT DECLARED",VLOOKUP($F62,Declarations!$B$6:$F$185,5,FALSE)))</f>
        <v>Woking AC</v>
      </c>
      <c r="E62" s="112" t="str">
        <f>IF(ISNA(VLOOKUP($F62,Declarations!$B$6:$D$185,3,FALSE)),"",IF(VLOOKUP($F62,Declarations!$B$6:$D$185,3,FALSE)="","NOT DECLARED",VLOOKUP($F62,Declarations!$B$6:$D$185,3,FALSE)&amp;LEFT(VLOOKUP($F62,Declarations!$B$6:$E$185,4,FALSE))))</f>
        <v>U12B</v>
      </c>
      <c r="F62" s="58">
        <v>35</v>
      </c>
      <c r="G62" s="121">
        <v>3.08</v>
      </c>
      <c r="H62" s="121"/>
      <c r="I62" s="114" t="str">
        <f>IF(ISNA(VLOOKUP(F62,Declarations!B$6:C$185,2,FALSE)),"",IF(VLOOKUP(F62,Declarations!B$6:C$185,2,FALSE)="","NOT DECLARED",VLOOKUP(F62,Declarations!B$6:C$185,2,FALSE)))</f>
        <v>MATTHIAS DE PAULA DENS</v>
      </c>
      <c r="J62" s="112">
        <f>IF(LOWER(LEFT(G62,1))="n",1,VLOOKUP(G62,ScoringTable!D$2:I$95,6))</f>
        <v>39</v>
      </c>
      <c r="K62" s="112" t="str">
        <f>IF(OR(E62="",G62=""),"",IF(RIGHT(E62,1)="G",_xlfn.XLOOKUP(G62,Data!$D$14:$L$14,Data!$D$9:$L$9,"",-1,1),_xlfn.XLOOKUP(G62,Data!$D$7:$L$7,Data!$D$2:$L$2,"",-1,1)))</f>
        <v>PB5</v>
      </c>
      <c r="L62" s="160" t="str" cm="1">
        <f t="array" ref="L62">IFERROR(_xlfn.IFNA(
                      _xlfn.IFS(
                      G62="", "",
                      AND(E62="U12B",G62&gt;=Data!$M$7), "U12 Boys record",
                      AND(E62="U12G",G62&gt;=Data!$M$14), "U12 Girls record"
                       ),""), "")</f>
        <v/>
      </c>
      <c r="M62" s="18" cm="1">
        <f t="array" ref="M62">_xlfn.IFS($G62="",0, AND(NOT(ISNUMBER($G62)),LOWER(LEFT($G62,1))&lt;&gt;"n"),"Not a valid distance",OR(LOWER(LEFT($G62,1))="n",$G62&lt;ScoringTable!$O$161),1,RIGHT($E62,1)="B",_xlfn.XLOOKUP($G62,ScoringTable!$O$2:$O$161,ScoringTable!$L$2:$L$161,,-1),TRUE,_xlfn.XLOOKUP($G62,ScoringTable!$U$2:$U$161,ScoringTable!$R$2:$R$161,,-1))</f>
        <v>62</v>
      </c>
    </row>
    <row r="63" spans="1:13" s="7" customFormat="1" ht="16.05" customHeight="1">
      <c r="A63" s="113" t="s">
        <v>99</v>
      </c>
      <c r="B63" s="114" t="str">
        <f>IF(ISNA(VLOOKUP($F63,Declarations!B$6:C$185,2,FALSE)),"",IF(VLOOKUP($F63,Declarations!B$6:C$185,2,FALSE)="","NOT DECLARED",IF(ISNA(_xlfn.TEXTBEFORE(VLOOKUP($F63,Declarations!B$6:C$185,2,FALSE)," ")),VLOOKUP($F63,Declarations!B$6:C$185,2,FALSE),_xlfn.TEXTBEFORE(VLOOKUP($F63,Declarations!B$6:C$185,2,FALSE)," "))))</f>
        <v>KAI</v>
      </c>
      <c r="C63" s="114" t="str">
        <f>IF(ISNA(VLOOKUP($F63,Declarations!B$6:C$185,2,FALSE)),"",IF(VLOOKUP($F63,Declarations!B$6:C$185,2,FALSE)="","NOT DECLARED",IF(ISNA(_xlfn.TEXTAFTER(VLOOKUP($F63,Declarations!B$6:C$185,2,FALSE)," ")),VLOOKUP($F63,Declarations!B$6:C$185,2,FALSE),_xlfn.TEXTAFTER(VLOOKUP($F63,Declarations!B$6:C$185,2,FALSE)," "))))</f>
        <v>TEGG</v>
      </c>
      <c r="D63" s="114" t="str">
        <f>IF(ISNA(VLOOKUP($F63,Declarations!$B$6:$F$185,5,FALSE)),"",IF(VLOOKUP($F63,Declarations!$B$6:$F$185,5,FALSE)="","NOT DECLARED",VLOOKUP($F63,Declarations!$B$6:$F$185,5,FALSE)))</f>
        <v>Woking AC</v>
      </c>
      <c r="E63" s="112" t="str">
        <f>IF(ISNA(VLOOKUP($F63,Declarations!$B$6:$D$185,3,FALSE)),"",IF(VLOOKUP($F63,Declarations!$B$6:$D$185,3,FALSE)="","NOT DECLARED",VLOOKUP($F63,Declarations!$B$6:$D$185,3,FALSE)&amp;LEFT(VLOOKUP($F63,Declarations!$B$6:$E$185,4,FALSE))))</f>
        <v>U12B</v>
      </c>
      <c r="F63" s="58">
        <v>36</v>
      </c>
      <c r="G63" s="121">
        <v>3.75</v>
      </c>
      <c r="H63" s="121"/>
      <c r="I63" s="114" t="str">
        <f>IF(ISNA(VLOOKUP(F63,Declarations!B$6:C$185,2,FALSE)),"",IF(VLOOKUP(F63,Declarations!B$6:C$185,2,FALSE)="","NOT DECLARED",VLOOKUP(F63,Declarations!B$6:C$185,2,FALSE)))</f>
        <v>KAI TEGG</v>
      </c>
      <c r="J63" s="112">
        <f>IF(LOWER(LEFT(G63,1))="n",1,VLOOKUP(G63,ScoringTable!D$2:I$95,6))</f>
        <v>61</v>
      </c>
      <c r="K63" s="112" t="str">
        <f>IF(OR(E63="",G63=""),"",IF(RIGHT(E63,1)="G",_xlfn.XLOOKUP(G63,Data!$D$14:$L$14,Data!$D$9:$L$9,"",-1,1),_xlfn.XLOOKUP(G63,Data!$D$7:$L$7,Data!$D$2:$L$2,"",-1,1)))</f>
        <v>PB8</v>
      </c>
      <c r="L63" s="160" t="str" cm="1">
        <f t="array" ref="L63">IFERROR(_xlfn.IFNA(
                      _xlfn.IFS(
                      G63="", "",
                      AND(E63="U12B",G63&gt;=Data!$M$7), "U12 Boys record",
                      AND(E63="U12G",G63&gt;=Data!$M$14), "U12 Girls record"
                       ),""), "")</f>
        <v/>
      </c>
      <c r="M63" s="18" cm="1">
        <f t="array" ref="M63">_xlfn.IFS($G63="",0, AND(NOT(ISNUMBER($G63)),LOWER(LEFT($G63,1))&lt;&gt;"n"),"Not a valid distance",OR(LOWER(LEFT($G63,1))="n",$G63&lt;ScoringTable!$O$161),1,RIGHT($E63,1)="B",_xlfn.XLOOKUP($G63,ScoringTable!$O$2:$O$161,ScoringTable!$L$2:$L$161,,-1),TRUE,_xlfn.XLOOKUP($G63,ScoringTable!$U$2:$U$161,ScoringTable!$R$2:$R$161,,-1))</f>
        <v>90</v>
      </c>
    </row>
    <row r="64" spans="1:13" s="7" customFormat="1" ht="16.05" customHeight="1">
      <c r="A64" s="113" t="s">
        <v>99</v>
      </c>
      <c r="B64" s="114" t="str">
        <f>IF(ISNA(VLOOKUP($F64,Declarations!B$6:C$185,2,FALSE)),"",IF(VLOOKUP($F64,Declarations!B$6:C$185,2,FALSE)="","NOT DECLARED",IF(ISNA(_xlfn.TEXTBEFORE(VLOOKUP($F64,Declarations!B$6:C$185,2,FALSE)," ")),VLOOKUP($F64,Declarations!B$6:C$185,2,FALSE),_xlfn.TEXTBEFORE(VLOOKUP($F64,Declarations!B$6:C$185,2,FALSE)," "))))</f>
        <v>ADAM</v>
      </c>
      <c r="C64" s="114" t="str">
        <f>IF(ISNA(VLOOKUP($F64,Declarations!B$6:C$185,2,FALSE)),"",IF(VLOOKUP($F64,Declarations!B$6:C$185,2,FALSE)="","NOT DECLARED",IF(ISNA(_xlfn.TEXTAFTER(VLOOKUP($F64,Declarations!B$6:C$185,2,FALSE)," ")),VLOOKUP($F64,Declarations!B$6:C$185,2,FALSE),_xlfn.TEXTAFTER(VLOOKUP($F64,Declarations!B$6:C$185,2,FALSE)," "))))</f>
        <v>PRICE</v>
      </c>
      <c r="D64" s="114" t="str">
        <f>IF(ISNA(VLOOKUP($F64,Declarations!$B$6:$F$185,5,FALSE)),"",IF(VLOOKUP($F64,Declarations!$B$6:$F$185,5,FALSE)="","NOT DECLARED",VLOOKUP($F64,Declarations!$B$6:$F$185,5,FALSE)))</f>
        <v>Woking AC</v>
      </c>
      <c r="E64" s="112" t="str">
        <f>IF(ISNA(VLOOKUP($F64,Declarations!$B$6:$D$185,3,FALSE)),"",IF(VLOOKUP($F64,Declarations!$B$6:$D$185,3,FALSE)="","NOT DECLARED",VLOOKUP($F64,Declarations!$B$6:$D$185,3,FALSE)&amp;LEFT(VLOOKUP($F64,Declarations!$B$6:$E$185,4,FALSE))))</f>
        <v>U12B</v>
      </c>
      <c r="F64" s="58">
        <v>37</v>
      </c>
      <c r="G64" s="121">
        <v>1.52</v>
      </c>
      <c r="H64" s="121"/>
      <c r="I64" s="114" t="str">
        <f>IF(ISNA(VLOOKUP(F64,Declarations!B$6:C$185,2,FALSE)),"",IF(VLOOKUP(F64,Declarations!B$6:C$185,2,FALSE)="","NOT DECLARED",VLOOKUP(F64,Declarations!B$6:C$185,2,FALSE)))</f>
        <v>ADAM PRICE</v>
      </c>
      <c r="J64" s="112">
        <f>IF(LOWER(LEFT(G64,1))="n",1,VLOOKUP(G64,ScoringTable!D$2:I$95,6))</f>
        <v>10</v>
      </c>
      <c r="K64" s="112" t="str">
        <f>IF(OR(E64="",G64=""),"",IF(RIGHT(E64,1)="G",_xlfn.XLOOKUP(G64,Data!$D$14:$L$14,Data!$D$9:$L$9,"",-1,1),_xlfn.XLOOKUP(G64,Data!$D$7:$L$7,Data!$D$2:$L$2,"",-1,1)))</f>
        <v/>
      </c>
      <c r="L64" s="160" t="str" cm="1">
        <f t="array" ref="L64">IFERROR(_xlfn.IFNA(
                      _xlfn.IFS(
                      G64="", "",
                      AND(E64="U12B",G64&gt;=Data!$M$7), "U12 Boys record",
                      AND(E64="U12G",G64&gt;=Data!$M$14), "U12 Girls record"
                       ),""), "")</f>
        <v/>
      </c>
      <c r="M64" s="18" cm="1">
        <f t="array" ref="M64">_xlfn.IFS($G64="",0, AND(NOT(ISNUMBER($G64)),LOWER(LEFT($G64,1))&lt;&gt;"n"),"Not a valid distance",OR(LOWER(LEFT($G64,1))="n",$G64&lt;ScoringTable!$O$161),1,RIGHT($E64,1)="B",_xlfn.XLOOKUP($G64,ScoringTable!$O$2:$O$161,ScoringTable!$L$2:$L$161,,-1),TRUE,_xlfn.XLOOKUP($G64,ScoringTable!$U$2:$U$161,ScoringTable!$R$2:$R$161,,-1))</f>
        <v>6</v>
      </c>
    </row>
    <row r="65" spans="1:13" s="7" customFormat="1" ht="16.05" customHeight="1">
      <c r="A65" s="113" t="s">
        <v>99</v>
      </c>
      <c r="B65" s="114" t="str">
        <f>IF(ISNA(VLOOKUP($F65,Declarations!B$6:C$185,2,FALSE)),"",IF(VLOOKUP($F65,Declarations!B$6:C$185,2,FALSE)="","NOT DECLARED",IF(ISNA(_xlfn.TEXTBEFORE(VLOOKUP($F65,Declarations!B$6:C$185,2,FALSE)," ")),VLOOKUP($F65,Declarations!B$6:C$185,2,FALSE),_xlfn.TEXTBEFORE(VLOOKUP($F65,Declarations!B$6:C$185,2,FALSE)," "))))</f>
        <v>MATTHEW</v>
      </c>
      <c r="C65" s="114" t="str">
        <f>IF(ISNA(VLOOKUP($F65,Declarations!B$6:C$185,2,FALSE)),"",IF(VLOOKUP($F65,Declarations!B$6:C$185,2,FALSE)="","NOT DECLARED",IF(ISNA(_xlfn.TEXTAFTER(VLOOKUP($F65,Declarations!B$6:C$185,2,FALSE)," ")),VLOOKUP($F65,Declarations!B$6:C$185,2,FALSE),_xlfn.TEXTAFTER(VLOOKUP($F65,Declarations!B$6:C$185,2,FALSE)," "))))</f>
        <v>LEWIS</v>
      </c>
      <c r="D65" s="114" t="str">
        <f>IF(ISNA(VLOOKUP($F65,Declarations!$B$6:$F$185,5,FALSE)),"",IF(VLOOKUP($F65,Declarations!$B$6:$F$185,5,FALSE)="","NOT DECLARED",VLOOKUP($F65,Declarations!$B$6:$F$185,5,FALSE)))</f>
        <v>Woking AC</v>
      </c>
      <c r="E65" s="112" t="str">
        <f>IF(ISNA(VLOOKUP($F65,Declarations!$B$6:$D$185,3,FALSE)),"",IF(VLOOKUP($F65,Declarations!$B$6:$D$185,3,FALSE)="","NOT DECLARED",VLOOKUP($F65,Declarations!$B$6:$D$185,3,FALSE)&amp;LEFT(VLOOKUP($F65,Declarations!$B$6:$E$185,4,FALSE))))</f>
        <v>U12B</v>
      </c>
      <c r="F65" s="58">
        <v>38</v>
      </c>
      <c r="G65" s="121">
        <v>3.07</v>
      </c>
      <c r="H65" s="121"/>
      <c r="I65" s="114" t="str">
        <f>IF(ISNA(VLOOKUP(F65,Declarations!B$6:C$185,2,FALSE)),"",IF(VLOOKUP(F65,Declarations!B$6:C$185,2,FALSE)="","NOT DECLARED",VLOOKUP(F65,Declarations!B$6:C$185,2,FALSE)))</f>
        <v>MATTHEW LEWIS</v>
      </c>
      <c r="J65" s="112">
        <f>IF(LOWER(LEFT(G65,1))="n",1,VLOOKUP(G65,ScoringTable!D$2:I$95,6))</f>
        <v>39</v>
      </c>
      <c r="K65" s="112" t="str">
        <f>IF(OR(E65="",G65=""),"",IF(RIGHT(E65,1)="G",_xlfn.XLOOKUP(G65,Data!$D$14:$L$14,Data!$D$9:$L$9,"",-1,1),_xlfn.XLOOKUP(G65,Data!$D$7:$L$7,Data!$D$2:$L$2,"",-1,1)))</f>
        <v>PB5</v>
      </c>
      <c r="L65" s="160" t="str" cm="1">
        <f t="array" ref="L65">IFERROR(_xlfn.IFNA(
                      _xlfn.IFS(
                      G65="", "",
                      AND(E65="U12B",G65&gt;=Data!$M$7), "U12 Boys record",
                      AND(E65="U12G",G65&gt;=Data!$M$14), "U12 Girls record"
                       ),""), "")</f>
        <v/>
      </c>
      <c r="M65" s="18" cm="1">
        <f t="array" ref="M65">_xlfn.IFS($G65="",0, AND(NOT(ISNUMBER($G65)),LOWER(LEFT($G65,1))&lt;&gt;"n"),"Not a valid distance",OR(LOWER(LEFT($G65,1))="n",$G65&lt;ScoringTable!$O$161),1,RIGHT($E65,1)="B",_xlfn.XLOOKUP($G65,ScoringTable!$O$2:$O$161,ScoringTable!$L$2:$L$161,,-1),TRUE,_xlfn.XLOOKUP($G65,ScoringTable!$U$2:$U$161,ScoringTable!$R$2:$R$161,,-1))</f>
        <v>62</v>
      </c>
    </row>
    <row r="66" spans="1:13" s="7" customFormat="1" ht="16.05" customHeight="1">
      <c r="A66" s="113" t="s">
        <v>99</v>
      </c>
      <c r="B66" s="114" t="str">
        <f>IF(ISNA(VLOOKUP($F66,Declarations!B$6:C$185,2,FALSE)),"",IF(VLOOKUP($F66,Declarations!B$6:C$185,2,FALSE)="","NOT DECLARED",IF(ISNA(_xlfn.TEXTBEFORE(VLOOKUP($F66,Declarations!B$6:C$185,2,FALSE)," ")),VLOOKUP($F66,Declarations!B$6:C$185,2,FALSE),_xlfn.TEXTBEFORE(VLOOKUP($F66,Declarations!B$6:C$185,2,FALSE)," "))))</f>
        <v>FREDDIE</v>
      </c>
      <c r="C66" s="114" t="str">
        <f>IF(ISNA(VLOOKUP($F66,Declarations!B$6:C$185,2,FALSE)),"",IF(VLOOKUP($F66,Declarations!B$6:C$185,2,FALSE)="","NOT DECLARED",IF(ISNA(_xlfn.TEXTAFTER(VLOOKUP($F66,Declarations!B$6:C$185,2,FALSE)," ")),VLOOKUP($F66,Declarations!B$6:C$185,2,FALSE),_xlfn.TEXTAFTER(VLOOKUP($F66,Declarations!B$6:C$185,2,FALSE)," "))))</f>
        <v>SMITH</v>
      </c>
      <c r="D66" s="114" t="str">
        <f>IF(ISNA(VLOOKUP($F66,Declarations!$B$6:$F$185,5,FALSE)),"",IF(VLOOKUP($F66,Declarations!$B$6:$F$185,5,FALSE)="","NOT DECLARED",VLOOKUP($F66,Declarations!$B$6:$F$185,5,FALSE)))</f>
        <v>Woking AC</v>
      </c>
      <c r="E66" s="112" t="str">
        <f>IF(ISNA(VLOOKUP($F66,Declarations!$B$6:$D$185,3,FALSE)),"",IF(VLOOKUP($F66,Declarations!$B$6:$D$185,3,FALSE)="","NOT DECLARED",VLOOKUP($F66,Declarations!$B$6:$D$185,3,FALSE)&amp;LEFT(VLOOKUP($F66,Declarations!$B$6:$E$185,4,FALSE))))</f>
        <v>U12B</v>
      </c>
      <c r="F66" s="58">
        <v>39</v>
      </c>
      <c r="G66" s="121">
        <v>3.67</v>
      </c>
      <c r="H66" s="121"/>
      <c r="I66" s="114" t="str">
        <f>IF(ISNA(VLOOKUP(F66,Declarations!B$6:C$185,2,FALSE)),"",IF(VLOOKUP(F66,Declarations!B$6:C$185,2,FALSE)="","NOT DECLARED",VLOOKUP(F66,Declarations!B$6:C$185,2,FALSE)))</f>
        <v>FREDDIE SMITH</v>
      </c>
      <c r="J66" s="112">
        <f>IF(LOWER(LEFT(G66,1))="n",1,VLOOKUP(G66,ScoringTable!D$2:I$95,6))</f>
        <v>59</v>
      </c>
      <c r="K66" s="112" t="str">
        <f>IF(OR(E66="",G66=""),"",IF(RIGHT(E66,1)="G",_xlfn.XLOOKUP(G66,Data!$D$14:$L$14,Data!$D$9:$L$9,"",-1,1),_xlfn.XLOOKUP(G66,Data!$D$7:$L$7,Data!$D$2:$L$2,"",-1,1)))</f>
        <v>PB7</v>
      </c>
      <c r="L66" s="160" t="str" cm="1">
        <f t="array" ref="L66">IFERROR(_xlfn.IFNA(
                      _xlfn.IFS(
                      G66="", "",
                      AND(E66="U12B",G66&gt;=Data!$M$7), "U12 Boys record",
                      AND(E66="U12G",G66&gt;=Data!$M$14), "U12 Girls record"
                       ),""), "")</f>
        <v/>
      </c>
      <c r="M66" s="18" cm="1">
        <f t="array" ref="M66">_xlfn.IFS($G66="",0, AND(NOT(ISNUMBER($G66)),LOWER(LEFT($G66,1))&lt;&gt;"n"),"Not a valid distance",OR(LOWER(LEFT($G66,1))="n",$G66&lt;ScoringTable!$O$161),1,RIGHT($E66,1)="B",_xlfn.XLOOKUP($G66,ScoringTable!$O$2:$O$161,ScoringTable!$L$2:$L$161,,-1),TRUE,_xlfn.XLOOKUP($G66,ScoringTable!$U$2:$U$161,ScoringTable!$R$2:$R$161,,-1))</f>
        <v>86</v>
      </c>
    </row>
    <row r="67" spans="1:13" s="7" customFormat="1" ht="16.05" customHeight="1">
      <c r="A67" s="113" t="s">
        <v>99</v>
      </c>
      <c r="B67" s="114" t="str">
        <f>IF(ISNA(VLOOKUP($F67,Declarations!B$6:C$185,2,FALSE)),"",IF(VLOOKUP($F67,Declarations!B$6:C$185,2,FALSE)="","NOT DECLARED",IF(ISNA(_xlfn.TEXTBEFORE(VLOOKUP($F67,Declarations!B$6:C$185,2,FALSE)," ")),VLOOKUP($F67,Declarations!B$6:C$185,2,FALSE),_xlfn.TEXTBEFORE(VLOOKUP($F67,Declarations!B$6:C$185,2,FALSE)," "))))</f>
        <v>OWEN</v>
      </c>
      <c r="C67" s="114" t="str">
        <f>IF(ISNA(VLOOKUP($F67,Declarations!B$6:C$185,2,FALSE)),"",IF(VLOOKUP($F67,Declarations!B$6:C$185,2,FALSE)="","NOT DECLARED",IF(ISNA(_xlfn.TEXTAFTER(VLOOKUP($F67,Declarations!B$6:C$185,2,FALSE)," ")),VLOOKUP($F67,Declarations!B$6:C$185,2,FALSE),_xlfn.TEXTAFTER(VLOOKUP($F67,Declarations!B$6:C$185,2,FALSE)," "))))</f>
        <v>BRAYBOOKE</v>
      </c>
      <c r="D67" s="114" t="str">
        <f>IF(ISNA(VLOOKUP($F67,Declarations!$B$6:$F$185,5,FALSE)),"",IF(VLOOKUP($F67,Declarations!$B$6:$F$185,5,FALSE)="","NOT DECLARED",VLOOKUP($F67,Declarations!$B$6:$F$185,5,FALSE)))</f>
        <v>Woking AC</v>
      </c>
      <c r="E67" s="112" t="str">
        <f>IF(ISNA(VLOOKUP($F67,Declarations!$B$6:$D$185,3,FALSE)),"",IF(VLOOKUP($F67,Declarations!$B$6:$D$185,3,FALSE)="","NOT DECLARED",VLOOKUP($F67,Declarations!$B$6:$D$185,3,FALSE)&amp;LEFT(VLOOKUP($F67,Declarations!$B$6:$E$185,4,FALSE))))</f>
        <v>U12B</v>
      </c>
      <c r="F67" s="58">
        <v>40</v>
      </c>
      <c r="G67" s="121">
        <v>4.07</v>
      </c>
      <c r="H67" s="121"/>
      <c r="I67" s="114" t="str">
        <f>IF(ISNA(VLOOKUP(F67,Declarations!B$6:C$185,2,FALSE)),"",IF(VLOOKUP(F67,Declarations!B$6:C$185,2,FALSE)="","NOT DECLARED",VLOOKUP(F67,Declarations!B$6:C$185,2,FALSE)))</f>
        <v>OWEN BRAYBOOKE</v>
      </c>
      <c r="J67" s="112">
        <f>IF(LOWER(LEFT(G67,1))="n",1,VLOOKUP(G67,ScoringTable!D$2:I$95,6))</f>
        <v>72</v>
      </c>
      <c r="K67" s="112" t="str">
        <f>IF(OR(E67="",G67=""),"",IF(RIGHT(E67,1)="G",_xlfn.XLOOKUP(G67,Data!$D$14:$L$14,Data!$D$9:$L$9,"",-1,1),_xlfn.XLOOKUP(G67,Data!$D$7:$L$7,Data!$D$2:$L$2,"",-1,1)))</f>
        <v>PB9</v>
      </c>
      <c r="L67" s="160" t="str" cm="1">
        <f t="array" ref="L67">IFERROR(_xlfn.IFNA(
                      _xlfn.IFS(
                      G67="", "",
                      AND(E67="U12B",G67&gt;=Data!$M$7), "U12 Boys record",
                      AND(E67="U12G",G67&gt;=Data!$M$14), "U12 Girls record"
                       ),""), "")</f>
        <v/>
      </c>
      <c r="M67" s="18" cm="1">
        <f t="array" ref="M67">_xlfn.IFS($G67="",0, AND(NOT(ISNUMBER($G67)),LOWER(LEFT($G67,1))&lt;&gt;"n"),"Not a valid distance",OR(LOWER(LEFT($G67,1))="n",$G67&lt;ScoringTable!$O$161),1,RIGHT($E67,1)="B",_xlfn.XLOOKUP($G67,ScoringTable!$O$2:$O$161,ScoringTable!$L$2:$L$161,,-1),TRUE,_xlfn.XLOOKUP($G67,ScoringTable!$U$2:$U$161,ScoringTable!$R$2:$R$161,,-1))</f>
        <v>102</v>
      </c>
    </row>
    <row r="68" spans="1:13" s="7" customFormat="1" ht="16.05" customHeight="1">
      <c r="A68" s="113" t="s">
        <v>99</v>
      </c>
      <c r="B68" s="114" t="str">
        <f>IF(ISNA(VLOOKUP($F68,Declarations!B$6:C$185,2,FALSE)),"",IF(VLOOKUP($F68,Declarations!B$6:C$185,2,FALSE)="","NOT DECLARED",IF(ISNA(_xlfn.TEXTBEFORE(VLOOKUP($F68,Declarations!B$6:C$185,2,FALSE)," ")),VLOOKUP($F68,Declarations!B$6:C$185,2,FALSE),_xlfn.TEXTBEFORE(VLOOKUP($F68,Declarations!B$6:C$185,2,FALSE)," "))))</f>
        <v>OSCAR</v>
      </c>
      <c r="C68" s="114" t="str">
        <f>IF(ISNA(VLOOKUP($F68,Declarations!B$6:C$185,2,FALSE)),"",IF(VLOOKUP($F68,Declarations!B$6:C$185,2,FALSE)="","NOT DECLARED",IF(ISNA(_xlfn.TEXTAFTER(VLOOKUP($F68,Declarations!B$6:C$185,2,FALSE)," ")),VLOOKUP($F68,Declarations!B$6:C$185,2,FALSE),_xlfn.TEXTAFTER(VLOOKUP($F68,Declarations!B$6:C$185,2,FALSE)," "))))</f>
        <v>CARTWRIGHT</v>
      </c>
      <c r="D68" s="114" t="str">
        <f>IF(ISNA(VLOOKUP($F68,Declarations!$B$6:$F$185,5,FALSE)),"",IF(VLOOKUP($F68,Declarations!$B$6:$F$185,5,FALSE)="","NOT DECLARED",VLOOKUP($F68,Declarations!$B$6:$F$185,5,FALSE)))</f>
        <v>Poole Runners</v>
      </c>
      <c r="E68" s="112" t="str">
        <f>IF(ISNA(VLOOKUP($F68,Declarations!$B$6:$D$185,3,FALSE)),"",IF(VLOOKUP($F68,Declarations!$B$6:$D$185,3,FALSE)="","NOT DECLARED",VLOOKUP($F68,Declarations!$B$6:$D$185,3,FALSE)&amp;LEFT(VLOOKUP($F68,Declarations!$B$6:$E$185,4,FALSE))))</f>
        <v>U12B</v>
      </c>
      <c r="F68" s="58">
        <v>51</v>
      </c>
      <c r="G68" s="121">
        <v>3.38</v>
      </c>
      <c r="H68" s="121"/>
      <c r="I68" s="114" t="str">
        <f>IF(ISNA(VLOOKUP(F68,Declarations!B$6:C$185,2,FALSE)),"",IF(VLOOKUP(F68,Declarations!B$6:C$185,2,FALSE)="","NOT DECLARED",VLOOKUP(F68,Declarations!B$6:C$185,2,FALSE)))</f>
        <v>OSCAR CARTWRIGHT</v>
      </c>
      <c r="J68" s="112">
        <f>IF(LOWER(LEFT(G68,1))="n",1,VLOOKUP(G68,ScoringTable!D$2:I$95,6))</f>
        <v>49</v>
      </c>
      <c r="K68" s="112" t="str">
        <f>IF(OR(E68="",G68=""),"",IF(RIGHT(E68,1)="G",_xlfn.XLOOKUP(G68,Data!$D$14:$L$14,Data!$D$9:$L$9,"",-1,1),_xlfn.XLOOKUP(G68,Data!$D$7:$L$7,Data!$D$2:$L$2,"",-1,1)))</f>
        <v>PB6</v>
      </c>
      <c r="L68" s="160" t="str" cm="1">
        <f t="array" ref="L68">IFERROR(_xlfn.IFNA(
                      _xlfn.IFS(
                      G68="", "",
                      AND(E68="U12B",G68&gt;=Data!$M$7), "U12 Boys record",
                      AND(E68="U12G",G68&gt;=Data!$M$14), "U12 Girls record"
                       ),""), "")</f>
        <v/>
      </c>
      <c r="M68" s="18" cm="1">
        <f t="array" ref="M68">_xlfn.IFS($G68="",0, AND(NOT(ISNUMBER($G68)),LOWER(LEFT($G68,1))&lt;&gt;"n"),"Not a valid distance",OR(LOWER(LEFT($G68,1))="n",$G68&lt;ScoringTable!$O$161),1,RIGHT($E68,1)="B",_xlfn.XLOOKUP($G68,ScoringTable!$O$2:$O$161,ScoringTable!$L$2:$L$161,,-1),TRUE,_xlfn.XLOOKUP($G68,ScoringTable!$U$2:$U$161,ScoringTable!$R$2:$R$161,,-1))</f>
        <v>74</v>
      </c>
    </row>
    <row r="69" spans="1:13" s="7" customFormat="1" ht="16.05" customHeight="1">
      <c r="A69" s="113" t="s">
        <v>99</v>
      </c>
      <c r="B69" s="114" t="str">
        <f>IF(ISNA(VLOOKUP($F69,Declarations!B$6:C$185,2,FALSE)),"",IF(VLOOKUP($F69,Declarations!B$6:C$185,2,FALSE)="","NOT DECLARED",IF(ISNA(_xlfn.TEXTBEFORE(VLOOKUP($F69,Declarations!B$6:C$185,2,FALSE)," ")),VLOOKUP($F69,Declarations!B$6:C$185,2,FALSE),_xlfn.TEXTBEFORE(VLOOKUP($F69,Declarations!B$6:C$185,2,FALSE)," "))))</f>
        <v>MARLOWE</v>
      </c>
      <c r="C69" s="114" t="str">
        <f>IF(ISNA(VLOOKUP($F69,Declarations!B$6:C$185,2,FALSE)),"",IF(VLOOKUP($F69,Declarations!B$6:C$185,2,FALSE)="","NOT DECLARED",IF(ISNA(_xlfn.TEXTAFTER(VLOOKUP($F69,Declarations!B$6:C$185,2,FALSE)," ")),VLOOKUP($F69,Declarations!B$6:C$185,2,FALSE),_xlfn.TEXTAFTER(VLOOKUP($F69,Declarations!B$6:C$185,2,FALSE)," "))))</f>
        <v>PEACH</v>
      </c>
      <c r="D69" s="114" t="str">
        <f>IF(ISNA(VLOOKUP($F69,Declarations!$B$6:$F$185,5,FALSE)),"",IF(VLOOKUP($F69,Declarations!$B$6:$F$185,5,FALSE)="","NOT DECLARED",VLOOKUP($F69,Declarations!$B$6:$F$185,5,FALSE)))</f>
        <v>Poole Runners</v>
      </c>
      <c r="E69" s="112" t="str">
        <f>IF(ISNA(VLOOKUP($F69,Declarations!$B$6:$D$185,3,FALSE)),"",IF(VLOOKUP($F69,Declarations!$B$6:$D$185,3,FALSE)="","NOT DECLARED",VLOOKUP($F69,Declarations!$B$6:$D$185,3,FALSE)&amp;LEFT(VLOOKUP($F69,Declarations!$B$6:$E$185,4,FALSE))))</f>
        <v>U12B</v>
      </c>
      <c r="F69" s="58">
        <v>52</v>
      </c>
      <c r="G69" s="121">
        <v>2.36</v>
      </c>
      <c r="H69" s="121"/>
      <c r="I69" s="114" t="str">
        <f>IF(ISNA(VLOOKUP(F69,Declarations!B$6:C$185,2,FALSE)),"",IF(VLOOKUP(F69,Declarations!B$6:C$185,2,FALSE)="","NOT DECLARED",VLOOKUP(F69,Declarations!B$6:C$185,2,FALSE)))</f>
        <v>MARLOWE PEACH</v>
      </c>
      <c r="J69" s="112">
        <f>IF(LOWER(LEFT(G69,1))="n",1,VLOOKUP(G69,ScoringTable!D$2:I$95,6))</f>
        <v>15</v>
      </c>
      <c r="K69" s="112" t="str">
        <f>IF(OR(E69="",G69=""),"",IF(RIGHT(E69,1)="G",_xlfn.XLOOKUP(G69,Data!$D$14:$L$14,Data!$D$9:$L$9,"",-1,1),_xlfn.XLOOKUP(G69,Data!$D$7:$L$7,Data!$D$2:$L$2,"",-1,1)))</f>
        <v>PB2</v>
      </c>
      <c r="L69" s="160" t="str" cm="1">
        <f t="array" ref="L69">IFERROR(_xlfn.IFNA(
                      _xlfn.IFS(
                      G69="", "",
                      AND(E69="U12B",G69&gt;=Data!$M$7), "U12 Boys record",
                      AND(E69="U12G",G69&gt;=Data!$M$14), "U12 Girls record"
                       ),""), "")</f>
        <v/>
      </c>
      <c r="M69" s="18" cm="1">
        <f t="array" ref="M69">_xlfn.IFS($G69="",0, AND(NOT(ISNUMBER($G69)),LOWER(LEFT($G69,1))&lt;&gt;"n"),"Not a valid distance",OR(LOWER(LEFT($G69,1))="n",$G69&lt;ScoringTable!$O$161),1,RIGHT($E69,1)="B",_xlfn.XLOOKUP($G69,ScoringTable!$O$2:$O$161,ScoringTable!$L$2:$L$161,,-1),TRUE,_xlfn.XLOOKUP($G69,ScoringTable!$U$2:$U$161,ScoringTable!$R$2:$R$161,,-1))</f>
        <v>33</v>
      </c>
    </row>
    <row r="70" spans="1:13" s="7" customFormat="1" ht="16.05" customHeight="1">
      <c r="A70" s="113" t="s">
        <v>99</v>
      </c>
      <c r="B70" s="114" t="str">
        <f>IF(ISNA(VLOOKUP($F70,Declarations!B$6:C$185,2,FALSE)),"",IF(VLOOKUP($F70,Declarations!B$6:C$185,2,FALSE)="","NOT DECLARED",IF(ISNA(_xlfn.TEXTBEFORE(VLOOKUP($F70,Declarations!B$6:C$185,2,FALSE)," ")),VLOOKUP($F70,Declarations!B$6:C$185,2,FALSE),_xlfn.TEXTBEFORE(VLOOKUP($F70,Declarations!B$6:C$185,2,FALSE)," "))))</f>
        <v>OAKLEY</v>
      </c>
      <c r="C70" s="114" t="str">
        <f>IF(ISNA(VLOOKUP($F70,Declarations!B$6:C$185,2,FALSE)),"",IF(VLOOKUP($F70,Declarations!B$6:C$185,2,FALSE)="","NOT DECLARED",IF(ISNA(_xlfn.TEXTAFTER(VLOOKUP($F70,Declarations!B$6:C$185,2,FALSE)," ")),VLOOKUP($F70,Declarations!B$6:C$185,2,FALSE),_xlfn.TEXTAFTER(VLOOKUP($F70,Declarations!B$6:C$185,2,FALSE)," "))))</f>
        <v>SHEAN-STEVENS</v>
      </c>
      <c r="D70" s="114" t="str">
        <f>IF(ISNA(VLOOKUP($F70,Declarations!$B$6:$F$185,5,FALSE)),"",IF(VLOOKUP($F70,Declarations!$B$6:$F$185,5,FALSE)="","NOT DECLARED",VLOOKUP($F70,Declarations!$B$6:$F$185,5,FALSE)))</f>
        <v>Poole Runners</v>
      </c>
      <c r="E70" s="112" t="str">
        <f>IF(ISNA(VLOOKUP($F70,Declarations!$B$6:$D$185,3,FALSE)),"",IF(VLOOKUP($F70,Declarations!$B$6:$D$185,3,FALSE)="","NOT DECLARED",VLOOKUP($F70,Declarations!$B$6:$D$185,3,FALSE)&amp;LEFT(VLOOKUP($F70,Declarations!$B$6:$E$185,4,FALSE))))</f>
        <v>U12B</v>
      </c>
      <c r="F70" s="58">
        <v>53</v>
      </c>
      <c r="G70" s="121">
        <v>3.27</v>
      </c>
      <c r="H70" s="121"/>
      <c r="I70" s="114" t="str">
        <f>IF(ISNA(VLOOKUP(F70,Declarations!B$6:C$185,2,FALSE)),"",IF(VLOOKUP(F70,Declarations!B$6:C$185,2,FALSE)="","NOT DECLARED",VLOOKUP(F70,Declarations!B$6:C$185,2,FALSE)))</f>
        <v>OAKLEY SHEAN-STEVENS</v>
      </c>
      <c r="J70" s="112">
        <f>IF(LOWER(LEFT(G70,1))="n",1,VLOOKUP(G70,ScoringTable!D$2:I$95,6))</f>
        <v>45</v>
      </c>
      <c r="K70" s="112" t="str">
        <f>IF(OR(E70="",G70=""),"",IF(RIGHT(E70,1)="G",_xlfn.XLOOKUP(G70,Data!$D$14:$L$14,Data!$D$9:$L$9,"",-1,1),_xlfn.XLOOKUP(G70,Data!$D$7:$L$7,Data!$D$2:$L$2,"",-1,1)))</f>
        <v>PB6</v>
      </c>
      <c r="L70" s="160" t="str" cm="1">
        <f t="array" ref="L70">IFERROR(_xlfn.IFNA(
                      _xlfn.IFS(
                      G70="", "",
                      AND(E70="U12B",G70&gt;=Data!$M$7), "U12 Boys record",
                      AND(E70="U12G",G70&gt;=Data!$M$14), "U12 Girls record"
                       ),""), "")</f>
        <v/>
      </c>
      <c r="M70" s="18" cm="1">
        <f t="array" ref="M70">_xlfn.IFS($G70="",0, AND(NOT(ISNUMBER($G70)),LOWER(LEFT($G70,1))&lt;&gt;"n"),"Not a valid distance",OR(LOWER(LEFT($G70,1))="n",$G70&lt;ScoringTable!$O$161),1,RIGHT($E70,1)="B",_xlfn.XLOOKUP($G70,ScoringTable!$O$2:$O$161,ScoringTable!$L$2:$L$161,,-1),TRUE,_xlfn.XLOOKUP($G70,ScoringTable!$U$2:$U$161,ScoringTable!$R$2:$R$161,,-1))</f>
        <v>70</v>
      </c>
    </row>
    <row r="71" spans="1:13" s="7" customFormat="1" ht="16.05" customHeight="1">
      <c r="A71" s="113" t="s">
        <v>99</v>
      </c>
      <c r="B71" s="114" t="str">
        <f>IF(ISNA(VLOOKUP($F71,Declarations!B$6:C$185,2,FALSE)),"",IF(VLOOKUP($F71,Declarations!B$6:C$185,2,FALSE)="","NOT DECLARED",IF(ISNA(_xlfn.TEXTBEFORE(VLOOKUP($F71,Declarations!B$6:C$185,2,FALSE)," ")),VLOOKUP($F71,Declarations!B$6:C$185,2,FALSE),_xlfn.TEXTBEFORE(VLOOKUP($F71,Declarations!B$6:C$185,2,FALSE)," "))))</f>
        <v>FERGUS</v>
      </c>
      <c r="C71" s="114" t="str">
        <f>IF(ISNA(VLOOKUP($F71,Declarations!B$6:C$185,2,FALSE)),"",IF(VLOOKUP($F71,Declarations!B$6:C$185,2,FALSE)="","NOT DECLARED",IF(ISNA(_xlfn.TEXTAFTER(VLOOKUP($F71,Declarations!B$6:C$185,2,FALSE)," ")),VLOOKUP($F71,Declarations!B$6:C$185,2,FALSE),_xlfn.TEXTAFTER(VLOOKUP($F71,Declarations!B$6:C$185,2,FALSE)," "))))</f>
        <v>STANNING</v>
      </c>
      <c r="D71" s="114" t="str">
        <f>IF(ISNA(VLOOKUP($F71,Declarations!$B$6:$F$185,5,FALSE)),"",IF(VLOOKUP($F71,Declarations!$B$6:$F$185,5,FALSE)="","NOT DECLARED",VLOOKUP($F71,Declarations!$B$6:$F$185,5,FALSE)))</f>
        <v>Poole Runners</v>
      </c>
      <c r="E71" s="112" t="str">
        <f>IF(ISNA(VLOOKUP($F71,Declarations!$B$6:$D$185,3,FALSE)),"",IF(VLOOKUP($F71,Declarations!$B$6:$D$185,3,FALSE)="","NOT DECLARED",VLOOKUP($F71,Declarations!$B$6:$D$185,3,FALSE)&amp;LEFT(VLOOKUP($F71,Declarations!$B$6:$E$185,4,FALSE))))</f>
        <v>U12B</v>
      </c>
      <c r="F71" s="58">
        <v>54</v>
      </c>
      <c r="G71" s="121">
        <v>3.09</v>
      </c>
      <c r="H71" s="121"/>
      <c r="I71" s="114" t="str">
        <f>IF(ISNA(VLOOKUP(F71,Declarations!B$6:C$185,2,FALSE)),"",IF(VLOOKUP(F71,Declarations!B$6:C$185,2,FALSE)="","NOT DECLARED",VLOOKUP(F71,Declarations!B$6:C$185,2,FALSE)))</f>
        <v>FERGUS STANNING</v>
      </c>
      <c r="J71" s="112">
        <f>IF(LOWER(LEFT(G71,1))="n",1,VLOOKUP(G71,ScoringTable!D$2:I$95,6))</f>
        <v>39</v>
      </c>
      <c r="K71" s="112" t="str">
        <f>IF(OR(E71="",G71=""),"",IF(RIGHT(E71,1)="G",_xlfn.XLOOKUP(G71,Data!$D$14:$L$14,Data!$D$9:$L$9,"",-1,1),_xlfn.XLOOKUP(G71,Data!$D$7:$L$7,Data!$D$2:$L$2,"",-1,1)))</f>
        <v>PB5</v>
      </c>
      <c r="L71" s="160" t="str" cm="1">
        <f t="array" ref="L71">IFERROR(_xlfn.IFNA(
                      _xlfn.IFS(
                      G71="", "",
                      AND(E71="U12B",G71&gt;=Data!$M$7), "U12 Boys record",
                      AND(E71="U12G",G71&gt;=Data!$M$14), "U12 Girls record"
                       ),""), "")</f>
        <v/>
      </c>
      <c r="M71" s="18" cm="1">
        <f t="array" ref="M71">_xlfn.IFS($G71="",0, AND(NOT(ISNUMBER($G71)),LOWER(LEFT($G71,1))&lt;&gt;"n"),"Not a valid distance",OR(LOWER(LEFT($G71,1))="n",$G71&lt;ScoringTable!$O$161),1,RIGHT($E71,1)="B",_xlfn.XLOOKUP($G71,ScoringTable!$O$2:$O$161,ScoringTable!$L$2:$L$161,,-1),TRUE,_xlfn.XLOOKUP($G71,ScoringTable!$U$2:$U$161,ScoringTable!$R$2:$R$161,,-1))</f>
        <v>63</v>
      </c>
    </row>
    <row r="72" spans="1:13" s="7" customFormat="1" ht="16.05" customHeight="1">
      <c r="A72" s="113" t="s">
        <v>99</v>
      </c>
      <c r="B72" s="114" t="str">
        <f>IF(ISNA(VLOOKUP($F72,Declarations!B$6:C$185,2,FALSE)),"",IF(VLOOKUP($F72,Declarations!B$6:C$185,2,FALSE)="","NOT DECLARED",IF(ISNA(_xlfn.TEXTBEFORE(VLOOKUP($F72,Declarations!B$6:C$185,2,FALSE)," ")),VLOOKUP($F72,Declarations!B$6:C$185,2,FALSE),_xlfn.TEXTBEFORE(VLOOKUP($F72,Declarations!B$6:C$185,2,FALSE)," "))))</f>
        <v>BERTIE</v>
      </c>
      <c r="C72" s="114" t="str">
        <f>IF(ISNA(VLOOKUP($F72,Declarations!B$6:C$185,2,FALSE)),"",IF(VLOOKUP($F72,Declarations!B$6:C$185,2,FALSE)="","NOT DECLARED",IF(ISNA(_xlfn.TEXTAFTER(VLOOKUP($F72,Declarations!B$6:C$185,2,FALSE)," ")),VLOOKUP($F72,Declarations!B$6:C$185,2,FALSE),_xlfn.TEXTAFTER(VLOOKUP($F72,Declarations!B$6:C$185,2,FALSE)," "))))</f>
        <v>LEIGH</v>
      </c>
      <c r="D72" s="114" t="str">
        <f>IF(ISNA(VLOOKUP($F72,Declarations!$B$6:$F$185,5,FALSE)),"",IF(VLOOKUP($F72,Declarations!$B$6:$F$185,5,FALSE)="","NOT DECLARED",VLOOKUP($F72,Declarations!$B$6:$F$185,5,FALSE)))</f>
        <v>Poole Runners</v>
      </c>
      <c r="E72" s="112" t="str">
        <f>IF(ISNA(VLOOKUP($F72,Declarations!$B$6:$D$185,3,FALSE)),"",IF(VLOOKUP($F72,Declarations!$B$6:$D$185,3,FALSE)="","NOT DECLARED",VLOOKUP($F72,Declarations!$B$6:$D$185,3,FALSE)&amp;LEFT(VLOOKUP($F72,Declarations!$B$6:$E$185,4,FALSE))))</f>
        <v>U12B</v>
      </c>
      <c r="F72" s="58">
        <v>55</v>
      </c>
      <c r="G72" s="121">
        <v>3.13</v>
      </c>
      <c r="H72" s="121"/>
      <c r="I72" s="114" t="str">
        <f>IF(ISNA(VLOOKUP(F72,Declarations!B$6:C$185,2,FALSE)),"",IF(VLOOKUP(F72,Declarations!B$6:C$185,2,FALSE)="","NOT DECLARED",VLOOKUP(F72,Declarations!B$6:C$185,2,FALSE)))</f>
        <v>BERTIE LEIGH</v>
      </c>
      <c r="J72" s="112">
        <f>IF(LOWER(LEFT(G72,1))="n",1,VLOOKUP(G72,ScoringTable!D$2:I$95,6))</f>
        <v>41</v>
      </c>
      <c r="K72" s="112" t="str">
        <f>IF(OR(E72="",G72=""),"",IF(RIGHT(E72,1)="G",_xlfn.XLOOKUP(G72,Data!$D$14:$L$14,Data!$D$9:$L$9,"",-1,1),_xlfn.XLOOKUP(G72,Data!$D$7:$L$7,Data!$D$2:$L$2,"",-1,1)))</f>
        <v>PB5</v>
      </c>
      <c r="L72" s="160" t="str" cm="1">
        <f t="array" ref="L72">IFERROR(_xlfn.IFNA(
                      _xlfn.IFS(
                      G72="", "",
                      AND(E72="U12B",G72&gt;=Data!$M$7), "U12 Boys record",
                      AND(E72="U12G",G72&gt;=Data!$M$14), "U12 Girls record"
                       ),""), "")</f>
        <v/>
      </c>
      <c r="M72" s="18" cm="1">
        <f t="array" ref="M72">_xlfn.IFS($G72="",0, AND(NOT(ISNUMBER($G72)),LOWER(LEFT($G72,1))&lt;&gt;"n"),"Not a valid distance",OR(LOWER(LEFT($G72,1))="n",$G72&lt;ScoringTable!$O$161),1,RIGHT($E72,1)="B",_xlfn.XLOOKUP($G72,ScoringTable!$O$2:$O$161,ScoringTable!$L$2:$L$161,,-1),TRUE,_xlfn.XLOOKUP($G72,ScoringTable!$U$2:$U$161,ScoringTable!$R$2:$R$161,,-1))</f>
        <v>64</v>
      </c>
    </row>
    <row r="73" spans="1:13" s="7" customFormat="1" ht="16.05" customHeight="1">
      <c r="A73" s="113" t="s">
        <v>99</v>
      </c>
      <c r="B73" s="114" t="str">
        <f>IF(ISNA(VLOOKUP($F73,Declarations!B$6:C$185,2,FALSE)),"",IF(VLOOKUP($F73,Declarations!B$6:C$185,2,FALSE)="","NOT DECLARED",IF(ISNA(_xlfn.TEXTBEFORE(VLOOKUP($F73,Declarations!B$6:C$185,2,FALSE)," ")),VLOOKUP($F73,Declarations!B$6:C$185,2,FALSE),_xlfn.TEXTBEFORE(VLOOKUP($F73,Declarations!B$6:C$185,2,FALSE)," "))))</f>
        <v>LEO</v>
      </c>
      <c r="C73" s="114" t="str">
        <f>IF(ISNA(VLOOKUP($F73,Declarations!B$6:C$185,2,FALSE)),"",IF(VLOOKUP($F73,Declarations!B$6:C$185,2,FALSE)="","NOT DECLARED",IF(ISNA(_xlfn.TEXTAFTER(VLOOKUP($F73,Declarations!B$6:C$185,2,FALSE)," ")),VLOOKUP($F73,Declarations!B$6:C$185,2,FALSE),_xlfn.TEXTAFTER(VLOOKUP($F73,Declarations!B$6:C$185,2,FALSE)," "))))</f>
        <v>AMEY</v>
      </c>
      <c r="D73" s="114" t="str">
        <f>IF(ISNA(VLOOKUP($F73,Declarations!$B$6:$F$185,5,FALSE)),"",IF(VLOOKUP($F73,Declarations!$B$6:$F$185,5,FALSE)="","NOT DECLARED",VLOOKUP($F73,Declarations!$B$6:$F$185,5,FALSE)))</f>
        <v>Poole Runners</v>
      </c>
      <c r="E73" s="112" t="str">
        <f>IF(ISNA(VLOOKUP($F73,Declarations!$B$6:$D$185,3,FALSE)),"",IF(VLOOKUP($F73,Declarations!$B$6:$D$185,3,FALSE)="","NOT DECLARED",VLOOKUP($F73,Declarations!$B$6:$D$185,3,FALSE)&amp;LEFT(VLOOKUP($F73,Declarations!$B$6:$E$185,4,FALSE))))</f>
        <v>U12B</v>
      </c>
      <c r="F73" s="58">
        <v>56</v>
      </c>
      <c r="G73" s="121">
        <v>3.37</v>
      </c>
      <c r="H73" s="121"/>
      <c r="I73" s="114" t="str">
        <f>IF(ISNA(VLOOKUP(F73,Declarations!B$6:C$185,2,FALSE)),"",IF(VLOOKUP(F73,Declarations!B$6:C$185,2,FALSE)="","NOT DECLARED",VLOOKUP(F73,Declarations!B$6:C$185,2,FALSE)))</f>
        <v>LEO AMEY</v>
      </c>
      <c r="J73" s="112">
        <f>IF(LOWER(LEFT(G73,1))="n",1,VLOOKUP(G73,ScoringTable!D$2:I$95,6))</f>
        <v>49</v>
      </c>
      <c r="K73" s="112" t="str">
        <f>IF(OR(E73="",G73=""),"",IF(RIGHT(E73,1)="G",_xlfn.XLOOKUP(G73,Data!$D$14:$L$14,Data!$D$9:$L$9,"",-1,1),_xlfn.XLOOKUP(G73,Data!$D$7:$L$7,Data!$D$2:$L$2,"",-1,1)))</f>
        <v>PB6</v>
      </c>
      <c r="L73" s="160" t="str" cm="1">
        <f t="array" ref="L73">IFERROR(_xlfn.IFNA(
                      _xlfn.IFS(
                      G73="", "",
                      AND(E73="U12B",G73&gt;=Data!$M$7), "U12 Boys record",
                      AND(E73="U12G",G73&gt;=Data!$M$14), "U12 Girls record"
                       ),""), "")</f>
        <v/>
      </c>
      <c r="M73" s="18" cm="1">
        <f t="array" ref="M73">_xlfn.IFS($G73="",0, AND(NOT(ISNUMBER($G73)),LOWER(LEFT($G73,1))&lt;&gt;"n"),"Not a valid distance",OR(LOWER(LEFT($G73,1))="n",$G73&lt;ScoringTable!$O$161),1,RIGHT($E73,1)="B",_xlfn.XLOOKUP($G73,ScoringTable!$O$2:$O$161,ScoringTable!$L$2:$L$161,,-1),TRUE,_xlfn.XLOOKUP($G73,ScoringTable!$U$2:$U$161,ScoringTable!$R$2:$R$161,,-1))</f>
        <v>74</v>
      </c>
    </row>
    <row r="74" spans="1:13" s="7" customFormat="1" ht="16.05" customHeight="1">
      <c r="A74" s="113" t="s">
        <v>99</v>
      </c>
      <c r="B74" s="114" t="str">
        <f>IF(ISNA(VLOOKUP($F74,Declarations!B$6:C$185,2,FALSE)),"",IF(VLOOKUP($F74,Declarations!B$6:C$185,2,FALSE)="","NOT DECLARED",IF(ISNA(_xlfn.TEXTBEFORE(VLOOKUP($F74,Declarations!B$6:C$185,2,FALSE)," ")),VLOOKUP($F74,Declarations!B$6:C$185,2,FALSE),_xlfn.TEXTBEFORE(VLOOKUP($F74,Declarations!B$6:C$185,2,FALSE)," "))))</f>
        <v>SAM</v>
      </c>
      <c r="C74" s="114" t="str">
        <f>IF(ISNA(VLOOKUP($F74,Declarations!B$6:C$185,2,FALSE)),"",IF(VLOOKUP($F74,Declarations!B$6:C$185,2,FALSE)="","NOT DECLARED",IF(ISNA(_xlfn.TEXTAFTER(VLOOKUP($F74,Declarations!B$6:C$185,2,FALSE)," ")),VLOOKUP($F74,Declarations!B$6:C$185,2,FALSE),_xlfn.TEXTAFTER(VLOOKUP($F74,Declarations!B$6:C$185,2,FALSE)," "))))</f>
        <v>SUCKLING</v>
      </c>
      <c r="D74" s="114" t="str">
        <f>IF(ISNA(VLOOKUP($F74,Declarations!$B$6:$F$185,5,FALSE)),"",IF(VLOOKUP($F74,Declarations!$B$6:$F$185,5,FALSE)="","NOT DECLARED",VLOOKUP($F74,Declarations!$B$6:$F$185,5,FALSE)))</f>
        <v>Poole Runners</v>
      </c>
      <c r="E74" s="112" t="str">
        <f>IF(ISNA(VLOOKUP($F74,Declarations!$B$6:$D$185,3,FALSE)),"",IF(VLOOKUP($F74,Declarations!$B$6:$D$185,3,FALSE)="","NOT DECLARED",VLOOKUP($F74,Declarations!$B$6:$D$185,3,FALSE)&amp;LEFT(VLOOKUP($F74,Declarations!$B$6:$E$185,4,FALSE))))</f>
        <v>U12B</v>
      </c>
      <c r="F74" s="58">
        <v>57</v>
      </c>
      <c r="G74" s="121">
        <v>2.3199999999999998</v>
      </c>
      <c r="H74" s="121"/>
      <c r="I74" s="114" t="str">
        <f>IF(ISNA(VLOOKUP(F74,Declarations!B$6:C$185,2,FALSE)),"",IF(VLOOKUP(F74,Declarations!B$6:C$185,2,FALSE)="","NOT DECLARED",VLOOKUP(F74,Declarations!B$6:C$185,2,FALSE)))</f>
        <v>SAM SUCKLING</v>
      </c>
      <c r="J74" s="112">
        <f>IF(LOWER(LEFT(G74,1))="n",1,VLOOKUP(G74,ScoringTable!D$2:I$95,6))</f>
        <v>14</v>
      </c>
      <c r="K74" s="112" t="str">
        <f>IF(OR(E74="",G74=""),"",IF(RIGHT(E74,1)="G",_xlfn.XLOOKUP(G74,Data!$D$14:$L$14,Data!$D$9:$L$9,"",-1,1),_xlfn.XLOOKUP(G74,Data!$D$7:$L$7,Data!$D$2:$L$2,"",-1,1)))</f>
        <v>PB2</v>
      </c>
      <c r="L74" s="160" t="str" cm="1">
        <f t="array" ref="L74">IFERROR(_xlfn.IFNA(
                      _xlfn.IFS(
                      G74="", "",
                      AND(E74="U12B",G74&gt;=Data!$M$7), "U12 Boys record",
                      AND(E74="U12G",G74&gt;=Data!$M$14), "U12 Girls record"
                       ),""), "")</f>
        <v/>
      </c>
      <c r="M74" s="18" cm="1">
        <f t="array" ref="M74">_xlfn.IFS($G74="",0, AND(NOT(ISNUMBER($G74)),LOWER(LEFT($G74,1))&lt;&gt;"n"),"Not a valid distance",OR(LOWER(LEFT($G74,1))="n",$G74&lt;ScoringTable!$O$161),1,RIGHT($E74,1)="B",_xlfn.XLOOKUP($G74,ScoringTable!$O$2:$O$161,ScoringTable!$L$2:$L$161,,-1),TRUE,_xlfn.XLOOKUP($G74,ScoringTable!$U$2:$U$161,ScoringTable!$R$2:$R$161,,-1))</f>
        <v>32</v>
      </c>
    </row>
    <row r="75" spans="1:13" s="7" customFormat="1" ht="16.05" customHeight="1">
      <c r="A75" s="113" t="s">
        <v>99</v>
      </c>
      <c r="B75" s="114" t="str">
        <f>IF(ISNA(VLOOKUP($F75,Declarations!B$6:C$185,2,FALSE)),"",IF(VLOOKUP($F75,Declarations!B$6:C$185,2,FALSE)="","NOT DECLARED",IF(ISNA(_xlfn.TEXTBEFORE(VLOOKUP($F75,Declarations!B$6:C$185,2,FALSE)," ")),VLOOKUP($F75,Declarations!B$6:C$185,2,FALSE),_xlfn.TEXTBEFORE(VLOOKUP($F75,Declarations!B$6:C$185,2,FALSE)," "))))</f>
        <v>FINLAY</v>
      </c>
      <c r="C75" s="114" t="str">
        <f>IF(ISNA(VLOOKUP($F75,Declarations!B$6:C$185,2,FALSE)),"",IF(VLOOKUP($F75,Declarations!B$6:C$185,2,FALSE)="","NOT DECLARED",IF(ISNA(_xlfn.TEXTAFTER(VLOOKUP($F75,Declarations!B$6:C$185,2,FALSE)," ")),VLOOKUP($F75,Declarations!B$6:C$185,2,FALSE),_xlfn.TEXTAFTER(VLOOKUP($F75,Declarations!B$6:C$185,2,FALSE)," "))))</f>
        <v>KENYON</v>
      </c>
      <c r="D75" s="114" t="str">
        <f>IF(ISNA(VLOOKUP($F75,Declarations!$B$6:$F$185,5,FALSE)),"",IF(VLOOKUP($F75,Declarations!$B$6:$F$185,5,FALSE)="","NOT DECLARED",VLOOKUP($F75,Declarations!$B$6:$F$185,5,FALSE)))</f>
        <v>Poole Runners</v>
      </c>
      <c r="E75" s="112" t="str">
        <f>IF(ISNA(VLOOKUP($F75,Declarations!$B$6:$D$185,3,FALSE)),"",IF(VLOOKUP($F75,Declarations!$B$6:$D$185,3,FALSE)="","NOT DECLARED",VLOOKUP($F75,Declarations!$B$6:$D$185,3,FALSE)&amp;LEFT(VLOOKUP($F75,Declarations!$B$6:$E$185,4,FALSE))))</f>
        <v>U12B</v>
      </c>
      <c r="F75" s="58">
        <v>58</v>
      </c>
      <c r="G75" s="121">
        <v>3.33</v>
      </c>
      <c r="H75" s="121"/>
      <c r="I75" s="114" t="str">
        <f>IF(ISNA(VLOOKUP(F75,Declarations!B$6:C$185,2,FALSE)),"",IF(VLOOKUP(F75,Declarations!B$6:C$185,2,FALSE)="","NOT DECLARED",VLOOKUP(F75,Declarations!B$6:C$185,2,FALSE)))</f>
        <v>FINLAY KENYON</v>
      </c>
      <c r="J75" s="112">
        <f>IF(LOWER(LEFT(G75,1))="n",1,VLOOKUP(G75,ScoringTable!D$2:I$95,6))</f>
        <v>47</v>
      </c>
      <c r="K75" s="112" t="str">
        <f>IF(OR(E75="",G75=""),"",IF(RIGHT(E75,1)="G",_xlfn.XLOOKUP(G75,Data!$D$14:$L$14,Data!$D$9:$L$9,"",-1,1),_xlfn.XLOOKUP(G75,Data!$D$7:$L$7,Data!$D$2:$L$2,"",-1,1)))</f>
        <v>PB6</v>
      </c>
      <c r="L75" s="160" t="str" cm="1">
        <f t="array" ref="L75">IFERROR(_xlfn.IFNA(
                      _xlfn.IFS(
                      G75="", "",
                      AND(E75="U12B",G75&gt;=Data!$M$7), "U12 Boys record",
                      AND(E75="U12G",G75&gt;=Data!$M$14), "U12 Girls record"
                       ),""), "")</f>
        <v/>
      </c>
      <c r="M75" s="18" cm="1">
        <f t="array" ref="M75">_xlfn.IFS($G75="",0, AND(NOT(ISNUMBER($G75)),LOWER(LEFT($G75,1))&lt;&gt;"n"),"Not a valid distance",OR(LOWER(LEFT($G75,1))="n",$G75&lt;ScoringTable!$O$161),1,RIGHT($E75,1)="B",_xlfn.XLOOKUP($G75,ScoringTable!$O$2:$O$161,ScoringTable!$L$2:$L$161,,-1),TRUE,_xlfn.XLOOKUP($G75,ScoringTable!$U$2:$U$161,ScoringTable!$R$2:$R$161,,-1))</f>
        <v>72</v>
      </c>
    </row>
    <row r="76" spans="1:13" s="7" customFormat="1" ht="16.05" customHeight="1">
      <c r="A76" s="113" t="s">
        <v>99</v>
      </c>
      <c r="B76" s="114" t="str">
        <f>IF(ISNA(VLOOKUP($F76,Declarations!B$6:C$185,2,FALSE)),"",IF(VLOOKUP($F76,Declarations!B$6:C$185,2,FALSE)="","NOT DECLARED",IF(ISNA(_xlfn.TEXTBEFORE(VLOOKUP($F76,Declarations!B$6:C$185,2,FALSE)," ")),VLOOKUP($F76,Declarations!B$6:C$185,2,FALSE),_xlfn.TEXTBEFORE(VLOOKUP($F76,Declarations!B$6:C$185,2,FALSE)," "))))</f>
        <v>JESSE</v>
      </c>
      <c r="C76" s="114" t="str">
        <f>IF(ISNA(VLOOKUP($F76,Declarations!B$6:C$185,2,FALSE)),"",IF(VLOOKUP($F76,Declarations!B$6:C$185,2,FALSE)="","NOT DECLARED",IF(ISNA(_xlfn.TEXTAFTER(VLOOKUP($F76,Declarations!B$6:C$185,2,FALSE)," ")),VLOOKUP($F76,Declarations!B$6:C$185,2,FALSE),_xlfn.TEXTAFTER(VLOOKUP($F76,Declarations!B$6:C$185,2,FALSE)," "))))</f>
        <v>MCDONNELL</v>
      </c>
      <c r="D76" s="114" t="str">
        <f>IF(ISNA(VLOOKUP($F76,Declarations!$B$6:$F$185,5,FALSE)),"",IF(VLOOKUP($F76,Declarations!$B$6:$F$185,5,FALSE)="","NOT DECLARED",VLOOKUP($F76,Declarations!$B$6:$F$185,5,FALSE)))</f>
        <v>Fleet &amp; Crookham AC</v>
      </c>
      <c r="E76" s="112" t="str">
        <f>IF(ISNA(VLOOKUP($F76,Declarations!$B$6:$D$185,3,FALSE)),"",IF(VLOOKUP($F76,Declarations!$B$6:$D$185,3,FALSE)="","NOT DECLARED",VLOOKUP($F76,Declarations!$B$6:$D$185,3,FALSE)&amp;LEFT(VLOOKUP($F76,Declarations!$B$6:$E$185,4,FALSE))))</f>
        <v>U12B</v>
      </c>
      <c r="F76" s="58">
        <v>71</v>
      </c>
      <c r="G76" s="121">
        <v>3.62</v>
      </c>
      <c r="H76" s="121"/>
      <c r="I76" s="114" t="str">
        <f>IF(ISNA(VLOOKUP(F76,Declarations!B$6:C$185,2,FALSE)),"",IF(VLOOKUP(F76,Declarations!B$6:C$185,2,FALSE)="","NOT DECLARED",VLOOKUP(F76,Declarations!B$6:C$185,2,FALSE)))</f>
        <v>JESSE MCDONNELL</v>
      </c>
      <c r="J76" s="112">
        <f>IF(LOWER(LEFT(G76,1))="n",1,VLOOKUP(G76,ScoringTable!D$2:I$95,6))</f>
        <v>57</v>
      </c>
      <c r="K76" s="112" t="str">
        <f>IF(OR(E76="",G76=""),"",IF(RIGHT(E76,1)="G",_xlfn.XLOOKUP(G76,Data!$D$14:$L$14,Data!$D$9:$L$9,"",-1,1),_xlfn.XLOOKUP(G76,Data!$D$7:$L$7,Data!$D$2:$L$2,"",-1,1)))</f>
        <v>PB7</v>
      </c>
      <c r="L76" s="160" t="str" cm="1">
        <f t="array" ref="L76">IFERROR(_xlfn.IFNA(
                      _xlfn.IFS(
                      G76="", "",
                      AND(E76="U12B",G76&gt;=Data!$M$7), "U12 Boys record",
                      AND(E76="U12G",G76&gt;=Data!$M$14), "U12 Girls record"
                       ),""), "")</f>
        <v/>
      </c>
      <c r="M76" s="18" cm="1">
        <f t="array" ref="M76">_xlfn.IFS($G76="",0, AND(NOT(ISNUMBER($G76)),LOWER(LEFT($G76,1))&lt;&gt;"n"),"Not a valid distance",OR(LOWER(LEFT($G76,1))="n",$G76&lt;ScoringTable!$O$161),1,RIGHT($E76,1)="B",_xlfn.XLOOKUP($G76,ScoringTable!$O$2:$O$161,ScoringTable!$L$2:$L$161,,-1),TRUE,_xlfn.XLOOKUP($G76,ScoringTable!$U$2:$U$161,ScoringTable!$R$2:$R$161,,-1))</f>
        <v>84</v>
      </c>
    </row>
    <row r="77" spans="1:13" s="7" customFormat="1" ht="16.05" customHeight="1">
      <c r="A77" s="113" t="s">
        <v>99</v>
      </c>
      <c r="B77" s="114" t="str">
        <f>IF(ISNA(VLOOKUP($F77,Declarations!B$6:C$185,2,FALSE)),"",IF(VLOOKUP($F77,Declarations!B$6:C$185,2,FALSE)="","NOT DECLARED",IF(ISNA(_xlfn.TEXTBEFORE(VLOOKUP($F77,Declarations!B$6:C$185,2,FALSE)," ")),VLOOKUP($F77,Declarations!B$6:C$185,2,FALSE),_xlfn.TEXTBEFORE(VLOOKUP($F77,Declarations!B$6:C$185,2,FALSE)," "))))</f>
        <v>LEVI</v>
      </c>
      <c r="C77" s="114" t="str">
        <f>IF(ISNA(VLOOKUP($F77,Declarations!B$6:C$185,2,FALSE)),"",IF(VLOOKUP($F77,Declarations!B$6:C$185,2,FALSE)="","NOT DECLARED",IF(ISNA(_xlfn.TEXTAFTER(VLOOKUP($F77,Declarations!B$6:C$185,2,FALSE)," ")),VLOOKUP($F77,Declarations!B$6:C$185,2,FALSE),_xlfn.TEXTAFTER(VLOOKUP($F77,Declarations!B$6:C$185,2,FALSE)," "))))</f>
        <v>KIRWAN</v>
      </c>
      <c r="D77" s="114" t="str">
        <f>IF(ISNA(VLOOKUP($F77,Declarations!$B$6:$F$185,5,FALSE)),"",IF(VLOOKUP($F77,Declarations!$B$6:$F$185,5,FALSE)="","NOT DECLARED",VLOOKUP($F77,Declarations!$B$6:$F$185,5,FALSE)))</f>
        <v>Fleet &amp; Crookham AC</v>
      </c>
      <c r="E77" s="112" t="str">
        <f>IF(ISNA(VLOOKUP($F77,Declarations!$B$6:$D$185,3,FALSE)),"",IF(VLOOKUP($F77,Declarations!$B$6:$D$185,3,FALSE)="","NOT DECLARED",VLOOKUP($F77,Declarations!$B$6:$D$185,3,FALSE)&amp;LEFT(VLOOKUP($F77,Declarations!$B$6:$E$185,4,FALSE))))</f>
        <v>U12B</v>
      </c>
      <c r="F77" s="58">
        <v>72</v>
      </c>
      <c r="G77" s="121">
        <v>3.01</v>
      </c>
      <c r="H77" s="121"/>
      <c r="I77" s="114" t="str">
        <f>IF(ISNA(VLOOKUP(F77,Declarations!B$6:C$185,2,FALSE)),"",IF(VLOOKUP(F77,Declarations!B$6:C$185,2,FALSE)="","NOT DECLARED",VLOOKUP(F77,Declarations!B$6:C$185,2,FALSE)))</f>
        <v>LEVI KIRWAN</v>
      </c>
      <c r="J77" s="112">
        <f>IF(LOWER(LEFT(G77,1))="n",1,VLOOKUP(G77,ScoringTable!D$2:I$95,6))</f>
        <v>37</v>
      </c>
      <c r="K77" s="112" t="str">
        <f>IF(OR(E77="",G77=""),"",IF(RIGHT(E77,1)="G",_xlfn.XLOOKUP(G77,Data!$D$14:$L$14,Data!$D$9:$L$9,"",-1,1),_xlfn.XLOOKUP(G77,Data!$D$7:$L$7,Data!$D$2:$L$2,"",-1,1)))</f>
        <v>PB5</v>
      </c>
      <c r="L77" s="160" t="str" cm="1">
        <f t="array" ref="L77">IFERROR(_xlfn.IFNA(
                      _xlfn.IFS(
                      G77="", "",
                      AND(E77="U12B",G77&gt;=Data!$M$7), "U12 Boys record",
                      AND(E77="U12G",G77&gt;=Data!$M$14), "U12 Girls record"
                       ),""), "")</f>
        <v/>
      </c>
      <c r="M77" s="18" cm="1">
        <f t="array" ref="M77">_xlfn.IFS($G77="",0, AND(NOT(ISNUMBER($G77)),LOWER(LEFT($G77,1))&lt;&gt;"n"),"Not a valid distance",OR(LOWER(LEFT($G77,1))="n",$G77&lt;ScoringTable!$O$161),1,RIGHT($E77,1)="B",_xlfn.XLOOKUP($G77,ScoringTable!$O$2:$O$161,ScoringTable!$L$2:$L$161,,-1),TRUE,_xlfn.XLOOKUP($G77,ScoringTable!$U$2:$U$161,ScoringTable!$R$2:$R$161,,-1))</f>
        <v>60</v>
      </c>
    </row>
    <row r="78" spans="1:13" s="7" customFormat="1" ht="16.05" customHeight="1">
      <c r="A78" s="113" t="s">
        <v>99</v>
      </c>
      <c r="B78" s="114" t="str">
        <f>IF(ISNA(VLOOKUP($F78,Declarations!B$6:C$185,2,FALSE)),"",IF(VLOOKUP($F78,Declarations!B$6:C$185,2,FALSE)="","NOT DECLARED",IF(ISNA(_xlfn.TEXTBEFORE(VLOOKUP($F78,Declarations!B$6:C$185,2,FALSE)," ")),VLOOKUP($F78,Declarations!B$6:C$185,2,FALSE),_xlfn.TEXTBEFORE(VLOOKUP($F78,Declarations!B$6:C$185,2,FALSE)," "))))</f>
        <v>CHARLIE</v>
      </c>
      <c r="C78" s="114" t="str">
        <f>IF(ISNA(VLOOKUP($F78,Declarations!B$6:C$185,2,FALSE)),"",IF(VLOOKUP($F78,Declarations!B$6:C$185,2,FALSE)="","NOT DECLARED",IF(ISNA(_xlfn.TEXTAFTER(VLOOKUP($F78,Declarations!B$6:C$185,2,FALSE)," ")),VLOOKUP($F78,Declarations!B$6:C$185,2,FALSE),_xlfn.TEXTAFTER(VLOOKUP($F78,Declarations!B$6:C$185,2,FALSE)," "))))</f>
        <v>BLACKWELL</v>
      </c>
      <c r="D78" s="114" t="str">
        <f>IF(ISNA(VLOOKUP($F78,Declarations!$B$6:$F$185,5,FALSE)),"",IF(VLOOKUP($F78,Declarations!$B$6:$F$185,5,FALSE)="","NOT DECLARED",VLOOKUP($F78,Declarations!$B$6:$F$185,5,FALSE)))</f>
        <v>Fleet &amp; Crookham AC</v>
      </c>
      <c r="E78" s="112" t="str">
        <f>IF(ISNA(VLOOKUP($F78,Declarations!$B$6:$D$185,3,FALSE)),"",IF(VLOOKUP($F78,Declarations!$B$6:$D$185,3,FALSE)="","NOT DECLARED",VLOOKUP($F78,Declarations!$B$6:$D$185,3,FALSE)&amp;LEFT(VLOOKUP($F78,Declarations!$B$6:$E$185,4,FALSE))))</f>
        <v>U12B</v>
      </c>
      <c r="F78" s="58">
        <v>73</v>
      </c>
      <c r="G78" s="121">
        <v>3.6</v>
      </c>
      <c r="H78" s="121"/>
      <c r="I78" s="114" t="str">
        <f>IF(ISNA(VLOOKUP(F78,Declarations!B$6:C$185,2,FALSE)),"",IF(VLOOKUP(F78,Declarations!B$6:C$185,2,FALSE)="","NOT DECLARED",VLOOKUP(F78,Declarations!B$6:C$185,2,FALSE)))</f>
        <v>CHARLIE BLACKWELL</v>
      </c>
      <c r="J78" s="112">
        <f>IF(LOWER(LEFT(G78,1))="n",1,VLOOKUP(G78,ScoringTable!D$2:I$95,6))</f>
        <v>56</v>
      </c>
      <c r="K78" s="112" t="str">
        <f>IF(OR(E78="",G78=""),"",IF(RIGHT(E78,1)="G",_xlfn.XLOOKUP(G78,Data!$D$14:$L$14,Data!$D$9:$L$9,"",-1,1),_xlfn.XLOOKUP(G78,Data!$D$7:$L$7,Data!$D$2:$L$2,"",-1,1)))</f>
        <v>PB7</v>
      </c>
      <c r="L78" s="160" t="str" cm="1">
        <f t="array" ref="L78">IFERROR(_xlfn.IFNA(
                      _xlfn.IFS(
                      G78="", "",
                      AND(E78="U12B",G78&gt;=Data!$M$7), "U12 Boys record",
                      AND(E78="U12G",G78&gt;=Data!$M$14), "U12 Girls record"
                       ),""), "")</f>
        <v/>
      </c>
      <c r="M78" s="18" cm="1">
        <f t="array" ref="M78">_xlfn.IFS($G78="",0, AND(NOT(ISNUMBER($G78)),LOWER(LEFT($G78,1))&lt;&gt;"n"),"Not a valid distance",OR(LOWER(LEFT($G78,1))="n",$G78&lt;ScoringTable!$O$161),1,RIGHT($E78,1)="B",_xlfn.XLOOKUP($G78,ScoringTable!$O$2:$O$161,ScoringTable!$L$2:$L$161,,-1),TRUE,_xlfn.XLOOKUP($G78,ScoringTable!$U$2:$U$161,ScoringTable!$R$2:$R$161,,-1))</f>
        <v>83</v>
      </c>
    </row>
    <row r="79" spans="1:13" s="7" customFormat="1" ht="16.05" customHeight="1">
      <c r="A79" s="113" t="s">
        <v>99</v>
      </c>
      <c r="B79" s="114" t="str">
        <f>IF(ISNA(VLOOKUP($F79,Declarations!B$6:C$185,2,FALSE)),"",IF(VLOOKUP($F79,Declarations!B$6:C$185,2,FALSE)="","NOT DECLARED",IF(ISNA(_xlfn.TEXTBEFORE(VLOOKUP($F79,Declarations!B$6:C$185,2,FALSE)," ")),VLOOKUP($F79,Declarations!B$6:C$185,2,FALSE),_xlfn.TEXTBEFORE(VLOOKUP($F79,Declarations!B$6:C$185,2,FALSE)," "))))</f>
        <v>THOMAS</v>
      </c>
      <c r="C79" s="114" t="str">
        <f>IF(ISNA(VLOOKUP($F79,Declarations!B$6:C$185,2,FALSE)),"",IF(VLOOKUP($F79,Declarations!B$6:C$185,2,FALSE)="","NOT DECLARED",IF(ISNA(_xlfn.TEXTAFTER(VLOOKUP($F79,Declarations!B$6:C$185,2,FALSE)," ")),VLOOKUP($F79,Declarations!B$6:C$185,2,FALSE),_xlfn.TEXTAFTER(VLOOKUP($F79,Declarations!B$6:C$185,2,FALSE)," "))))</f>
        <v>MOORE</v>
      </c>
      <c r="D79" s="114" t="str">
        <f>IF(ISNA(VLOOKUP($F79,Declarations!$B$6:$F$185,5,FALSE)),"",IF(VLOOKUP($F79,Declarations!$B$6:$F$185,5,FALSE)="","NOT DECLARED",VLOOKUP($F79,Declarations!$B$6:$F$185,5,FALSE)))</f>
        <v>Fleet &amp; Crookham AC</v>
      </c>
      <c r="E79" s="112" t="str">
        <f>IF(ISNA(VLOOKUP($F79,Declarations!$B$6:$D$185,3,FALSE)),"",IF(VLOOKUP($F79,Declarations!$B$6:$D$185,3,FALSE)="","NOT DECLARED",VLOOKUP($F79,Declarations!$B$6:$D$185,3,FALSE)&amp;LEFT(VLOOKUP($F79,Declarations!$B$6:$E$185,4,FALSE))))</f>
        <v>U12B</v>
      </c>
      <c r="F79" s="58">
        <v>74</v>
      </c>
      <c r="G79" s="121">
        <v>2.93</v>
      </c>
      <c r="H79" s="121"/>
      <c r="I79" s="114" t="str">
        <f>IF(ISNA(VLOOKUP(F79,Declarations!B$6:C$185,2,FALSE)),"",IF(VLOOKUP(F79,Declarations!B$6:C$185,2,FALSE)="","NOT DECLARED",VLOOKUP(F79,Declarations!B$6:C$185,2,FALSE)))</f>
        <v>THOMAS MOORE</v>
      </c>
      <c r="J79" s="112">
        <f>IF(LOWER(LEFT(G79,1))="n",1,VLOOKUP(G79,ScoringTable!D$2:I$95,6))</f>
        <v>34</v>
      </c>
      <c r="K79" s="112" t="str">
        <f>IF(OR(E79="",G79=""),"",IF(RIGHT(E79,1)="G",_xlfn.XLOOKUP(G79,Data!$D$14:$L$14,Data!$D$9:$L$9,"",-1,1),_xlfn.XLOOKUP(G79,Data!$D$7:$L$7,Data!$D$2:$L$2,"",-1,1)))</f>
        <v>PB4</v>
      </c>
      <c r="L79" s="160" t="str" cm="1">
        <f t="array" ref="L79">IFERROR(_xlfn.IFNA(
                      _xlfn.IFS(
                      G79="", "",
                      AND(E79="U12B",G79&gt;=Data!$M$7), "U12 Boys record",
                      AND(E79="U12G",G79&gt;=Data!$M$14), "U12 Girls record"
                       ),""), "")</f>
        <v/>
      </c>
      <c r="M79" s="18" cm="1">
        <f t="array" ref="M79">_xlfn.IFS($G79="",0, AND(NOT(ISNUMBER($G79)),LOWER(LEFT($G79,1))&lt;&gt;"n"),"Not a valid distance",OR(LOWER(LEFT($G79,1))="n",$G79&lt;ScoringTable!$O$161),1,RIGHT($E79,1)="B",_xlfn.XLOOKUP($G79,ScoringTable!$O$2:$O$161,ScoringTable!$L$2:$L$161,,-1),TRUE,_xlfn.XLOOKUP($G79,ScoringTable!$U$2:$U$161,ScoringTable!$R$2:$R$161,,-1))</f>
        <v>56</v>
      </c>
    </row>
    <row r="80" spans="1:13" s="7" customFormat="1" ht="16.05" customHeight="1">
      <c r="A80" s="113" t="s">
        <v>99</v>
      </c>
      <c r="B80" s="114" t="str">
        <f>IF(ISNA(VLOOKUP($F80,Declarations!B$6:C$185,2,FALSE)),"",IF(VLOOKUP($F80,Declarations!B$6:C$185,2,FALSE)="","NOT DECLARED",IF(ISNA(_xlfn.TEXTBEFORE(VLOOKUP($F80,Declarations!B$6:C$185,2,FALSE)," ")),VLOOKUP($F80,Declarations!B$6:C$185,2,FALSE),_xlfn.TEXTBEFORE(VLOOKUP($F80,Declarations!B$6:C$185,2,FALSE)," "))))</f>
        <v>MURRAY</v>
      </c>
      <c r="C80" s="114" t="str">
        <f>IF(ISNA(VLOOKUP($F80,Declarations!B$6:C$185,2,FALSE)),"",IF(VLOOKUP($F80,Declarations!B$6:C$185,2,FALSE)="","NOT DECLARED",IF(ISNA(_xlfn.TEXTAFTER(VLOOKUP($F80,Declarations!B$6:C$185,2,FALSE)," ")),VLOOKUP($F80,Declarations!B$6:C$185,2,FALSE),_xlfn.TEXTAFTER(VLOOKUP($F80,Declarations!B$6:C$185,2,FALSE)," "))))</f>
        <v>VOADEN</v>
      </c>
      <c r="D80" s="114" t="str">
        <f>IF(ISNA(VLOOKUP($F80,Declarations!$B$6:$F$185,5,FALSE)),"",IF(VLOOKUP($F80,Declarations!$B$6:$F$185,5,FALSE)="","NOT DECLARED",VLOOKUP($F80,Declarations!$B$6:$F$185,5,FALSE)))</f>
        <v>Fleet &amp; Crookham AC</v>
      </c>
      <c r="E80" s="112" t="str">
        <f>IF(ISNA(VLOOKUP($F80,Declarations!$B$6:$D$185,3,FALSE)),"",IF(VLOOKUP($F80,Declarations!$B$6:$D$185,3,FALSE)="","NOT DECLARED",VLOOKUP($F80,Declarations!$B$6:$D$185,3,FALSE)&amp;LEFT(VLOOKUP($F80,Declarations!$B$6:$E$185,4,FALSE))))</f>
        <v>U12B</v>
      </c>
      <c r="F80" s="58">
        <v>75</v>
      </c>
      <c r="G80" s="121">
        <v>2.92</v>
      </c>
      <c r="H80" s="121"/>
      <c r="I80" s="114" t="str">
        <f>IF(ISNA(VLOOKUP(F80,Declarations!B$6:C$185,2,FALSE)),"",IF(VLOOKUP(F80,Declarations!B$6:C$185,2,FALSE)="","NOT DECLARED",VLOOKUP(F80,Declarations!B$6:C$185,2,FALSE)))</f>
        <v>MURRAY VOADEN</v>
      </c>
      <c r="J80" s="112">
        <f>IF(LOWER(LEFT(G80,1))="n",1,VLOOKUP(G80,ScoringTable!D$2:I$95,6))</f>
        <v>34</v>
      </c>
      <c r="K80" s="112" t="str">
        <f>IF(OR(E80="",G80=""),"",IF(RIGHT(E80,1)="G",_xlfn.XLOOKUP(G80,Data!$D$14:$L$14,Data!$D$9:$L$9,"",-1,1),_xlfn.XLOOKUP(G80,Data!$D$7:$L$7,Data!$D$2:$L$2,"",-1,1)))</f>
        <v>PB4</v>
      </c>
      <c r="L80" s="160" t="str" cm="1">
        <f t="array" ref="L80">IFERROR(_xlfn.IFNA(
                      _xlfn.IFS(
                      G80="", "",
                      AND(E80="U12B",G80&gt;=Data!$M$7), "U12 Boys record",
                      AND(E80="U12G",G80&gt;=Data!$M$14), "U12 Girls record"
                       ),""), "")</f>
        <v/>
      </c>
      <c r="M80" s="18" cm="1">
        <f t="array" ref="M80">_xlfn.IFS($G80="",0, AND(NOT(ISNUMBER($G80)),LOWER(LEFT($G80,1))&lt;&gt;"n"),"Not a valid distance",OR(LOWER(LEFT($G80,1))="n",$G80&lt;ScoringTable!$O$161),1,RIGHT($E80,1)="B",_xlfn.XLOOKUP($G80,ScoringTable!$O$2:$O$161,ScoringTable!$L$2:$L$161,,-1),TRUE,_xlfn.XLOOKUP($G80,ScoringTable!$U$2:$U$161,ScoringTable!$R$2:$R$161,,-1))</f>
        <v>56</v>
      </c>
    </row>
    <row r="81" spans="1:13" s="7" customFormat="1" ht="16.05" customHeight="1">
      <c r="A81" s="113" t="s">
        <v>99</v>
      </c>
      <c r="B81" s="114" t="str">
        <f>IF(ISNA(VLOOKUP($F81,Declarations!B$6:C$185,2,FALSE)),"",IF(VLOOKUP($F81,Declarations!B$6:C$185,2,FALSE)="","NOT DECLARED",IF(ISNA(_xlfn.TEXTBEFORE(VLOOKUP($F81,Declarations!B$6:C$185,2,FALSE)," ")),VLOOKUP($F81,Declarations!B$6:C$185,2,FALSE),_xlfn.TEXTBEFORE(VLOOKUP($F81,Declarations!B$6:C$185,2,FALSE)," "))))</f>
        <v>DYLAN</v>
      </c>
      <c r="C81" s="114" t="str">
        <f>IF(ISNA(VLOOKUP($F81,Declarations!B$6:C$185,2,FALSE)),"",IF(VLOOKUP($F81,Declarations!B$6:C$185,2,FALSE)="","NOT DECLARED",IF(ISNA(_xlfn.TEXTAFTER(VLOOKUP($F81,Declarations!B$6:C$185,2,FALSE)," ")),VLOOKUP($F81,Declarations!B$6:C$185,2,FALSE),_xlfn.TEXTAFTER(VLOOKUP($F81,Declarations!B$6:C$185,2,FALSE)," "))))</f>
        <v>MARLEY</v>
      </c>
      <c r="D81" s="114" t="str">
        <f>IF(ISNA(VLOOKUP($F81,Declarations!$B$6:$F$185,5,FALSE)),"",IF(VLOOKUP($F81,Declarations!$B$6:$F$185,5,FALSE)="","NOT DECLARED",VLOOKUP($F81,Declarations!$B$6:$F$185,5,FALSE)))</f>
        <v>Fleet &amp; Crookham AC</v>
      </c>
      <c r="E81" s="112" t="str">
        <f>IF(ISNA(VLOOKUP($F81,Declarations!$B$6:$D$185,3,FALSE)),"",IF(VLOOKUP($F81,Declarations!$B$6:$D$185,3,FALSE)="","NOT DECLARED",VLOOKUP($F81,Declarations!$B$6:$D$185,3,FALSE)&amp;LEFT(VLOOKUP($F81,Declarations!$B$6:$E$185,4,FALSE))))</f>
        <v>U12B</v>
      </c>
      <c r="F81" s="58">
        <v>76</v>
      </c>
      <c r="G81" s="121">
        <v>3.62</v>
      </c>
      <c r="H81" s="121"/>
      <c r="I81" s="114" t="str">
        <f>IF(ISNA(VLOOKUP(F81,Declarations!B$6:C$185,2,FALSE)),"",IF(VLOOKUP(F81,Declarations!B$6:C$185,2,FALSE)="","NOT DECLARED",VLOOKUP(F81,Declarations!B$6:C$185,2,FALSE)))</f>
        <v>DYLAN MARLEY</v>
      </c>
      <c r="J81" s="112">
        <f>IF(LOWER(LEFT(G81,1))="n",1,VLOOKUP(G81,ScoringTable!D$2:I$95,6))</f>
        <v>57</v>
      </c>
      <c r="K81" s="112" t="str">
        <f>IF(OR(E81="",G81=""),"",IF(RIGHT(E81,1)="G",_xlfn.XLOOKUP(G81,Data!$D$14:$L$14,Data!$D$9:$L$9,"",-1,1),_xlfn.XLOOKUP(G81,Data!$D$7:$L$7,Data!$D$2:$L$2,"",-1,1)))</f>
        <v>PB7</v>
      </c>
      <c r="L81" s="160" t="str" cm="1">
        <f t="array" ref="L81">IFERROR(_xlfn.IFNA(
                      _xlfn.IFS(
                      G81="", "",
                      AND(E81="U12B",G81&gt;=Data!$M$7), "U12 Boys record",
                      AND(E81="U12G",G81&gt;=Data!$M$14), "U12 Girls record"
                       ),""), "")</f>
        <v/>
      </c>
      <c r="M81" s="18" cm="1">
        <f t="array" ref="M81">_xlfn.IFS($G81="",0, AND(NOT(ISNUMBER($G81)),LOWER(LEFT($G81,1))&lt;&gt;"n"),"Not a valid distance",OR(LOWER(LEFT($G81,1))="n",$G81&lt;ScoringTable!$O$161),1,RIGHT($E81,1)="B",_xlfn.XLOOKUP($G81,ScoringTable!$O$2:$O$161,ScoringTable!$L$2:$L$161,,-1),TRUE,_xlfn.XLOOKUP($G81,ScoringTable!$U$2:$U$161,ScoringTable!$R$2:$R$161,,-1))</f>
        <v>84</v>
      </c>
    </row>
    <row r="82" spans="1:13" s="7" customFormat="1" ht="16.05" customHeight="1">
      <c r="A82" s="113" t="s">
        <v>99</v>
      </c>
      <c r="B82" s="114" t="str">
        <f>IF(ISNA(VLOOKUP($F82,Declarations!B$6:C$185,2,FALSE)),"",IF(VLOOKUP($F82,Declarations!B$6:C$185,2,FALSE)="","NOT DECLARED",IF(ISNA(_xlfn.TEXTBEFORE(VLOOKUP($F82,Declarations!B$6:C$185,2,FALSE)," ")),VLOOKUP($F82,Declarations!B$6:C$185,2,FALSE),_xlfn.TEXTBEFORE(VLOOKUP($F82,Declarations!B$6:C$185,2,FALSE)," "))))</f>
        <v>NOAH</v>
      </c>
      <c r="C82" s="114" t="str">
        <f>IF(ISNA(VLOOKUP($F82,Declarations!B$6:C$185,2,FALSE)),"",IF(VLOOKUP($F82,Declarations!B$6:C$185,2,FALSE)="","NOT DECLARED",IF(ISNA(_xlfn.TEXTAFTER(VLOOKUP($F82,Declarations!B$6:C$185,2,FALSE)," ")),VLOOKUP($F82,Declarations!B$6:C$185,2,FALSE),_xlfn.TEXTAFTER(VLOOKUP($F82,Declarations!B$6:C$185,2,FALSE)," "))))</f>
        <v>BARKER</v>
      </c>
      <c r="D82" s="114" t="str">
        <f>IF(ISNA(VLOOKUP($F82,Declarations!$B$6:$F$185,5,FALSE)),"",IF(VLOOKUP($F82,Declarations!$B$6:$F$185,5,FALSE)="","NOT DECLARED",VLOOKUP($F82,Declarations!$B$6:$F$185,5,FALSE)))</f>
        <v>Waverley Athletics Club</v>
      </c>
      <c r="E82" s="112" t="str">
        <f>IF(ISNA(VLOOKUP($F82,Declarations!$B$6:$D$185,3,FALSE)),"",IF(VLOOKUP($F82,Declarations!$B$6:$D$185,3,FALSE)="","NOT DECLARED",VLOOKUP($F82,Declarations!$B$6:$D$185,3,FALSE)&amp;LEFT(VLOOKUP($F82,Declarations!$B$6:$E$185,4,FALSE))))</f>
        <v>U12B</v>
      </c>
      <c r="F82" s="58">
        <v>91</v>
      </c>
      <c r="G82" s="121">
        <v>3.82</v>
      </c>
      <c r="H82" s="121"/>
      <c r="I82" s="114" t="str">
        <f>IF(ISNA(VLOOKUP(F82,Declarations!B$6:C$185,2,FALSE)),"",IF(VLOOKUP(F82,Declarations!B$6:C$185,2,FALSE)="","NOT DECLARED",VLOOKUP(F82,Declarations!B$6:C$185,2,FALSE)))</f>
        <v>NOAH BARKER</v>
      </c>
      <c r="J82" s="112">
        <f>IF(LOWER(LEFT(G82,1))="n",1,VLOOKUP(G82,ScoringTable!D$2:I$95,6))</f>
        <v>64</v>
      </c>
      <c r="K82" s="112" t="str">
        <f>IF(OR(E82="",G82=""),"",IF(RIGHT(E82,1)="G",_xlfn.XLOOKUP(G82,Data!$D$14:$L$14,Data!$D$9:$L$9,"",-1,1),_xlfn.XLOOKUP(G82,Data!$D$7:$L$7,Data!$D$2:$L$2,"",-1,1)))</f>
        <v>PB8</v>
      </c>
      <c r="L82" s="160" t="str" cm="1">
        <f t="array" ref="L82">IFERROR(_xlfn.IFNA(
                      _xlfn.IFS(
                      G82="", "",
                      AND(E82="U12B",G82&gt;=Data!$M$7), "U12 Boys record",
                      AND(E82="U12G",G82&gt;=Data!$M$14), "U12 Girls record"
                       ),""), "")</f>
        <v/>
      </c>
      <c r="M82" s="18" cm="1">
        <f t="array" ref="M82">_xlfn.IFS($G82="",0, AND(NOT(ISNUMBER($G82)),LOWER(LEFT($G82,1))&lt;&gt;"n"),"Not a valid distance",OR(LOWER(LEFT($G82,1))="n",$G82&lt;ScoringTable!$O$161),1,RIGHT($E82,1)="B",_xlfn.XLOOKUP($G82,ScoringTable!$O$2:$O$161,ScoringTable!$L$2:$L$161,,-1),TRUE,_xlfn.XLOOKUP($G82,ScoringTable!$U$2:$U$161,ScoringTable!$R$2:$R$161,,-1))</f>
        <v>92</v>
      </c>
    </row>
    <row r="83" spans="1:13" s="7" customFormat="1" ht="16.05" customHeight="1">
      <c r="A83" s="113" t="s">
        <v>99</v>
      </c>
      <c r="B83" s="114" t="str">
        <f>IF(ISNA(VLOOKUP($F83,Declarations!B$6:C$185,2,FALSE)),"",IF(VLOOKUP($F83,Declarations!B$6:C$185,2,FALSE)="","NOT DECLARED",IF(ISNA(_xlfn.TEXTBEFORE(VLOOKUP($F83,Declarations!B$6:C$185,2,FALSE)," ")),VLOOKUP($F83,Declarations!B$6:C$185,2,FALSE),_xlfn.TEXTBEFORE(VLOOKUP($F83,Declarations!B$6:C$185,2,FALSE)," "))))</f>
        <v>BLAKE</v>
      </c>
      <c r="C83" s="114" t="str">
        <f>IF(ISNA(VLOOKUP($F83,Declarations!B$6:C$185,2,FALSE)),"",IF(VLOOKUP($F83,Declarations!B$6:C$185,2,FALSE)="","NOT DECLARED",IF(ISNA(_xlfn.TEXTAFTER(VLOOKUP($F83,Declarations!B$6:C$185,2,FALSE)," ")),VLOOKUP($F83,Declarations!B$6:C$185,2,FALSE),_xlfn.TEXTAFTER(VLOOKUP($F83,Declarations!B$6:C$185,2,FALSE)," "))))</f>
        <v>BARNES</v>
      </c>
      <c r="D83" s="114" t="str">
        <f>IF(ISNA(VLOOKUP($F83,Declarations!$B$6:$F$185,5,FALSE)),"",IF(VLOOKUP($F83,Declarations!$B$6:$F$185,5,FALSE)="","NOT DECLARED",VLOOKUP($F83,Declarations!$B$6:$F$185,5,FALSE)))</f>
        <v>Waverley Athletics Club</v>
      </c>
      <c r="E83" s="112" t="str">
        <f>IF(ISNA(VLOOKUP($F83,Declarations!$B$6:$D$185,3,FALSE)),"",IF(VLOOKUP($F83,Declarations!$B$6:$D$185,3,FALSE)="","NOT DECLARED",VLOOKUP($F83,Declarations!$B$6:$D$185,3,FALSE)&amp;LEFT(VLOOKUP($F83,Declarations!$B$6:$E$185,4,FALSE))))</f>
        <v>U12B</v>
      </c>
      <c r="F83" s="58">
        <v>92</v>
      </c>
      <c r="G83" s="121">
        <v>3.29</v>
      </c>
      <c r="H83" s="121"/>
      <c r="I83" s="114" t="str">
        <f>IF(ISNA(VLOOKUP(F83,Declarations!B$6:C$185,2,FALSE)),"",IF(VLOOKUP(F83,Declarations!B$6:C$185,2,FALSE)="","NOT DECLARED",VLOOKUP(F83,Declarations!B$6:C$185,2,FALSE)))</f>
        <v>BLAKE BARNES</v>
      </c>
      <c r="J83" s="112">
        <f>IF(LOWER(LEFT(G83,1))="n",1,VLOOKUP(G83,ScoringTable!D$2:I$95,6))</f>
        <v>46</v>
      </c>
      <c r="K83" s="112" t="str">
        <f>IF(OR(E83="",G83=""),"",IF(RIGHT(E83,1)="G",_xlfn.XLOOKUP(G83,Data!$D$14:$L$14,Data!$D$9:$L$9,"",-1,1),_xlfn.XLOOKUP(G83,Data!$D$7:$L$7,Data!$D$2:$L$2,"",-1,1)))</f>
        <v>PB6</v>
      </c>
      <c r="L83" s="160" t="str" cm="1">
        <f t="array" ref="L83">IFERROR(_xlfn.IFNA(
                      _xlfn.IFS(
                      G83="", "",
                      AND(E83="U12B",G83&gt;=Data!$M$7), "U12 Boys record",
                      AND(E83="U12G",G83&gt;=Data!$M$14), "U12 Girls record"
                       ),""), "")</f>
        <v/>
      </c>
      <c r="M83" s="18" cm="1">
        <f t="array" ref="M83">_xlfn.IFS($G83="",0, AND(NOT(ISNUMBER($G83)),LOWER(LEFT($G83,1))&lt;&gt;"n"),"Not a valid distance",OR(LOWER(LEFT($G83,1))="n",$G83&lt;ScoringTable!$O$161),1,RIGHT($E83,1)="B",_xlfn.XLOOKUP($G83,ScoringTable!$O$2:$O$161,ScoringTable!$L$2:$L$161,,-1),TRUE,_xlfn.XLOOKUP($G83,ScoringTable!$U$2:$U$161,ScoringTable!$R$2:$R$161,,-1))</f>
        <v>71</v>
      </c>
    </row>
    <row r="84" spans="1:13" s="7" customFormat="1" ht="16.05" customHeight="1">
      <c r="A84" s="113" t="s">
        <v>99</v>
      </c>
      <c r="B84" s="114" t="str">
        <f>IF(ISNA(VLOOKUP($F84,Declarations!B$6:C$185,2,FALSE)),"",IF(VLOOKUP($F84,Declarations!B$6:C$185,2,FALSE)="","NOT DECLARED",IF(ISNA(_xlfn.TEXTBEFORE(VLOOKUP($F84,Declarations!B$6:C$185,2,FALSE)," ")),VLOOKUP($F84,Declarations!B$6:C$185,2,FALSE),_xlfn.TEXTBEFORE(VLOOKUP($F84,Declarations!B$6:C$185,2,FALSE)," "))))</f>
        <v>BEN</v>
      </c>
      <c r="C84" s="114" t="str">
        <f>IF(ISNA(VLOOKUP($F84,Declarations!B$6:C$185,2,FALSE)),"",IF(VLOOKUP($F84,Declarations!B$6:C$185,2,FALSE)="","NOT DECLARED",IF(ISNA(_xlfn.TEXTAFTER(VLOOKUP($F84,Declarations!B$6:C$185,2,FALSE)," ")),VLOOKUP($F84,Declarations!B$6:C$185,2,FALSE),_xlfn.TEXTAFTER(VLOOKUP($F84,Declarations!B$6:C$185,2,FALSE)," "))))</f>
        <v>QUICK</v>
      </c>
      <c r="D84" s="114" t="str">
        <f>IF(ISNA(VLOOKUP($F84,Declarations!$B$6:$F$185,5,FALSE)),"",IF(VLOOKUP($F84,Declarations!$B$6:$F$185,5,FALSE)="","NOT DECLARED",VLOOKUP($F84,Declarations!$B$6:$F$185,5,FALSE)))</f>
        <v>Waverley Athletics Club</v>
      </c>
      <c r="E84" s="112" t="str">
        <f>IF(ISNA(VLOOKUP($F84,Declarations!$B$6:$D$185,3,FALSE)),"",IF(VLOOKUP($F84,Declarations!$B$6:$D$185,3,FALSE)="","NOT DECLARED",VLOOKUP($F84,Declarations!$B$6:$D$185,3,FALSE)&amp;LEFT(VLOOKUP($F84,Declarations!$B$6:$E$185,4,FALSE))))</f>
        <v>U12B</v>
      </c>
      <c r="F84" s="58">
        <v>93</v>
      </c>
      <c r="G84" s="121">
        <v>1.76</v>
      </c>
      <c r="H84" s="121"/>
      <c r="I84" s="114" t="str">
        <f>IF(ISNA(VLOOKUP(F84,Declarations!B$6:C$185,2,FALSE)),"",IF(VLOOKUP(F84,Declarations!B$6:C$185,2,FALSE)="","NOT DECLARED",VLOOKUP(F84,Declarations!B$6:C$185,2,FALSE)))</f>
        <v>BEN QUICK</v>
      </c>
      <c r="J84" s="112">
        <f>IF(LOWER(LEFT(G84,1))="n",1,VLOOKUP(G84,ScoringTable!D$2:I$95,6))</f>
        <v>10</v>
      </c>
      <c r="K84" s="112" t="str">
        <f>IF(OR(E84="",G84=""),"",IF(RIGHT(E84,1)="G",_xlfn.XLOOKUP(G84,Data!$D$14:$L$14,Data!$D$9:$L$9,"",-1,1),_xlfn.XLOOKUP(G84,Data!$D$7:$L$7,Data!$D$2:$L$2,"",-1,1)))</f>
        <v/>
      </c>
      <c r="L84" s="160" t="str" cm="1">
        <f t="array" ref="L84">IFERROR(_xlfn.IFNA(
                      _xlfn.IFS(
                      G84="", "",
                      AND(E84="U12B",G84&gt;=Data!$M$7), "U12 Boys record",
                      AND(E84="U12G",G84&gt;=Data!$M$14), "U12 Girls record"
                       ),""), "")</f>
        <v/>
      </c>
      <c r="M84" s="18" cm="1">
        <f t="array" ref="M84">_xlfn.IFS($G84="",0, AND(NOT(ISNUMBER($G84)),LOWER(LEFT($G84,1))&lt;&gt;"n"),"Not a valid distance",OR(LOWER(LEFT($G84,1))="n",$G84&lt;ScoringTable!$O$161),1,RIGHT($E84,1)="B",_xlfn.XLOOKUP($G84,ScoringTable!$O$2:$O$161,ScoringTable!$L$2:$L$161,,-1),TRUE,_xlfn.XLOOKUP($G84,ScoringTable!$U$2:$U$161,ScoringTable!$R$2:$R$161,,-1))</f>
        <v>12</v>
      </c>
    </row>
    <row r="85" spans="1:13" s="7" customFormat="1" ht="16.05" customHeight="1">
      <c r="A85" s="113" t="s">
        <v>99</v>
      </c>
      <c r="B85" s="114" t="str">
        <f>IF(ISNA(VLOOKUP($F85,Declarations!B$6:C$185,2,FALSE)),"",IF(VLOOKUP($F85,Declarations!B$6:C$185,2,FALSE)="","NOT DECLARED",IF(ISNA(_xlfn.TEXTBEFORE(VLOOKUP($F85,Declarations!B$6:C$185,2,FALSE)," ")),VLOOKUP($F85,Declarations!B$6:C$185,2,FALSE),_xlfn.TEXTBEFORE(VLOOKUP($F85,Declarations!B$6:C$185,2,FALSE)," "))))</f>
        <v>DANIEL</v>
      </c>
      <c r="C85" s="114" t="str">
        <f>IF(ISNA(VLOOKUP($F85,Declarations!B$6:C$185,2,FALSE)),"",IF(VLOOKUP($F85,Declarations!B$6:C$185,2,FALSE)="","NOT DECLARED",IF(ISNA(_xlfn.TEXTAFTER(VLOOKUP($F85,Declarations!B$6:C$185,2,FALSE)," ")),VLOOKUP($F85,Declarations!B$6:C$185,2,FALSE),_xlfn.TEXTAFTER(VLOOKUP($F85,Declarations!B$6:C$185,2,FALSE)," "))))</f>
        <v>BURKE</v>
      </c>
      <c r="D85" s="114" t="str">
        <f>IF(ISNA(VLOOKUP($F85,Declarations!$B$6:$F$185,5,FALSE)),"",IF(VLOOKUP($F85,Declarations!$B$6:$F$185,5,FALSE)="","NOT DECLARED",VLOOKUP($F85,Declarations!$B$6:$F$185,5,FALSE)))</f>
        <v>Waverley Athletics Club</v>
      </c>
      <c r="E85" s="112" t="str">
        <f>IF(ISNA(VLOOKUP($F85,Declarations!$B$6:$D$185,3,FALSE)),"",IF(VLOOKUP($F85,Declarations!$B$6:$D$185,3,FALSE)="","NOT DECLARED",VLOOKUP($F85,Declarations!$B$6:$D$185,3,FALSE)&amp;LEFT(VLOOKUP($F85,Declarations!$B$6:$E$185,4,FALSE))))</f>
        <v>U12B</v>
      </c>
      <c r="F85" s="58">
        <v>94</v>
      </c>
      <c r="G85" s="121"/>
      <c r="H85" s="121"/>
      <c r="I85" s="114" t="str">
        <f>IF(ISNA(VLOOKUP(F85,Declarations!B$6:C$185,2,FALSE)),"",IF(VLOOKUP(F85,Declarations!B$6:C$185,2,FALSE)="","NOT DECLARED",VLOOKUP(F85,Declarations!B$6:C$185,2,FALSE)))</f>
        <v>DANIEL BURKE</v>
      </c>
      <c r="J85" s="112">
        <f>IF(LOWER(LEFT(G85,1))="n",1,VLOOKUP(G85,ScoringTable!D$2:I$95,6))</f>
        <v>0</v>
      </c>
      <c r="K85" s="112" t="str">
        <f>IF(OR(E85="",G85=""),"",IF(RIGHT(E85,1)="G",_xlfn.XLOOKUP(G85,Data!$D$14:$L$14,Data!$D$9:$L$9,"",-1,1),_xlfn.XLOOKUP(G85,Data!$D$7:$L$7,Data!$D$2:$L$2,"",-1,1)))</f>
        <v/>
      </c>
      <c r="L85" s="160" t="str" cm="1">
        <f t="array" ref="L85">IFERROR(_xlfn.IFNA(
                      _xlfn.IFS(
                      G85="", "",
                      AND(E85="U12B",G85&gt;=Data!$M$7), "U12 Boys record",
                      AND(E85="U12G",G85&gt;=Data!$M$14), "U12 Girls record"
                       ),""), "")</f>
        <v/>
      </c>
      <c r="M85" s="18" cm="1">
        <f t="array" ref="M85">_xlfn.IFS($G85="",0, AND(NOT(ISNUMBER($G85)),LOWER(LEFT($G85,1))&lt;&gt;"n"),"Not a valid distance",OR(LOWER(LEFT($G85,1))="n",$G85&lt;ScoringTable!$O$161),1,RIGHT($E85,1)="B",_xlfn.XLOOKUP($G85,ScoringTable!$O$2:$O$161,ScoringTable!$L$2:$L$161,,-1),TRUE,_xlfn.XLOOKUP($G85,ScoringTable!$U$2:$U$161,ScoringTable!$R$2:$R$161,,-1))</f>
        <v>0</v>
      </c>
    </row>
    <row r="86" spans="1:13" s="7" customFormat="1" ht="16.05" customHeight="1">
      <c r="A86" s="113" t="s">
        <v>99</v>
      </c>
      <c r="B86" s="114" t="str">
        <f>IF(ISNA(VLOOKUP($F86,Declarations!B$6:C$185,2,FALSE)),"",IF(VLOOKUP($F86,Declarations!B$6:C$185,2,FALSE)="","NOT DECLARED",IF(ISNA(_xlfn.TEXTBEFORE(VLOOKUP($F86,Declarations!B$6:C$185,2,FALSE)," ")),VLOOKUP($F86,Declarations!B$6:C$185,2,FALSE),_xlfn.TEXTBEFORE(VLOOKUP($F86,Declarations!B$6:C$185,2,FALSE)," "))))</f>
        <v>LEONARDO</v>
      </c>
      <c r="C86" s="114" t="str">
        <f>IF(ISNA(VLOOKUP($F86,Declarations!B$6:C$185,2,FALSE)),"",IF(VLOOKUP($F86,Declarations!B$6:C$185,2,FALSE)="","NOT DECLARED",IF(ISNA(_xlfn.TEXTAFTER(VLOOKUP($F86,Declarations!B$6:C$185,2,FALSE)," ")),VLOOKUP($F86,Declarations!B$6:C$185,2,FALSE),_xlfn.TEXTAFTER(VLOOKUP($F86,Declarations!B$6:C$185,2,FALSE)," "))))</f>
        <v>OLALEMI</v>
      </c>
      <c r="D86" s="114" t="str">
        <f>IF(ISNA(VLOOKUP($F86,Declarations!$B$6:$F$185,5,FALSE)),"",IF(VLOOKUP($F86,Declarations!$B$6:$F$185,5,FALSE)="","NOT DECLARED",VLOOKUP($F86,Declarations!$B$6:$F$185,5,FALSE)))</f>
        <v>Waverley Athletics Club</v>
      </c>
      <c r="E86" s="112" t="str">
        <f>IF(ISNA(VLOOKUP($F86,Declarations!$B$6:$D$185,3,FALSE)),"",IF(VLOOKUP($F86,Declarations!$B$6:$D$185,3,FALSE)="","NOT DECLARED",VLOOKUP($F86,Declarations!$B$6:$D$185,3,FALSE)&amp;LEFT(VLOOKUP($F86,Declarations!$B$6:$E$185,4,FALSE))))</f>
        <v>U12B</v>
      </c>
      <c r="F86" s="58">
        <v>95</v>
      </c>
      <c r="G86" s="121">
        <v>2.29</v>
      </c>
      <c r="H86" s="121"/>
      <c r="I86" s="114" t="str">
        <f>IF(ISNA(VLOOKUP(F86,Declarations!B$6:C$185,2,FALSE)),"",IF(VLOOKUP(F86,Declarations!B$6:C$185,2,FALSE)="","NOT DECLARED",VLOOKUP(F86,Declarations!B$6:C$185,2,FALSE)))</f>
        <v>LEONARDO OLALEMI</v>
      </c>
      <c r="J86" s="112">
        <f>IF(LOWER(LEFT(G86,1))="n",1,VLOOKUP(G86,ScoringTable!D$2:I$95,6))</f>
        <v>13</v>
      </c>
      <c r="K86" s="112" t="str">
        <f>IF(OR(E86="",G86=""),"",IF(RIGHT(E86,1)="G",_xlfn.XLOOKUP(G86,Data!$D$14:$L$14,Data!$D$9:$L$9,"",-1,1),_xlfn.XLOOKUP(G86,Data!$D$7:$L$7,Data!$D$2:$L$2,"",-1,1)))</f>
        <v>PB2</v>
      </c>
      <c r="L86" s="160" t="str" cm="1">
        <f t="array" ref="L86">IFERROR(_xlfn.IFNA(
                      _xlfn.IFS(
                      G86="", "",
                      AND(E86="U12B",G86&gt;=Data!$M$7), "U12 Boys record",
                      AND(E86="U12G",G86&gt;=Data!$M$14), "U12 Girls record"
                       ),""), "")</f>
        <v/>
      </c>
      <c r="M86" s="18" cm="1">
        <f t="array" ref="M86">_xlfn.IFS($G86="",0, AND(NOT(ISNUMBER($G86)),LOWER(LEFT($G86,1))&lt;&gt;"n"),"Not a valid distance",OR(LOWER(LEFT($G86,1))="n",$G86&lt;ScoringTable!$O$161),1,RIGHT($E86,1)="B",_xlfn.XLOOKUP($G86,ScoringTable!$O$2:$O$161,ScoringTable!$L$2:$L$161,,-1),TRUE,_xlfn.XLOOKUP($G86,ScoringTable!$U$2:$U$161,ScoringTable!$R$2:$R$161,,-1))</f>
        <v>31</v>
      </c>
    </row>
    <row r="87" spans="1:13" s="7" customFormat="1" ht="16.05" customHeight="1">
      <c r="A87" s="113" t="s">
        <v>99</v>
      </c>
      <c r="B87" s="114" t="str">
        <f>IF(ISNA(VLOOKUP($F87,Declarations!B$6:C$185,2,FALSE)),"",IF(VLOOKUP($F87,Declarations!B$6:C$185,2,FALSE)="","NOT DECLARED",IF(ISNA(_xlfn.TEXTBEFORE(VLOOKUP($F87,Declarations!B$6:C$185,2,FALSE)," ")),VLOOKUP($F87,Declarations!B$6:C$185,2,FALSE),_xlfn.TEXTBEFORE(VLOOKUP($F87,Declarations!B$6:C$185,2,FALSE)," "))))</f>
        <v>TADHG</v>
      </c>
      <c r="C87" s="114" t="str">
        <f>IF(ISNA(VLOOKUP($F87,Declarations!B$6:C$185,2,FALSE)),"",IF(VLOOKUP($F87,Declarations!B$6:C$185,2,FALSE)="","NOT DECLARED",IF(ISNA(_xlfn.TEXTAFTER(VLOOKUP($F87,Declarations!B$6:C$185,2,FALSE)," ")),VLOOKUP($F87,Declarations!B$6:C$185,2,FALSE),_xlfn.TEXTAFTER(VLOOKUP($F87,Declarations!B$6:C$185,2,FALSE)," "))))</f>
        <v>WATSON</v>
      </c>
      <c r="D87" s="114" t="str">
        <f>IF(ISNA(VLOOKUP($F87,Declarations!$B$6:$F$185,5,FALSE)),"",IF(VLOOKUP($F87,Declarations!$B$6:$F$185,5,FALSE)="","NOT DECLARED",VLOOKUP($F87,Declarations!$B$6:$F$185,5,FALSE)))</f>
        <v>Waverley Athletics Club</v>
      </c>
      <c r="E87" s="112" t="str">
        <f>IF(ISNA(VLOOKUP($F87,Declarations!$B$6:$D$185,3,FALSE)),"",IF(VLOOKUP($F87,Declarations!$B$6:$D$185,3,FALSE)="","NOT DECLARED",VLOOKUP($F87,Declarations!$B$6:$D$185,3,FALSE)&amp;LEFT(VLOOKUP($F87,Declarations!$B$6:$E$185,4,FALSE))))</f>
        <v>U12B</v>
      </c>
      <c r="F87" s="58">
        <v>96</v>
      </c>
      <c r="G87" s="121">
        <v>2.92</v>
      </c>
      <c r="H87" s="121"/>
      <c r="I87" s="114" t="str">
        <f>IF(ISNA(VLOOKUP(F87,Declarations!B$6:C$185,2,FALSE)),"",IF(VLOOKUP(F87,Declarations!B$6:C$185,2,FALSE)="","NOT DECLARED",VLOOKUP(F87,Declarations!B$6:C$185,2,FALSE)))</f>
        <v>TADHG WATSON</v>
      </c>
      <c r="J87" s="112">
        <f>IF(LOWER(LEFT(G87,1))="n",1,VLOOKUP(G87,ScoringTable!D$2:I$95,6))</f>
        <v>34</v>
      </c>
      <c r="K87" s="112" t="str">
        <f>IF(OR(E87="",G87=""),"",IF(RIGHT(E87,1)="G",_xlfn.XLOOKUP(G87,Data!$D$14:$L$14,Data!$D$9:$L$9,"",-1,1),_xlfn.XLOOKUP(G87,Data!$D$7:$L$7,Data!$D$2:$L$2,"",-1,1)))</f>
        <v>PB4</v>
      </c>
      <c r="L87" s="160" t="str" cm="1">
        <f t="array" ref="L87">IFERROR(_xlfn.IFNA(
                      _xlfn.IFS(
                      G87="", "",
                      AND(E87="U12B",G87&gt;=Data!$M$7), "U12 Boys record",
                      AND(E87="U12G",G87&gt;=Data!$M$14), "U12 Girls record"
                       ),""), "")</f>
        <v/>
      </c>
      <c r="M87" s="18" cm="1">
        <f t="array" ref="M87">_xlfn.IFS($G87="",0, AND(NOT(ISNUMBER($G87)),LOWER(LEFT($G87,1))&lt;&gt;"n"),"Not a valid distance",OR(LOWER(LEFT($G87,1))="n",$G87&lt;ScoringTable!$O$161),1,RIGHT($E87,1)="B",_xlfn.XLOOKUP($G87,ScoringTable!$O$2:$O$161,ScoringTable!$L$2:$L$161,,-1),TRUE,_xlfn.XLOOKUP($G87,ScoringTable!$U$2:$U$161,ScoringTable!$R$2:$R$161,,-1))</f>
        <v>56</v>
      </c>
    </row>
    <row r="88" spans="1:13" s="7" customFormat="1" ht="16.05" customHeight="1">
      <c r="A88" s="113" t="s">
        <v>99</v>
      </c>
      <c r="B88" s="114" t="str">
        <f>IF(ISNA(VLOOKUP($F88,Declarations!B$6:C$185,2,FALSE)),"",IF(VLOOKUP($F88,Declarations!B$6:C$185,2,FALSE)="","NOT DECLARED",IF(ISNA(_xlfn.TEXTBEFORE(VLOOKUP($F88,Declarations!B$6:C$185,2,FALSE)," ")),VLOOKUP($F88,Declarations!B$6:C$185,2,FALSE),_xlfn.TEXTBEFORE(VLOOKUP($F88,Declarations!B$6:C$185,2,FALSE)," "))))</f>
        <v>STAN</v>
      </c>
      <c r="C88" s="114" t="str">
        <f>IF(ISNA(VLOOKUP($F88,Declarations!B$6:C$185,2,FALSE)),"",IF(VLOOKUP($F88,Declarations!B$6:C$185,2,FALSE)="","NOT DECLARED",IF(ISNA(_xlfn.TEXTAFTER(VLOOKUP($F88,Declarations!B$6:C$185,2,FALSE)," ")),VLOOKUP($F88,Declarations!B$6:C$185,2,FALSE),_xlfn.TEXTAFTER(VLOOKUP($F88,Declarations!B$6:C$185,2,FALSE)," "))))</f>
        <v>CLIPSHAM</v>
      </c>
      <c r="D88" s="114" t="str">
        <f>IF(ISNA(VLOOKUP($F88,Declarations!$B$6:$F$185,5,FALSE)),"",IF(VLOOKUP($F88,Declarations!$B$6:$F$185,5,FALSE)="","NOT DECLARED",VLOOKUP($F88,Declarations!$B$6:$F$185,5,FALSE)))</f>
        <v>Waverley Athletics Club</v>
      </c>
      <c r="E88" s="112" t="str">
        <f>IF(ISNA(VLOOKUP($F88,Declarations!$B$6:$D$185,3,FALSE)),"",IF(VLOOKUP($F88,Declarations!$B$6:$D$185,3,FALSE)="","NOT DECLARED",VLOOKUP($F88,Declarations!$B$6:$D$185,3,FALSE)&amp;LEFT(VLOOKUP($F88,Declarations!$B$6:$E$185,4,FALSE))))</f>
        <v>U12B</v>
      </c>
      <c r="F88" s="58">
        <v>97</v>
      </c>
      <c r="G88" s="121"/>
      <c r="H88" s="121"/>
      <c r="I88" s="114" t="str">
        <f>IF(ISNA(VLOOKUP(F88,Declarations!B$6:C$185,2,FALSE)),"",IF(VLOOKUP(F88,Declarations!B$6:C$185,2,FALSE)="","NOT DECLARED",VLOOKUP(F88,Declarations!B$6:C$185,2,FALSE)))</f>
        <v>STAN CLIPSHAM</v>
      </c>
      <c r="J88" s="112">
        <f>IF(LOWER(LEFT(G88,1))="n",1,VLOOKUP(G88,ScoringTable!D$2:I$95,6))</f>
        <v>0</v>
      </c>
      <c r="K88" s="112" t="str">
        <f>IF(OR(E88="",G88=""),"",IF(RIGHT(E88,1)="G",_xlfn.XLOOKUP(G88,Data!$D$14:$L$14,Data!$D$9:$L$9,"",-1,1),_xlfn.XLOOKUP(G88,Data!$D$7:$L$7,Data!$D$2:$L$2,"",-1,1)))</f>
        <v/>
      </c>
      <c r="L88" s="160" t="str" cm="1">
        <f t="array" ref="L88">IFERROR(_xlfn.IFNA(
                      _xlfn.IFS(
                      G88="", "",
                      AND(E88="U12B",G88&gt;=Data!$M$7), "U12 Boys record",
                      AND(E88="U12G",G88&gt;=Data!$M$14), "U12 Girls record"
                       ),""), "")</f>
        <v/>
      </c>
      <c r="M88" s="18" cm="1">
        <f t="array" ref="M88">_xlfn.IFS($G88="",0, AND(NOT(ISNUMBER($G88)),LOWER(LEFT($G88,1))&lt;&gt;"n"),"Not a valid distance",OR(LOWER(LEFT($G88,1))="n",$G88&lt;ScoringTable!$O$161),1,RIGHT($E88,1)="B",_xlfn.XLOOKUP($G88,ScoringTable!$O$2:$O$161,ScoringTable!$L$2:$L$161,,-1),TRUE,_xlfn.XLOOKUP($G88,ScoringTable!$U$2:$U$161,ScoringTable!$R$2:$R$161,,-1))</f>
        <v>0</v>
      </c>
    </row>
    <row r="89" spans="1:13" s="7" customFormat="1" ht="16.05" customHeight="1">
      <c r="A89" s="113" t="s">
        <v>99</v>
      </c>
      <c r="B89" s="114" t="str">
        <f>IF(ISNA(VLOOKUP($F89,Declarations!B$6:C$185,2,FALSE)),"",IF(VLOOKUP($F89,Declarations!B$6:C$185,2,FALSE)="","NOT DECLARED",IF(ISNA(_xlfn.TEXTBEFORE(VLOOKUP($F89,Declarations!B$6:C$185,2,FALSE)," ")),VLOOKUP($F89,Declarations!B$6:C$185,2,FALSE),_xlfn.TEXTBEFORE(VLOOKUP($F89,Declarations!B$6:C$185,2,FALSE)," "))))</f>
        <v>JENSON</v>
      </c>
      <c r="C89" s="114" t="str">
        <f>IF(ISNA(VLOOKUP($F89,Declarations!B$6:C$185,2,FALSE)),"",IF(VLOOKUP($F89,Declarations!B$6:C$185,2,FALSE)="","NOT DECLARED",IF(ISNA(_xlfn.TEXTAFTER(VLOOKUP($F89,Declarations!B$6:C$185,2,FALSE)," ")),VLOOKUP($F89,Declarations!B$6:C$185,2,FALSE),_xlfn.TEXTAFTER(VLOOKUP($F89,Declarations!B$6:C$185,2,FALSE)," "))))</f>
        <v>PROUT</v>
      </c>
      <c r="D89" s="114" t="str">
        <f>IF(ISNA(VLOOKUP($F89,Declarations!$B$6:$F$185,5,FALSE)),"",IF(VLOOKUP($F89,Declarations!$B$6:$F$185,5,FALSE)="","NOT DECLARED",VLOOKUP($F89,Declarations!$B$6:$F$185,5,FALSE)))</f>
        <v>Basingstoke &amp; Mid Hants AC</v>
      </c>
      <c r="E89" s="112" t="str">
        <f>IF(ISNA(VLOOKUP($F89,Declarations!$B$6:$D$185,3,FALSE)),"",IF(VLOOKUP($F89,Declarations!$B$6:$D$185,3,FALSE)="","NOT DECLARED",VLOOKUP($F89,Declarations!$B$6:$D$185,3,FALSE)&amp;LEFT(VLOOKUP($F89,Declarations!$B$6:$E$185,4,FALSE))))</f>
        <v>U12B</v>
      </c>
      <c r="F89" s="58">
        <v>111</v>
      </c>
      <c r="G89" s="121">
        <v>2.74</v>
      </c>
      <c r="H89" s="121"/>
      <c r="I89" s="114" t="str">
        <f>IF(ISNA(VLOOKUP(F89,Declarations!B$6:C$185,2,FALSE)),"",IF(VLOOKUP(F89,Declarations!B$6:C$185,2,FALSE)="","NOT DECLARED",VLOOKUP(F89,Declarations!B$6:C$185,2,FALSE)))</f>
        <v>JENSON PROUT</v>
      </c>
      <c r="J89" s="112">
        <f>IF(LOWER(LEFT(G89,1))="n",1,VLOOKUP(G89,ScoringTable!D$2:I$95,6))</f>
        <v>28</v>
      </c>
      <c r="K89" s="112" t="str">
        <f>IF(OR(E89="",G89=""),"",IF(RIGHT(E89,1)="G",_xlfn.XLOOKUP(G89,Data!$D$14:$L$14,Data!$D$9:$L$9,"",-1,1),_xlfn.XLOOKUP(G89,Data!$D$7:$L$7,Data!$D$2:$L$2,"",-1,1)))</f>
        <v>PB3</v>
      </c>
      <c r="L89" s="160" t="str" cm="1">
        <f t="array" ref="L89">IFERROR(_xlfn.IFNA(
                      _xlfn.IFS(
                      G89="", "",
                      AND(E89="U12B",G89&gt;=Data!$M$7), "U12 Boys record",
                      AND(E89="U12G",G89&gt;=Data!$M$14), "U12 Girls record"
                       ),""), "")</f>
        <v/>
      </c>
      <c r="M89" s="18" cm="1">
        <f t="array" ref="M89">_xlfn.IFS($G89="",0, AND(NOT(ISNUMBER($G89)),LOWER(LEFT($G89,1))&lt;&gt;"n"),"Not a valid distance",OR(LOWER(LEFT($G89,1))="n",$G89&lt;ScoringTable!$O$161),1,RIGHT($E89,1)="B",_xlfn.XLOOKUP($G89,ScoringTable!$O$2:$O$161,ScoringTable!$L$2:$L$161,,-1),TRUE,_xlfn.XLOOKUP($G89,ScoringTable!$U$2:$U$161,ScoringTable!$R$2:$R$161,,-1))</f>
        <v>49</v>
      </c>
    </row>
    <row r="90" spans="1:13" s="7" customFormat="1" ht="16.05" customHeight="1">
      <c r="A90" s="113" t="s">
        <v>99</v>
      </c>
      <c r="B90" s="114" t="str">
        <f>IF(ISNA(VLOOKUP($F90,Declarations!B$6:C$185,2,FALSE)),"",IF(VLOOKUP($F90,Declarations!B$6:C$185,2,FALSE)="","NOT DECLARED",IF(ISNA(_xlfn.TEXTBEFORE(VLOOKUP($F90,Declarations!B$6:C$185,2,FALSE)," ")),VLOOKUP($F90,Declarations!B$6:C$185,2,FALSE),_xlfn.TEXTBEFORE(VLOOKUP($F90,Declarations!B$6:C$185,2,FALSE)," "))))</f>
        <v>NOAH</v>
      </c>
      <c r="C90" s="114" t="str">
        <f>IF(ISNA(VLOOKUP($F90,Declarations!B$6:C$185,2,FALSE)),"",IF(VLOOKUP($F90,Declarations!B$6:C$185,2,FALSE)="","NOT DECLARED",IF(ISNA(_xlfn.TEXTAFTER(VLOOKUP($F90,Declarations!B$6:C$185,2,FALSE)," ")),VLOOKUP($F90,Declarations!B$6:C$185,2,FALSE),_xlfn.TEXTAFTER(VLOOKUP($F90,Declarations!B$6:C$185,2,FALSE)," "))))</f>
        <v>GRAHAM</v>
      </c>
      <c r="D90" s="114" t="str">
        <f>IF(ISNA(VLOOKUP($F90,Declarations!$B$6:$F$185,5,FALSE)),"",IF(VLOOKUP($F90,Declarations!$B$6:$F$185,5,FALSE)="","NOT DECLARED",VLOOKUP($F90,Declarations!$B$6:$F$185,5,FALSE)))</f>
        <v>Basingstoke &amp; Mid Hants AC</v>
      </c>
      <c r="E90" s="112" t="str">
        <f>IF(ISNA(VLOOKUP($F90,Declarations!$B$6:$D$185,3,FALSE)),"",IF(VLOOKUP($F90,Declarations!$B$6:$D$185,3,FALSE)="","NOT DECLARED",VLOOKUP($F90,Declarations!$B$6:$D$185,3,FALSE)&amp;LEFT(VLOOKUP($F90,Declarations!$B$6:$E$185,4,FALSE))))</f>
        <v>U12B</v>
      </c>
      <c r="F90" s="58">
        <v>112</v>
      </c>
      <c r="G90" s="121">
        <v>3.82</v>
      </c>
      <c r="H90" s="121"/>
      <c r="I90" s="114" t="str">
        <f>IF(ISNA(VLOOKUP(F90,Declarations!B$6:C$185,2,FALSE)),"",IF(VLOOKUP(F90,Declarations!B$6:C$185,2,FALSE)="","NOT DECLARED",VLOOKUP(F90,Declarations!B$6:C$185,2,FALSE)))</f>
        <v>NOAH GRAHAM</v>
      </c>
      <c r="J90" s="112">
        <f>IF(LOWER(LEFT(G90,1))="n",1,VLOOKUP(G90,ScoringTable!D$2:I$95,6))</f>
        <v>64</v>
      </c>
      <c r="K90" s="112" t="str">
        <f>IF(OR(E90="",G90=""),"",IF(RIGHT(E90,1)="G",_xlfn.XLOOKUP(G90,Data!$D$14:$L$14,Data!$D$9:$L$9,"",-1,1),_xlfn.XLOOKUP(G90,Data!$D$7:$L$7,Data!$D$2:$L$2,"",-1,1)))</f>
        <v>PB8</v>
      </c>
      <c r="L90" s="160" t="str" cm="1">
        <f t="array" ref="L90">IFERROR(_xlfn.IFNA(
                      _xlfn.IFS(
                      G90="", "",
                      AND(E90="U12B",G90&gt;=Data!$M$7), "U12 Boys record",
                      AND(E90="U12G",G90&gt;=Data!$M$14), "U12 Girls record"
                       ),""), "")</f>
        <v/>
      </c>
      <c r="M90" s="18" cm="1">
        <f t="array" ref="M90">_xlfn.IFS($G90="",0, AND(NOT(ISNUMBER($G90)),LOWER(LEFT($G90,1))&lt;&gt;"n"),"Not a valid distance",OR(LOWER(LEFT($G90,1))="n",$G90&lt;ScoringTable!$O$161),1,RIGHT($E90,1)="B",_xlfn.XLOOKUP($G90,ScoringTable!$O$2:$O$161,ScoringTable!$L$2:$L$161,,-1),TRUE,_xlfn.XLOOKUP($G90,ScoringTable!$U$2:$U$161,ScoringTable!$R$2:$R$161,,-1))</f>
        <v>92</v>
      </c>
    </row>
    <row r="91" spans="1:13" s="7" customFormat="1" ht="16.05" customHeight="1">
      <c r="A91" s="113" t="s">
        <v>99</v>
      </c>
      <c r="B91" s="114" t="str">
        <f>IF(ISNA(VLOOKUP($F91,Declarations!B$6:C$185,2,FALSE)),"",IF(VLOOKUP($F91,Declarations!B$6:C$185,2,FALSE)="","NOT DECLARED",IF(ISNA(_xlfn.TEXTBEFORE(VLOOKUP($F91,Declarations!B$6:C$185,2,FALSE)," ")),VLOOKUP($F91,Declarations!B$6:C$185,2,FALSE),_xlfn.TEXTBEFORE(VLOOKUP($F91,Declarations!B$6:C$185,2,FALSE)," "))))</f>
        <v>ROME</v>
      </c>
      <c r="C91" s="114" t="str">
        <f>IF(ISNA(VLOOKUP($F91,Declarations!B$6:C$185,2,FALSE)),"",IF(VLOOKUP($F91,Declarations!B$6:C$185,2,FALSE)="","NOT DECLARED",IF(ISNA(_xlfn.TEXTAFTER(VLOOKUP($F91,Declarations!B$6:C$185,2,FALSE)," ")),VLOOKUP($F91,Declarations!B$6:C$185,2,FALSE),_xlfn.TEXTAFTER(VLOOKUP($F91,Declarations!B$6:C$185,2,FALSE)," "))))</f>
        <v>ALEXANDER SOLOMAN</v>
      </c>
      <c r="D91" s="114" t="str">
        <f>IF(ISNA(VLOOKUP($F91,Declarations!$B$6:$F$185,5,FALSE)),"",IF(VLOOKUP($F91,Declarations!$B$6:$F$185,5,FALSE)="","NOT DECLARED",VLOOKUP($F91,Declarations!$B$6:$F$185,5,FALSE)))</f>
        <v>Basingstoke &amp; Mid Hants AC</v>
      </c>
      <c r="E91" s="112" t="str">
        <f>IF(ISNA(VLOOKUP($F91,Declarations!$B$6:$D$185,3,FALSE)),"",IF(VLOOKUP($F91,Declarations!$B$6:$D$185,3,FALSE)="","NOT DECLARED",VLOOKUP($F91,Declarations!$B$6:$D$185,3,FALSE)&amp;LEFT(VLOOKUP($F91,Declarations!$B$6:$E$185,4,FALSE))))</f>
        <v>U12B</v>
      </c>
      <c r="F91" s="58">
        <v>113</v>
      </c>
      <c r="G91" s="121">
        <v>3.93</v>
      </c>
      <c r="H91" s="121"/>
      <c r="I91" s="114" t="str">
        <f>IF(ISNA(VLOOKUP(F91,Declarations!B$6:C$185,2,FALSE)),"",IF(VLOOKUP(F91,Declarations!B$6:C$185,2,FALSE)="","NOT DECLARED",VLOOKUP(F91,Declarations!B$6:C$185,2,FALSE)))</f>
        <v>ROME ALEXANDER SOLOMAN</v>
      </c>
      <c r="J91" s="112">
        <f>IF(LOWER(LEFT(G91,1))="n",1,VLOOKUP(G91,ScoringTable!D$2:I$95,6))</f>
        <v>67</v>
      </c>
      <c r="K91" s="112" t="str">
        <f>IF(OR(E91="",G91=""),"",IF(RIGHT(E91,1)="G",_xlfn.XLOOKUP(G91,Data!$D$14:$L$14,Data!$D$9:$L$9,"",-1,1),_xlfn.XLOOKUP(G91,Data!$D$7:$L$7,Data!$D$2:$L$2,"",-1,1)))</f>
        <v>PB8</v>
      </c>
      <c r="L91" s="160" t="str" cm="1">
        <f t="array" ref="L91">IFERROR(_xlfn.IFNA(
                      _xlfn.IFS(
                      G91="", "",
                      AND(E91="U12B",G91&gt;=Data!$M$7), "U12 Boys record",
                      AND(E91="U12G",G91&gt;=Data!$M$14), "U12 Girls record"
                       ),""), "")</f>
        <v/>
      </c>
      <c r="M91" s="18" cm="1">
        <f t="array" ref="M91">_xlfn.IFS($G91="",0, AND(NOT(ISNUMBER($G91)),LOWER(LEFT($G91,1))&lt;&gt;"n"),"Not a valid distance",OR(LOWER(LEFT($G91,1))="n",$G91&lt;ScoringTable!$O$161),1,RIGHT($E91,1)="B",_xlfn.XLOOKUP($G91,ScoringTable!$O$2:$O$161,ScoringTable!$L$2:$L$161,,-1),TRUE,_xlfn.XLOOKUP($G91,ScoringTable!$U$2:$U$161,ScoringTable!$R$2:$R$161,,-1))</f>
        <v>96</v>
      </c>
    </row>
    <row r="92" spans="1:13" s="7" customFormat="1" ht="16.05" customHeight="1">
      <c r="A92" s="113" t="s">
        <v>99</v>
      </c>
      <c r="B92" s="114" t="str">
        <f>IF(ISNA(VLOOKUP($F92,Declarations!B$6:C$185,2,FALSE)),"",IF(VLOOKUP($F92,Declarations!B$6:C$185,2,FALSE)="","NOT DECLARED",IF(ISNA(_xlfn.TEXTBEFORE(VLOOKUP($F92,Declarations!B$6:C$185,2,FALSE)," ")),VLOOKUP($F92,Declarations!B$6:C$185,2,FALSE),_xlfn.TEXTBEFORE(VLOOKUP($F92,Declarations!B$6:C$185,2,FALSE)," "))))</f>
        <v>ISAAC</v>
      </c>
      <c r="C92" s="114" t="str">
        <f>IF(ISNA(VLOOKUP($F92,Declarations!B$6:C$185,2,FALSE)),"",IF(VLOOKUP($F92,Declarations!B$6:C$185,2,FALSE)="","NOT DECLARED",IF(ISNA(_xlfn.TEXTAFTER(VLOOKUP($F92,Declarations!B$6:C$185,2,FALSE)," ")),VLOOKUP($F92,Declarations!B$6:C$185,2,FALSE),_xlfn.TEXTAFTER(VLOOKUP($F92,Declarations!B$6:C$185,2,FALSE)," "))))</f>
        <v>STEWART</v>
      </c>
      <c r="D92" s="114" t="str">
        <f>IF(ISNA(VLOOKUP($F92,Declarations!$B$6:$F$185,5,FALSE)),"",IF(VLOOKUP($F92,Declarations!$B$6:$F$185,5,FALSE)="","NOT DECLARED",VLOOKUP($F92,Declarations!$B$6:$F$185,5,FALSE)))</f>
        <v>Basingstoke &amp; Mid Hants AC</v>
      </c>
      <c r="E92" s="112" t="str">
        <f>IF(ISNA(VLOOKUP($F92,Declarations!$B$6:$D$185,3,FALSE)),"",IF(VLOOKUP($F92,Declarations!$B$6:$D$185,3,FALSE)="","NOT DECLARED",VLOOKUP($F92,Declarations!$B$6:$D$185,3,FALSE)&amp;LEFT(VLOOKUP($F92,Declarations!$B$6:$E$185,4,FALSE))))</f>
        <v>U12B</v>
      </c>
      <c r="F92" s="58">
        <v>114</v>
      </c>
      <c r="G92" s="121">
        <v>3.56</v>
      </c>
      <c r="H92" s="121"/>
      <c r="I92" s="114" t="str">
        <f>IF(ISNA(VLOOKUP(F92,Declarations!B$6:C$185,2,FALSE)),"",IF(VLOOKUP(F92,Declarations!B$6:C$185,2,FALSE)="","NOT DECLARED",VLOOKUP(F92,Declarations!B$6:C$185,2,FALSE)))</f>
        <v>ISAAC STEWART</v>
      </c>
      <c r="J92" s="112">
        <f>IF(LOWER(LEFT(G92,1))="n",1,VLOOKUP(G92,ScoringTable!D$2:I$95,6))</f>
        <v>55</v>
      </c>
      <c r="K92" s="112" t="str">
        <f>IF(OR(E92="",G92=""),"",IF(RIGHT(E92,1)="G",_xlfn.XLOOKUP(G92,Data!$D$14:$L$14,Data!$D$9:$L$9,"",-1,1),_xlfn.XLOOKUP(G92,Data!$D$7:$L$7,Data!$D$2:$L$2,"",-1,1)))</f>
        <v>PB7</v>
      </c>
      <c r="L92" s="160" t="str" cm="1">
        <f t="array" ref="L92">IFERROR(_xlfn.IFNA(
                      _xlfn.IFS(
                      G92="", "",
                      AND(E92="U12B",G92&gt;=Data!$M$7), "U12 Boys record",
                      AND(E92="U12G",G92&gt;=Data!$M$14), "U12 Girls record"
                       ),""), "")</f>
        <v/>
      </c>
      <c r="M92" s="18" cm="1">
        <f t="array" ref="M92">_xlfn.IFS($G92="",0, AND(NOT(ISNUMBER($G92)),LOWER(LEFT($G92,1))&lt;&gt;"n"),"Not a valid distance",OR(LOWER(LEFT($G92,1))="n",$G92&lt;ScoringTable!$O$161),1,RIGHT($E92,1)="B",_xlfn.XLOOKUP($G92,ScoringTable!$O$2:$O$161,ScoringTable!$L$2:$L$161,,-1),TRUE,_xlfn.XLOOKUP($G92,ScoringTable!$U$2:$U$161,ScoringTable!$R$2:$R$161,,-1))</f>
        <v>82</v>
      </c>
    </row>
    <row r="93" spans="1:13" s="7" customFormat="1" ht="16.05" customHeight="1">
      <c r="A93" s="113" t="s">
        <v>99</v>
      </c>
      <c r="B93" s="114" t="str">
        <f>IF(ISNA(VLOOKUP($F93,Declarations!B$6:C$185,2,FALSE)),"",IF(VLOOKUP($F93,Declarations!B$6:C$185,2,FALSE)="","NOT DECLARED",IF(ISNA(_xlfn.TEXTBEFORE(VLOOKUP($F93,Declarations!B$6:C$185,2,FALSE)," ")),VLOOKUP($F93,Declarations!B$6:C$185,2,FALSE),_xlfn.TEXTBEFORE(VLOOKUP($F93,Declarations!B$6:C$185,2,FALSE)," "))))</f>
        <v>ELLIOTT</v>
      </c>
      <c r="C93" s="114" t="str">
        <f>IF(ISNA(VLOOKUP($F93,Declarations!B$6:C$185,2,FALSE)),"",IF(VLOOKUP($F93,Declarations!B$6:C$185,2,FALSE)="","NOT DECLARED",IF(ISNA(_xlfn.TEXTAFTER(VLOOKUP($F93,Declarations!B$6:C$185,2,FALSE)," ")),VLOOKUP($F93,Declarations!B$6:C$185,2,FALSE),_xlfn.TEXTAFTER(VLOOKUP($F93,Declarations!B$6:C$185,2,FALSE)," "))))</f>
        <v>LEAVEY</v>
      </c>
      <c r="D93" s="114" t="str">
        <f>IF(ISNA(VLOOKUP($F93,Declarations!$B$6:$F$185,5,FALSE)),"",IF(VLOOKUP($F93,Declarations!$B$6:$F$185,5,FALSE)="","NOT DECLARED",VLOOKUP($F93,Declarations!$B$6:$F$185,5,FALSE)))</f>
        <v>Basingstoke &amp; Mid Hants AC</v>
      </c>
      <c r="E93" s="112" t="str">
        <f>IF(ISNA(VLOOKUP($F93,Declarations!$B$6:$D$185,3,FALSE)),"",IF(VLOOKUP($F93,Declarations!$B$6:$D$185,3,FALSE)="","NOT DECLARED",VLOOKUP($F93,Declarations!$B$6:$D$185,3,FALSE)&amp;LEFT(VLOOKUP($F93,Declarations!$B$6:$E$185,4,FALSE))))</f>
        <v>U12B</v>
      </c>
      <c r="F93" s="58">
        <v>115</v>
      </c>
      <c r="G93" s="121">
        <v>2.36</v>
      </c>
      <c r="H93" s="121"/>
      <c r="I93" s="114" t="str">
        <f>IF(ISNA(VLOOKUP(F93,Declarations!B$6:C$185,2,FALSE)),"",IF(VLOOKUP(F93,Declarations!B$6:C$185,2,FALSE)="","NOT DECLARED",VLOOKUP(F93,Declarations!B$6:C$185,2,FALSE)))</f>
        <v>ELLIOTT LEAVEY</v>
      </c>
      <c r="J93" s="112">
        <f>IF(LOWER(LEFT(G93,1))="n",1,VLOOKUP(G93,ScoringTable!D$2:I$95,6))</f>
        <v>15</v>
      </c>
      <c r="K93" s="112" t="str">
        <f>IF(OR(E93="",G93=""),"",IF(RIGHT(E93,1)="G",_xlfn.XLOOKUP(G93,Data!$D$14:$L$14,Data!$D$9:$L$9,"",-1,1),_xlfn.XLOOKUP(G93,Data!$D$7:$L$7,Data!$D$2:$L$2,"",-1,1)))</f>
        <v>PB2</v>
      </c>
      <c r="L93" s="160" t="str" cm="1">
        <f t="array" ref="L93">IFERROR(_xlfn.IFNA(
                      _xlfn.IFS(
                      G93="", "",
                      AND(E93="U12B",G93&gt;=Data!$M$7), "U12 Boys record",
                      AND(E93="U12G",G93&gt;=Data!$M$14), "U12 Girls record"
                       ),""), "")</f>
        <v/>
      </c>
      <c r="M93" s="18" cm="1">
        <f t="array" ref="M93">_xlfn.IFS($G93="",0, AND(NOT(ISNUMBER($G93)),LOWER(LEFT($G93,1))&lt;&gt;"n"),"Not a valid distance",OR(LOWER(LEFT($G93,1))="n",$G93&lt;ScoringTable!$O$161),1,RIGHT($E93,1)="B",_xlfn.XLOOKUP($G93,ScoringTable!$O$2:$O$161,ScoringTable!$L$2:$L$161,,-1),TRUE,_xlfn.XLOOKUP($G93,ScoringTable!$U$2:$U$161,ScoringTable!$R$2:$R$161,,-1))</f>
        <v>33</v>
      </c>
    </row>
    <row r="94" spans="1:13" s="7" customFormat="1" ht="16.05" customHeight="1">
      <c r="A94" s="113" t="s">
        <v>99</v>
      </c>
      <c r="B94" s="114" t="str">
        <f>IF(ISNA(VLOOKUP($F94,Declarations!B$6:C$185,2,FALSE)),"",IF(VLOOKUP($F94,Declarations!B$6:C$185,2,FALSE)="","NOT DECLARED",IF(ISNA(_xlfn.TEXTBEFORE(VLOOKUP($F94,Declarations!B$6:C$185,2,FALSE)," ")),VLOOKUP($F94,Declarations!B$6:C$185,2,FALSE),_xlfn.TEXTBEFORE(VLOOKUP($F94,Declarations!B$6:C$185,2,FALSE)," "))))</f>
        <v>MYLES</v>
      </c>
      <c r="C94" s="114" t="str">
        <f>IF(ISNA(VLOOKUP($F94,Declarations!B$6:C$185,2,FALSE)),"",IF(VLOOKUP($F94,Declarations!B$6:C$185,2,FALSE)="","NOT DECLARED",IF(ISNA(_xlfn.TEXTAFTER(VLOOKUP($F94,Declarations!B$6:C$185,2,FALSE)," ")),VLOOKUP($F94,Declarations!B$6:C$185,2,FALSE),_xlfn.TEXTAFTER(VLOOKUP($F94,Declarations!B$6:C$185,2,FALSE)," "))))</f>
        <v>GODDARD</v>
      </c>
      <c r="D94" s="114" t="str">
        <f>IF(ISNA(VLOOKUP($F94,Declarations!$B$6:$F$185,5,FALSE)),"",IF(VLOOKUP($F94,Declarations!$B$6:$F$185,5,FALSE)="","NOT DECLARED",VLOOKUP($F94,Declarations!$B$6:$F$185,5,FALSE)))</f>
        <v>Basingstoke &amp; Mid Hants AC</v>
      </c>
      <c r="E94" s="112" t="str">
        <f>IF(ISNA(VLOOKUP($F94,Declarations!$B$6:$D$185,3,FALSE)),"",IF(VLOOKUP($F94,Declarations!$B$6:$D$185,3,FALSE)="","NOT DECLARED",VLOOKUP($F94,Declarations!$B$6:$D$185,3,FALSE)&amp;LEFT(VLOOKUP($F94,Declarations!$B$6:$E$185,4,FALSE))))</f>
        <v>U12B</v>
      </c>
      <c r="F94" s="58">
        <v>116</v>
      </c>
      <c r="G94" s="121">
        <v>2.78</v>
      </c>
      <c r="H94" s="121"/>
      <c r="I94" s="114" t="str">
        <f>IF(ISNA(VLOOKUP(F94,Declarations!B$6:C$185,2,FALSE)),"",IF(VLOOKUP(F94,Declarations!B$6:C$185,2,FALSE)="","NOT DECLARED",VLOOKUP(F94,Declarations!B$6:C$185,2,FALSE)))</f>
        <v>MYLES GODDARD</v>
      </c>
      <c r="J94" s="112">
        <f>IF(LOWER(LEFT(G94,1))="n",1,VLOOKUP(G94,ScoringTable!D$2:I$95,6))</f>
        <v>29</v>
      </c>
      <c r="K94" s="112" t="str">
        <f>IF(OR(E94="",G94=""),"",IF(RIGHT(E94,1)="G",_xlfn.XLOOKUP(G94,Data!$D$14:$L$14,Data!$D$9:$L$9,"",-1,1),_xlfn.XLOOKUP(G94,Data!$D$7:$L$7,Data!$D$2:$L$2,"",-1,1)))</f>
        <v>PB4</v>
      </c>
      <c r="L94" s="160" t="str" cm="1">
        <f t="array" ref="L94">IFERROR(_xlfn.IFNA(
                      _xlfn.IFS(
                      G94="", "",
                      AND(E94="U12B",G94&gt;=Data!$M$7), "U12 Boys record",
                      AND(E94="U12G",G94&gt;=Data!$M$14), "U12 Girls record"
                       ),""), "")</f>
        <v/>
      </c>
      <c r="M94" s="18" cm="1">
        <f t="array" ref="M94">_xlfn.IFS($G94="",0, AND(NOT(ISNUMBER($G94)),LOWER(LEFT($G94,1))&lt;&gt;"n"),"Not a valid distance",OR(LOWER(LEFT($G94,1))="n",$G94&lt;ScoringTable!$O$161),1,RIGHT($E94,1)="B",_xlfn.XLOOKUP($G94,ScoringTable!$O$2:$O$161,ScoringTable!$L$2:$L$161,,-1),TRUE,_xlfn.XLOOKUP($G94,ScoringTable!$U$2:$U$161,ScoringTable!$R$2:$R$161,,-1))</f>
        <v>51</v>
      </c>
    </row>
    <row r="95" spans="1:13" s="7" customFormat="1" ht="16.05" customHeight="1">
      <c r="A95" s="113" t="s">
        <v>99</v>
      </c>
      <c r="B95" s="114" t="str">
        <f>IF(ISNA(VLOOKUP($F95,Declarations!B$6:C$185,2,FALSE)),"",IF(VLOOKUP($F95,Declarations!B$6:C$185,2,FALSE)="","NOT DECLARED",IF(ISNA(_xlfn.TEXTBEFORE(VLOOKUP($F95,Declarations!B$6:C$185,2,FALSE)," ")),VLOOKUP($F95,Declarations!B$6:C$185,2,FALSE),_xlfn.TEXTBEFORE(VLOOKUP($F95,Declarations!B$6:C$185,2,FALSE)," "))))</f>
        <v>JAY</v>
      </c>
      <c r="C95" s="114" t="str">
        <f>IF(ISNA(VLOOKUP($F95,Declarations!B$6:C$185,2,FALSE)),"",IF(VLOOKUP($F95,Declarations!B$6:C$185,2,FALSE)="","NOT DECLARED",IF(ISNA(_xlfn.TEXTAFTER(VLOOKUP($F95,Declarations!B$6:C$185,2,FALSE)," ")),VLOOKUP($F95,Declarations!B$6:C$185,2,FALSE),_xlfn.TEXTAFTER(VLOOKUP($F95,Declarations!B$6:C$185,2,FALSE)," "))))</f>
        <v>GOVIND</v>
      </c>
      <c r="D95" s="114" t="str">
        <f>IF(ISNA(VLOOKUP($F95,Declarations!$B$6:$F$185,5,FALSE)),"",IF(VLOOKUP($F95,Declarations!$B$6:$F$185,5,FALSE)="","NOT DECLARED",VLOOKUP($F95,Declarations!$B$6:$F$185,5,FALSE)))</f>
        <v>Basingstoke &amp; Mid Hants AC</v>
      </c>
      <c r="E95" s="112" t="str">
        <f>IF(ISNA(VLOOKUP($F95,Declarations!$B$6:$D$185,3,FALSE)),"",IF(VLOOKUP($F95,Declarations!$B$6:$D$185,3,FALSE)="","NOT DECLARED",VLOOKUP($F95,Declarations!$B$6:$D$185,3,FALSE)&amp;LEFT(VLOOKUP($F95,Declarations!$B$6:$E$185,4,FALSE))))</f>
        <v>U12B</v>
      </c>
      <c r="F95" s="58">
        <v>117</v>
      </c>
      <c r="G95" s="121">
        <v>2.87</v>
      </c>
      <c r="H95" s="121"/>
      <c r="I95" s="114" t="str">
        <f>IF(ISNA(VLOOKUP(F95,Declarations!B$6:C$185,2,FALSE)),"",IF(VLOOKUP(F95,Declarations!B$6:C$185,2,FALSE)="","NOT DECLARED",VLOOKUP(F95,Declarations!B$6:C$185,2,FALSE)))</f>
        <v>JAY GOVIND</v>
      </c>
      <c r="J95" s="112">
        <f>IF(LOWER(LEFT(G95,1))="n",1,VLOOKUP(G95,ScoringTable!D$2:I$95,6))</f>
        <v>32</v>
      </c>
      <c r="K95" s="112" t="str">
        <f>IF(OR(E95="",G95=""),"",IF(RIGHT(E95,1)="G",_xlfn.XLOOKUP(G95,Data!$D$14:$L$14,Data!$D$9:$L$9,"",-1,1),_xlfn.XLOOKUP(G95,Data!$D$7:$L$7,Data!$D$2:$L$2,"",-1,1)))</f>
        <v>PB4</v>
      </c>
      <c r="L95" s="160" t="str" cm="1">
        <f t="array" ref="L95">IFERROR(_xlfn.IFNA(
                      _xlfn.IFS(
                      G95="", "",
                      AND(E95="U12B",G95&gt;=Data!$M$7), "U12 Boys record",
                      AND(E95="U12G",G95&gt;=Data!$M$14), "U12 Girls record"
                       ),""), "")</f>
        <v/>
      </c>
      <c r="M95" s="18" cm="1">
        <f t="array" ref="M95">_xlfn.IFS($G95="",0, AND(NOT(ISNUMBER($G95)),LOWER(LEFT($G95,1))&lt;&gt;"n"),"Not a valid distance",OR(LOWER(LEFT($G95,1))="n",$G95&lt;ScoringTable!$O$161),1,RIGHT($E95,1)="B",_xlfn.XLOOKUP($G95,ScoringTable!$O$2:$O$161,ScoringTable!$L$2:$L$161,,-1),TRUE,_xlfn.XLOOKUP($G95,ScoringTable!$U$2:$U$161,ScoringTable!$R$2:$R$161,,-1))</f>
        <v>54</v>
      </c>
    </row>
    <row r="96" spans="1:13" s="7" customFormat="1" ht="16.05" customHeight="1">
      <c r="A96" s="113" t="s">
        <v>99</v>
      </c>
      <c r="B96" s="114" t="str">
        <f>IF(ISNA(VLOOKUP($F96,Declarations!B$6:C$185,2,FALSE)),"",IF(VLOOKUP($F96,Declarations!B$6:C$185,2,FALSE)="","NOT DECLARED",IF(ISNA(_xlfn.TEXTBEFORE(VLOOKUP($F96,Declarations!B$6:C$185,2,FALSE)," ")),VLOOKUP($F96,Declarations!B$6:C$185,2,FALSE),_xlfn.TEXTBEFORE(VLOOKUP($F96,Declarations!B$6:C$185,2,FALSE)," "))))</f>
        <v>TOBY</v>
      </c>
      <c r="C96" s="114" t="str">
        <f>IF(ISNA(VLOOKUP($F96,Declarations!B$6:C$185,2,FALSE)),"",IF(VLOOKUP($F96,Declarations!B$6:C$185,2,FALSE)="","NOT DECLARED",IF(ISNA(_xlfn.TEXTAFTER(VLOOKUP($F96,Declarations!B$6:C$185,2,FALSE)," ")),VLOOKUP($F96,Declarations!B$6:C$185,2,FALSE),_xlfn.TEXTAFTER(VLOOKUP($F96,Declarations!B$6:C$185,2,FALSE)," "))))</f>
        <v>POWELL</v>
      </c>
      <c r="D96" s="114" t="str">
        <f>IF(ISNA(VLOOKUP($F96,Declarations!$B$6:$F$185,5,FALSE)),"",IF(VLOOKUP($F96,Declarations!$B$6:$F$185,5,FALSE)="","NOT DECLARED",VLOOKUP($F96,Declarations!$B$6:$F$185,5,FALSE)))</f>
        <v>Basingstoke &amp; Mid Hants AC</v>
      </c>
      <c r="E96" s="112" t="str">
        <f>IF(ISNA(VLOOKUP($F96,Declarations!$B$6:$D$185,3,FALSE)),"",IF(VLOOKUP($F96,Declarations!$B$6:$D$185,3,FALSE)="","NOT DECLARED",VLOOKUP($F96,Declarations!$B$6:$D$185,3,FALSE)&amp;LEFT(VLOOKUP($F96,Declarations!$B$6:$E$185,4,FALSE))))</f>
        <v>U12B</v>
      </c>
      <c r="F96" s="58">
        <v>118</v>
      </c>
      <c r="G96" s="121">
        <v>2.98</v>
      </c>
      <c r="H96" s="121"/>
      <c r="I96" s="114" t="str">
        <f>IF(ISNA(VLOOKUP(F96,Declarations!B$6:C$185,2,FALSE)),"",IF(VLOOKUP(F96,Declarations!B$6:C$185,2,FALSE)="","NOT DECLARED",VLOOKUP(F96,Declarations!B$6:C$185,2,FALSE)))</f>
        <v>TOBY POWELL</v>
      </c>
      <c r="J96" s="112">
        <f>IF(LOWER(LEFT(G96,1))="n",1,VLOOKUP(G96,ScoringTable!D$2:I$95,6))</f>
        <v>36</v>
      </c>
      <c r="K96" s="112" t="str">
        <f>IF(OR(E96="",G96=""),"",IF(RIGHT(E96,1)="G",_xlfn.XLOOKUP(G96,Data!$D$14:$L$14,Data!$D$9:$L$9,"",-1,1),_xlfn.XLOOKUP(G96,Data!$D$7:$L$7,Data!$D$2:$L$2,"",-1,1)))</f>
        <v>PB4</v>
      </c>
      <c r="L96" s="160" t="str" cm="1">
        <f t="array" ref="L96">IFERROR(_xlfn.IFNA(
                      _xlfn.IFS(
                      G96="", "",
                      AND(E96="U12B",G96&gt;=Data!$M$7), "U12 Boys record",
                      AND(E96="U12G",G96&gt;=Data!$M$14), "U12 Girls record"
                       ),""), "")</f>
        <v/>
      </c>
      <c r="M96" s="18" cm="1">
        <f t="array" ref="M96">_xlfn.IFS($G96="",0, AND(NOT(ISNUMBER($G96)),LOWER(LEFT($G96,1))&lt;&gt;"n"),"Not a valid distance",OR(LOWER(LEFT($G96,1))="n",$G96&lt;ScoringTable!$O$161),1,RIGHT($E96,1)="B",_xlfn.XLOOKUP($G96,ScoringTable!$O$2:$O$161,ScoringTable!$L$2:$L$161,,-1),TRUE,_xlfn.XLOOKUP($G96,ScoringTable!$U$2:$U$161,ScoringTable!$R$2:$R$161,,-1))</f>
        <v>59</v>
      </c>
    </row>
    <row r="97" spans="1:13" s="7" customFormat="1" ht="16.05" customHeight="1">
      <c r="A97" s="113" t="s">
        <v>99</v>
      </c>
      <c r="B97" s="114" t="str">
        <f>IF(ISNA(VLOOKUP($F97,Declarations!B$6:C$185,2,FALSE)),"",IF(VLOOKUP($F97,Declarations!B$6:C$185,2,FALSE)="","NOT DECLARED",IF(ISNA(_xlfn.TEXTBEFORE(VLOOKUP($F97,Declarations!B$6:C$185,2,FALSE)," ")),VLOOKUP($F97,Declarations!B$6:C$185,2,FALSE),_xlfn.TEXTBEFORE(VLOOKUP($F97,Declarations!B$6:C$185,2,FALSE)," "))))</f>
        <v>ALEX</v>
      </c>
      <c r="C97" s="114" t="str">
        <f>IF(ISNA(VLOOKUP($F97,Declarations!B$6:C$185,2,FALSE)),"",IF(VLOOKUP($F97,Declarations!B$6:C$185,2,FALSE)="","NOT DECLARED",IF(ISNA(_xlfn.TEXTAFTER(VLOOKUP($F97,Declarations!B$6:C$185,2,FALSE)," ")),VLOOKUP($F97,Declarations!B$6:C$185,2,FALSE),_xlfn.TEXTAFTER(VLOOKUP($F97,Declarations!B$6:C$185,2,FALSE)," "))))</f>
        <v>WILKINSON</v>
      </c>
      <c r="D97" s="114" t="str">
        <f>IF(ISNA(VLOOKUP($F97,Declarations!$B$6:$F$185,5,FALSE)),"",IF(VLOOKUP($F97,Declarations!$B$6:$F$185,5,FALSE)="","NOT DECLARED",VLOOKUP($F97,Declarations!$B$6:$F$185,5,FALSE)))</f>
        <v>Basingstoke &amp; Mid Hants AC</v>
      </c>
      <c r="E97" s="112" t="str">
        <f>IF(ISNA(VLOOKUP($F97,Declarations!$B$6:$D$185,3,FALSE)),"",IF(VLOOKUP($F97,Declarations!$B$6:$D$185,3,FALSE)="","NOT DECLARED",VLOOKUP($F97,Declarations!$B$6:$D$185,3,FALSE)&amp;LEFT(VLOOKUP($F97,Declarations!$B$6:$E$185,4,FALSE))))</f>
        <v>U12B</v>
      </c>
      <c r="F97" s="58">
        <v>119</v>
      </c>
      <c r="G97" s="121">
        <v>2.92</v>
      </c>
      <c r="H97" s="121"/>
      <c r="I97" s="114" t="str">
        <f>IF(ISNA(VLOOKUP(F97,Declarations!B$6:C$185,2,FALSE)),"",IF(VLOOKUP(F97,Declarations!B$6:C$185,2,FALSE)="","NOT DECLARED",VLOOKUP(F97,Declarations!B$6:C$185,2,FALSE)))</f>
        <v>ALEX WILKINSON</v>
      </c>
      <c r="J97" s="112">
        <f>IF(LOWER(LEFT(G97,1))="n",1,VLOOKUP(G97,ScoringTable!D$2:I$95,6))</f>
        <v>34</v>
      </c>
      <c r="K97" s="112" t="str">
        <f>IF(OR(E97="",G97=""),"",IF(RIGHT(E97,1)="G",_xlfn.XLOOKUP(G97,Data!$D$14:$L$14,Data!$D$9:$L$9,"",-1,1),_xlfn.XLOOKUP(G97,Data!$D$7:$L$7,Data!$D$2:$L$2,"",-1,1)))</f>
        <v>PB4</v>
      </c>
      <c r="L97" s="160" t="str" cm="1">
        <f t="array" ref="L97">IFERROR(_xlfn.IFNA(
                      _xlfn.IFS(
                      G97="", "",
                      AND(E97="U12B",G97&gt;=Data!$M$7), "U12 Boys record",
                      AND(E97="U12G",G97&gt;=Data!$M$14), "U12 Girls record"
                       ),""), "")</f>
        <v/>
      </c>
      <c r="M97" s="18" cm="1">
        <f t="array" ref="M97">_xlfn.IFS($G97="",0, AND(NOT(ISNUMBER($G97)),LOWER(LEFT($G97,1))&lt;&gt;"n"),"Not a valid distance",OR(LOWER(LEFT($G97,1))="n",$G97&lt;ScoringTable!$O$161),1,RIGHT($E97,1)="B",_xlfn.XLOOKUP($G97,ScoringTable!$O$2:$O$161,ScoringTable!$L$2:$L$161,,-1),TRUE,_xlfn.XLOOKUP($G97,ScoringTable!$U$2:$U$161,ScoringTable!$R$2:$R$161,,-1))</f>
        <v>56</v>
      </c>
    </row>
    <row r="98" spans="1:13" s="7" customFormat="1" ht="16.05" customHeight="1">
      <c r="A98" s="113" t="s">
        <v>99</v>
      </c>
      <c r="B98" s="114" t="str">
        <f>IF(ISNA(VLOOKUP($F98,Declarations!B$6:C$185,2,FALSE)),"",IF(VLOOKUP($F98,Declarations!B$6:C$185,2,FALSE)="","NOT DECLARED",IF(ISNA(_xlfn.TEXTBEFORE(VLOOKUP($F98,Declarations!B$6:C$185,2,FALSE)," ")),VLOOKUP($F98,Declarations!B$6:C$185,2,FALSE),_xlfn.TEXTBEFORE(VLOOKUP($F98,Declarations!B$6:C$185,2,FALSE)," "))))</f>
        <v>ETHAN</v>
      </c>
      <c r="C98" s="114" t="str">
        <f>IF(ISNA(VLOOKUP($F98,Declarations!B$6:C$185,2,FALSE)),"",IF(VLOOKUP($F98,Declarations!B$6:C$185,2,FALSE)="","NOT DECLARED",IF(ISNA(_xlfn.TEXTAFTER(VLOOKUP($F98,Declarations!B$6:C$185,2,FALSE)," ")),VLOOKUP($F98,Declarations!B$6:C$185,2,FALSE),_xlfn.TEXTAFTER(VLOOKUP($F98,Declarations!B$6:C$185,2,FALSE)," "))))</f>
        <v>WEIGHT</v>
      </c>
      <c r="D98" s="114" t="str">
        <f>IF(ISNA(VLOOKUP($F98,Declarations!$B$6:$F$185,5,FALSE)),"",IF(VLOOKUP($F98,Declarations!$B$6:$F$185,5,FALSE)="","NOT DECLARED",VLOOKUP($F98,Declarations!$B$6:$F$185,5,FALSE)))</f>
        <v>Basingstoke &amp; Mid Hants AC</v>
      </c>
      <c r="E98" s="112" t="str">
        <f>IF(ISNA(VLOOKUP($F98,Declarations!$B$6:$D$185,3,FALSE)),"",IF(VLOOKUP($F98,Declarations!$B$6:$D$185,3,FALSE)="","NOT DECLARED",VLOOKUP($F98,Declarations!$B$6:$D$185,3,FALSE)&amp;LEFT(VLOOKUP($F98,Declarations!$B$6:$E$185,4,FALSE))))</f>
        <v>U12B</v>
      </c>
      <c r="F98" s="58">
        <v>120</v>
      </c>
      <c r="G98" s="121">
        <v>2.56</v>
      </c>
      <c r="H98" s="121"/>
      <c r="I98" s="114" t="str">
        <f>IF(ISNA(VLOOKUP(F98,Declarations!B$6:C$185,2,FALSE)),"",IF(VLOOKUP(F98,Declarations!B$6:C$185,2,FALSE)="","NOT DECLARED",VLOOKUP(F98,Declarations!B$6:C$185,2,FALSE)))</f>
        <v>ETHAN WEIGHT</v>
      </c>
      <c r="J98" s="112">
        <f>IF(LOWER(LEFT(G98,1))="n",1,VLOOKUP(G98,ScoringTable!D$2:I$95,6))</f>
        <v>22</v>
      </c>
      <c r="K98" s="112" t="str">
        <f>IF(OR(E98="",G98=""),"",IF(RIGHT(E98,1)="G",_xlfn.XLOOKUP(G98,Data!$D$14:$L$14,Data!$D$9:$L$9,"",-1,1),_xlfn.XLOOKUP(G98,Data!$D$7:$L$7,Data!$D$2:$L$2,"",-1,1)))</f>
        <v>PB3</v>
      </c>
      <c r="L98" s="160" t="str" cm="1">
        <f t="array" ref="L98">IFERROR(_xlfn.IFNA(
                      _xlfn.IFS(
                      G98="", "",
                      AND(E98="U12B",G98&gt;=Data!$M$7), "U12 Boys record",
                      AND(E98="U12G",G98&gt;=Data!$M$14), "U12 Girls record"
                       ),""), "")</f>
        <v/>
      </c>
      <c r="M98" s="18" cm="1">
        <f t="array" ref="M98">_xlfn.IFS($G98="",0, AND(NOT(ISNUMBER($G98)),LOWER(LEFT($G98,1))&lt;&gt;"n"),"Not a valid distance",OR(LOWER(LEFT($G98,1))="n",$G98&lt;ScoringTable!$O$161),1,RIGHT($E98,1)="B",_xlfn.XLOOKUP($G98,ScoringTable!$O$2:$O$161,ScoringTable!$L$2:$L$161,,-1),TRUE,_xlfn.XLOOKUP($G98,ScoringTable!$U$2:$U$161,ScoringTable!$R$2:$R$161,,-1))</f>
        <v>42</v>
      </c>
    </row>
    <row r="99" spans="1:13" s="7" customFormat="1" ht="16.05" customHeight="1">
      <c r="A99" s="113" t="s">
        <v>99</v>
      </c>
      <c r="B99" s="114" t="str">
        <f>IF(ISNA(VLOOKUP($F99,Declarations!B$6:C$185,2,FALSE)),"",IF(VLOOKUP($F99,Declarations!B$6:C$185,2,FALSE)="","NOT DECLARED",IF(ISNA(_xlfn.TEXTBEFORE(VLOOKUP($F99,Declarations!B$6:C$185,2,FALSE)," ")),VLOOKUP($F99,Declarations!B$6:C$185,2,FALSE),_xlfn.TEXTBEFORE(VLOOKUP($F99,Declarations!B$6:C$185,2,FALSE)," "))))</f>
        <v/>
      </c>
      <c r="C99" s="114" t="str">
        <f>IF(ISNA(VLOOKUP($F99,Declarations!B$6:C$185,2,FALSE)),"",IF(VLOOKUP($F99,Declarations!B$6:C$185,2,FALSE)="","NOT DECLARED",IF(ISNA(_xlfn.TEXTAFTER(VLOOKUP($F99,Declarations!B$6:C$185,2,FALSE)," ")),VLOOKUP($F99,Declarations!B$6:C$185,2,FALSE),_xlfn.TEXTAFTER(VLOOKUP($F99,Declarations!B$6:C$185,2,FALSE)," "))))</f>
        <v/>
      </c>
      <c r="D99" s="114" t="str">
        <f>IF(ISNA(VLOOKUP($F99,Declarations!$B$6:$F$185,5,FALSE)),"",IF(VLOOKUP($F99,Declarations!$B$6:$F$185,5,FALSE)="","NOT DECLARED",VLOOKUP($F99,Declarations!$B$6:$F$185,5,FALSE)))</f>
        <v/>
      </c>
      <c r="E99" s="112" t="str">
        <f>IF(ISNA(VLOOKUP($F99,Declarations!$B$6:$D$185,3,FALSE)),"",IF(VLOOKUP($F99,Declarations!$B$6:$D$185,3,FALSE)="","NOT DECLARED",VLOOKUP($F99,Declarations!$B$6:$D$185,3,FALSE)&amp;LEFT(VLOOKUP($F99,Declarations!$B$6:$E$185,4,FALSE))))</f>
        <v/>
      </c>
      <c r="F99" s="58"/>
      <c r="G99" s="121"/>
      <c r="H99" s="121"/>
      <c r="I99" s="114" t="str">
        <f>IF(ISNA(VLOOKUP(F99,Declarations!B$6:C$185,2,FALSE)),"",IF(VLOOKUP(F99,Declarations!B$6:C$185,2,FALSE)="","NOT DECLARED",VLOOKUP(F99,Declarations!B$6:C$185,2,FALSE)))</f>
        <v/>
      </c>
      <c r="J99" s="112">
        <f>IF(LOWER(LEFT(G99,1))="n",1,VLOOKUP(G99,ScoringTable!D$2:I$95,6))</f>
        <v>0</v>
      </c>
      <c r="K99" s="112" t="str">
        <f>IF(OR(E99="",G99=""),"",IF(RIGHT(E99,1)="G",_xlfn.XLOOKUP(G99,Data!$D$14:$L$14,Data!$D$9:$L$9,"",-1,1),_xlfn.XLOOKUP(G99,Data!$D$7:$L$7,Data!$D$2:$L$2,"",-1,1)))</f>
        <v/>
      </c>
      <c r="L99" s="160" t="str" cm="1">
        <f t="array" ref="L99">IFERROR(_xlfn.IFNA(
                      _xlfn.IFS(
                      G99="", "",
                      AND(E99="U12B",G99&gt;=Data!$M$7), "U12 Boys record",
                      AND(E99="U12G",G99&gt;=Data!$M$14), "U12 Girls record"
                       ),""), "")</f>
        <v/>
      </c>
      <c r="M99" s="18" cm="1">
        <f t="array" ref="M99">_xlfn.IFS($G99="",0, AND(NOT(ISNUMBER($G99)),LOWER(LEFT($G99,1))&lt;&gt;"n"),"Not a valid distance",OR(LOWER(LEFT($G99,1))="n",$G99&lt;ScoringTable!$O$161),1,RIGHT($E99,1)="B",_xlfn.XLOOKUP($G99,ScoringTable!$O$2:$O$161,ScoringTable!$L$2:$L$161,,-1),TRUE,_xlfn.XLOOKUP($G99,ScoringTable!$U$2:$U$161,ScoringTable!$R$2:$R$161,,-1))</f>
        <v>0</v>
      </c>
    </row>
    <row r="100" spans="1:13" s="7" customFormat="1" ht="16.05" customHeight="1">
      <c r="A100" s="113" t="s">
        <v>99</v>
      </c>
      <c r="B100" s="114" t="str">
        <f>IF(ISNA(VLOOKUP($F100,Declarations!B$6:C$185,2,FALSE)),"",IF(VLOOKUP($F100,Declarations!B$6:C$185,2,FALSE)="","NOT DECLARED",IF(ISNA(_xlfn.TEXTBEFORE(VLOOKUP($F100,Declarations!B$6:C$185,2,FALSE)," ")),VLOOKUP($F100,Declarations!B$6:C$185,2,FALSE),_xlfn.TEXTBEFORE(VLOOKUP($F100,Declarations!B$6:C$185,2,FALSE)," "))))</f>
        <v/>
      </c>
      <c r="C100" s="114" t="str">
        <f>IF(ISNA(VLOOKUP($F100,Declarations!B$6:C$185,2,FALSE)),"",IF(VLOOKUP($F100,Declarations!B$6:C$185,2,FALSE)="","NOT DECLARED",IF(ISNA(_xlfn.TEXTAFTER(VLOOKUP($F100,Declarations!B$6:C$185,2,FALSE)," ")),VLOOKUP($F100,Declarations!B$6:C$185,2,FALSE),_xlfn.TEXTAFTER(VLOOKUP($F100,Declarations!B$6:C$185,2,FALSE)," "))))</f>
        <v/>
      </c>
      <c r="D100" s="114" t="str">
        <f>IF(ISNA(VLOOKUP($F100,Declarations!$B$6:$F$185,5,FALSE)),"",IF(VLOOKUP($F100,Declarations!$B$6:$F$185,5,FALSE)="","NOT DECLARED",VLOOKUP($F100,Declarations!$B$6:$F$185,5,FALSE)))</f>
        <v/>
      </c>
      <c r="E100" s="112" t="str">
        <f>IF(ISNA(VLOOKUP($F100,Declarations!$B$6:$D$185,3,FALSE)),"",IF(VLOOKUP($F100,Declarations!$B$6:$D$185,3,FALSE)="","NOT DECLARED",VLOOKUP($F100,Declarations!$B$6:$D$185,3,FALSE)&amp;LEFT(VLOOKUP($F100,Declarations!$B$6:$E$185,4,FALSE))))</f>
        <v/>
      </c>
      <c r="F100" s="58"/>
      <c r="G100" s="121"/>
      <c r="H100" s="121"/>
      <c r="I100" s="114" t="str">
        <f>IF(ISNA(VLOOKUP(F100,Declarations!B$6:C$185,2,FALSE)),"",IF(VLOOKUP(F100,Declarations!B$6:C$185,2,FALSE)="","NOT DECLARED",VLOOKUP(F100,Declarations!B$6:C$185,2,FALSE)))</f>
        <v/>
      </c>
      <c r="J100" s="112">
        <f>IF(LOWER(LEFT(G100,1))="n",1,VLOOKUP(G100,ScoringTable!D$2:I$95,6))</f>
        <v>0</v>
      </c>
      <c r="K100" s="112" t="str">
        <f>IF(OR(E100="",G100=""),"",IF(RIGHT(E100,1)="G",_xlfn.XLOOKUP(G100,Data!$D$14:$L$14,Data!$D$9:$L$9,"",-1,1),_xlfn.XLOOKUP(G100,Data!$D$7:$L$7,Data!$D$2:$L$2,"",-1,1)))</f>
        <v/>
      </c>
      <c r="L100" s="160" t="str" cm="1">
        <f t="array" ref="L100">IFERROR(_xlfn.IFNA(
                      _xlfn.IFS(
                      G100="", "",
                      AND(E100="U12B",G100&gt;=Data!$M$7), "U12 Boys record",
                      AND(E100="U12G",G100&gt;=Data!$M$14), "U12 Girls record"
                       ),""), "")</f>
        <v/>
      </c>
      <c r="M100" s="18" cm="1">
        <f t="array" ref="M100">_xlfn.IFS($G100="",0, AND(NOT(ISNUMBER($G100)),LOWER(LEFT($G100,1))&lt;&gt;"n"),"Not a valid distance",OR(LOWER(LEFT($G100,1))="n",$G100&lt;ScoringTable!$O$161),1,RIGHT($E100,1)="B",_xlfn.XLOOKUP($G100,ScoringTable!$O$2:$O$161,ScoringTable!$L$2:$L$161,,-1),TRUE,_xlfn.XLOOKUP($G100,ScoringTable!$U$2:$U$161,ScoringTable!$R$2:$R$161,,-1))</f>
        <v>0</v>
      </c>
    </row>
    <row r="101" spans="1:13" s="7" customFormat="1" ht="16.05" customHeight="1">
      <c r="A101" s="113" t="s">
        <v>99</v>
      </c>
      <c r="B101" s="114" t="str">
        <f>IF(ISNA(VLOOKUP($F101,Declarations!B$6:C$185,2,FALSE)),"",IF(VLOOKUP($F101,Declarations!B$6:C$185,2,FALSE)="","NOT DECLARED",IF(ISNA(_xlfn.TEXTBEFORE(VLOOKUP($F101,Declarations!B$6:C$185,2,FALSE)," ")),VLOOKUP($F101,Declarations!B$6:C$185,2,FALSE),_xlfn.TEXTBEFORE(VLOOKUP($F101,Declarations!B$6:C$185,2,FALSE)," "))))</f>
        <v/>
      </c>
      <c r="C101" s="114" t="str">
        <f>IF(ISNA(VLOOKUP($F101,Declarations!B$6:C$185,2,FALSE)),"",IF(VLOOKUP($F101,Declarations!B$6:C$185,2,FALSE)="","NOT DECLARED",IF(ISNA(_xlfn.TEXTAFTER(VLOOKUP($F101,Declarations!B$6:C$185,2,FALSE)," ")),VLOOKUP($F101,Declarations!B$6:C$185,2,FALSE),_xlfn.TEXTAFTER(VLOOKUP($F101,Declarations!B$6:C$185,2,FALSE)," "))))</f>
        <v/>
      </c>
      <c r="D101" s="114" t="str">
        <f>IF(ISNA(VLOOKUP($F101,Declarations!$B$6:$F$185,5,FALSE)),"",IF(VLOOKUP($F101,Declarations!$B$6:$F$185,5,FALSE)="","NOT DECLARED",VLOOKUP($F101,Declarations!$B$6:$F$185,5,FALSE)))</f>
        <v/>
      </c>
      <c r="E101" s="112" t="str">
        <f>IF(ISNA(VLOOKUP($F101,Declarations!$B$6:$D$185,3,FALSE)),"",IF(VLOOKUP($F101,Declarations!$B$6:$D$185,3,FALSE)="","NOT DECLARED",VLOOKUP($F101,Declarations!$B$6:$D$185,3,FALSE)&amp;LEFT(VLOOKUP($F101,Declarations!$B$6:$E$185,4,FALSE))))</f>
        <v/>
      </c>
      <c r="F101" s="58"/>
      <c r="G101" s="121"/>
      <c r="H101" s="121"/>
      <c r="I101" s="114" t="str">
        <f>IF(ISNA(VLOOKUP(F101,Declarations!B$6:C$185,2,FALSE)),"",IF(VLOOKUP(F101,Declarations!B$6:C$185,2,FALSE)="","NOT DECLARED",VLOOKUP(F101,Declarations!B$6:C$185,2,FALSE)))</f>
        <v/>
      </c>
      <c r="J101" s="112">
        <f>IF(LOWER(LEFT(G101,1))="n",1,VLOOKUP(G101,ScoringTable!D$2:I$95,6))</f>
        <v>0</v>
      </c>
      <c r="K101" s="112" t="str">
        <f>IF(OR(E101="",G101=""),"",IF(RIGHT(E101,1)="G",_xlfn.XLOOKUP(G101,Data!$D$14:$L$14,Data!$D$9:$L$9,"",-1,1),_xlfn.XLOOKUP(G101,Data!$D$7:$L$7,Data!$D$2:$L$2,"",-1,1)))</f>
        <v/>
      </c>
      <c r="L101" s="160" t="str" cm="1">
        <f t="array" ref="L101">IFERROR(_xlfn.IFNA(
                      _xlfn.IFS(
                      G101="", "",
                      AND(E101="U12B",G101&gt;=Data!$M$7), "U12 Boys record",
                      AND(E101="U12G",G101&gt;=Data!$M$14), "U12 Girls record"
                       ),""), "")</f>
        <v/>
      </c>
      <c r="M101" s="18" cm="1">
        <f t="array" ref="M101">_xlfn.IFS($G101="",0, AND(NOT(ISNUMBER($G101)),LOWER(LEFT($G101,1))&lt;&gt;"n"),"Not a valid distance",OR(LOWER(LEFT($G101,1))="n",$G101&lt;ScoringTable!$O$161),1,RIGHT($E101,1)="B",_xlfn.XLOOKUP($G101,ScoringTable!$O$2:$O$161,ScoringTable!$L$2:$L$161,,-1),TRUE,_xlfn.XLOOKUP($G101,ScoringTable!$U$2:$U$161,ScoringTable!$R$2:$R$161,,-1))</f>
        <v>0</v>
      </c>
    </row>
    <row r="102" spans="1:13" s="7" customFormat="1" ht="16.05" customHeight="1">
      <c r="A102" s="113" t="s">
        <v>99</v>
      </c>
      <c r="B102" s="114" t="str">
        <f>IF(ISNA(VLOOKUP($F102,Declarations!B$6:C$185,2,FALSE)),"",IF(VLOOKUP($F102,Declarations!B$6:C$185,2,FALSE)="","NOT DECLARED",IF(ISNA(_xlfn.TEXTBEFORE(VLOOKUP($F102,Declarations!B$6:C$185,2,FALSE)," ")),VLOOKUP($F102,Declarations!B$6:C$185,2,FALSE),_xlfn.TEXTBEFORE(VLOOKUP($F102,Declarations!B$6:C$185,2,FALSE)," "))))</f>
        <v/>
      </c>
      <c r="C102" s="114" t="str">
        <f>IF(ISNA(VLOOKUP($F102,Declarations!B$6:C$185,2,FALSE)),"",IF(VLOOKUP($F102,Declarations!B$6:C$185,2,FALSE)="","NOT DECLARED",IF(ISNA(_xlfn.TEXTAFTER(VLOOKUP($F102,Declarations!B$6:C$185,2,FALSE)," ")),VLOOKUP($F102,Declarations!B$6:C$185,2,FALSE),_xlfn.TEXTAFTER(VLOOKUP($F102,Declarations!B$6:C$185,2,FALSE)," "))))</f>
        <v/>
      </c>
      <c r="D102" s="114" t="str">
        <f>IF(ISNA(VLOOKUP($F102,Declarations!$B$6:$F$185,5,FALSE)),"",IF(VLOOKUP($F102,Declarations!$B$6:$F$185,5,FALSE)="","NOT DECLARED",VLOOKUP($F102,Declarations!$B$6:$F$185,5,FALSE)))</f>
        <v/>
      </c>
      <c r="E102" s="112" t="str">
        <f>IF(ISNA(VLOOKUP($F102,Declarations!$B$6:$D$185,3,FALSE)),"",IF(VLOOKUP($F102,Declarations!$B$6:$D$185,3,FALSE)="","NOT DECLARED",VLOOKUP($F102,Declarations!$B$6:$D$185,3,FALSE)&amp;LEFT(VLOOKUP($F102,Declarations!$B$6:$E$185,4,FALSE))))</f>
        <v/>
      </c>
      <c r="F102" s="58"/>
      <c r="G102" s="121"/>
      <c r="H102" s="121"/>
      <c r="I102" s="114" t="str">
        <f>IF(ISNA(VLOOKUP(F102,Declarations!B$6:C$185,2,FALSE)),"",IF(VLOOKUP(F102,Declarations!B$6:C$185,2,FALSE)="","NOT DECLARED",VLOOKUP(F102,Declarations!B$6:C$185,2,FALSE)))</f>
        <v/>
      </c>
      <c r="J102" s="112">
        <f>IF(LOWER(LEFT(G102,1))="n",1,VLOOKUP(G102,ScoringTable!D$2:I$95,6))</f>
        <v>0</v>
      </c>
      <c r="K102" s="112" t="str">
        <f>IF(OR(E102="",G102=""),"",IF(RIGHT(E102,1)="G",_xlfn.XLOOKUP(G102,Data!$D$14:$L$14,Data!$D$9:$L$9,"",-1,1),_xlfn.XLOOKUP(G102,Data!$D$7:$L$7,Data!$D$2:$L$2,"",-1,1)))</f>
        <v/>
      </c>
      <c r="L102" s="160" t="str" cm="1">
        <f t="array" ref="L102">IFERROR(_xlfn.IFNA(
                      _xlfn.IFS(
                      G102="", "",
                      AND(E102="U12B",G102&gt;=Data!$M$7), "U12 Boys record",
                      AND(E102="U12G",G102&gt;=Data!$M$14), "U12 Girls record"
                       ),""), "")</f>
        <v/>
      </c>
      <c r="M102" s="18" cm="1">
        <f t="array" ref="M102">_xlfn.IFS($G102="",0, AND(NOT(ISNUMBER($G102)),LOWER(LEFT($G102,1))&lt;&gt;"n"),"Not a valid distance",OR(LOWER(LEFT($G102,1))="n",$G102&lt;ScoringTable!$O$161),1,RIGHT($E102,1)="B",_xlfn.XLOOKUP($G102,ScoringTable!$O$2:$O$161,ScoringTable!$L$2:$L$161,,-1),TRUE,_xlfn.XLOOKUP($G102,ScoringTable!$U$2:$U$161,ScoringTable!$R$2:$R$161,,-1))</f>
        <v>0</v>
      </c>
    </row>
    <row r="103" spans="1:13" s="7" customFormat="1" ht="16.05" customHeight="1">
      <c r="A103" s="113" t="s">
        <v>99</v>
      </c>
      <c r="B103" s="114" t="str">
        <f>IF(ISNA(VLOOKUP($F103,Declarations!B$6:C$185,2,FALSE)),"",IF(VLOOKUP($F103,Declarations!B$6:C$185,2,FALSE)="","NOT DECLARED",IF(ISNA(_xlfn.TEXTBEFORE(VLOOKUP($F103,Declarations!B$6:C$185,2,FALSE)," ")),VLOOKUP($F103,Declarations!B$6:C$185,2,FALSE),_xlfn.TEXTBEFORE(VLOOKUP($F103,Declarations!B$6:C$185,2,FALSE)," "))))</f>
        <v/>
      </c>
      <c r="C103" s="114" t="str">
        <f>IF(ISNA(VLOOKUP($F103,Declarations!B$6:C$185,2,FALSE)),"",IF(VLOOKUP($F103,Declarations!B$6:C$185,2,FALSE)="","NOT DECLARED",IF(ISNA(_xlfn.TEXTAFTER(VLOOKUP($F103,Declarations!B$6:C$185,2,FALSE)," ")),VLOOKUP($F103,Declarations!B$6:C$185,2,FALSE),_xlfn.TEXTAFTER(VLOOKUP($F103,Declarations!B$6:C$185,2,FALSE)," "))))</f>
        <v/>
      </c>
      <c r="D103" s="114" t="str">
        <f>IF(ISNA(VLOOKUP($F103,Declarations!$B$6:$F$185,5,FALSE)),"",IF(VLOOKUP($F103,Declarations!$B$6:$F$185,5,FALSE)="","NOT DECLARED",VLOOKUP($F103,Declarations!$B$6:$F$185,5,FALSE)))</f>
        <v/>
      </c>
      <c r="E103" s="112" t="str">
        <f>IF(ISNA(VLOOKUP($F103,Declarations!$B$6:$D$185,3,FALSE)),"",IF(VLOOKUP($F103,Declarations!$B$6:$D$185,3,FALSE)="","NOT DECLARED",VLOOKUP($F103,Declarations!$B$6:$D$185,3,FALSE)&amp;LEFT(VLOOKUP($F103,Declarations!$B$6:$E$185,4,FALSE))))</f>
        <v/>
      </c>
      <c r="F103" s="58"/>
      <c r="G103" s="121"/>
      <c r="H103" s="121"/>
      <c r="I103" s="114" t="str">
        <f>IF(ISNA(VLOOKUP(F103,Declarations!B$6:C$185,2,FALSE)),"",IF(VLOOKUP(F103,Declarations!B$6:C$185,2,FALSE)="","NOT DECLARED",VLOOKUP(F103,Declarations!B$6:C$185,2,FALSE)))</f>
        <v/>
      </c>
      <c r="J103" s="112">
        <f>IF(LOWER(LEFT(G103,1))="n",1,VLOOKUP(G103,ScoringTable!D$2:I$95,6))</f>
        <v>0</v>
      </c>
      <c r="K103" s="112" t="str">
        <f>IF(OR(E103="",G103=""),"",IF(RIGHT(E103,1)="G",_xlfn.XLOOKUP(G103,Data!$D$14:$L$14,Data!$D$9:$L$9,"",-1,1),_xlfn.XLOOKUP(G103,Data!$D$7:$L$7,Data!$D$2:$L$2,"",-1,1)))</f>
        <v/>
      </c>
      <c r="L103" s="160" t="str" cm="1">
        <f t="array" ref="L103">IFERROR(_xlfn.IFNA(
                      _xlfn.IFS(
                      G103="", "",
                      AND(E103="U12B",G103&gt;=Data!$M$7), "U12 Boys record",
                      AND(E103="U12G",G103&gt;=Data!$M$14), "U12 Girls record"
                       ),""), "")</f>
        <v/>
      </c>
      <c r="M103" s="18" cm="1">
        <f t="array" ref="M103">_xlfn.IFS($G103="",0, AND(NOT(ISNUMBER($G103)),LOWER(LEFT($G103,1))&lt;&gt;"n"),"Not a valid distance",OR(LOWER(LEFT($G103,1))="n",$G103&lt;ScoringTable!$O$161),1,RIGHT($E103,1)="B",_xlfn.XLOOKUP($G103,ScoringTable!$O$2:$O$161,ScoringTable!$L$2:$L$161,,-1),TRUE,_xlfn.XLOOKUP($G103,ScoringTable!$U$2:$U$161,ScoringTable!$R$2:$R$161,,-1))</f>
        <v>0</v>
      </c>
    </row>
    <row r="104" spans="1:13" s="7" customFormat="1" ht="16.05" customHeight="1">
      <c r="A104" s="113" t="s">
        <v>99</v>
      </c>
      <c r="B104" s="114" t="str">
        <f>IF(ISNA(VLOOKUP($F104,Declarations!B$6:C$185,2,FALSE)),"",IF(VLOOKUP($F104,Declarations!B$6:C$185,2,FALSE)="","NOT DECLARED",IF(ISNA(_xlfn.TEXTBEFORE(VLOOKUP($F104,Declarations!B$6:C$185,2,FALSE)," ")),VLOOKUP($F104,Declarations!B$6:C$185,2,FALSE),_xlfn.TEXTBEFORE(VLOOKUP($F104,Declarations!B$6:C$185,2,FALSE)," "))))</f>
        <v/>
      </c>
      <c r="C104" s="114" t="str">
        <f>IF(ISNA(VLOOKUP($F104,Declarations!B$6:C$185,2,FALSE)),"",IF(VLOOKUP($F104,Declarations!B$6:C$185,2,FALSE)="","NOT DECLARED",IF(ISNA(_xlfn.TEXTAFTER(VLOOKUP($F104,Declarations!B$6:C$185,2,FALSE)," ")),VLOOKUP($F104,Declarations!B$6:C$185,2,FALSE),_xlfn.TEXTAFTER(VLOOKUP($F104,Declarations!B$6:C$185,2,FALSE)," "))))</f>
        <v/>
      </c>
      <c r="D104" s="114" t="str">
        <f>IF(ISNA(VLOOKUP($F104,Declarations!$B$6:$F$185,5,FALSE)),"",IF(VLOOKUP($F104,Declarations!$B$6:$F$185,5,FALSE)="","NOT DECLARED",VLOOKUP($F104,Declarations!$B$6:$F$185,5,FALSE)))</f>
        <v/>
      </c>
      <c r="E104" s="112" t="str">
        <f>IF(ISNA(VLOOKUP($F104,Declarations!$B$6:$D$185,3,FALSE)),"",IF(VLOOKUP($F104,Declarations!$B$6:$D$185,3,FALSE)="","NOT DECLARED",VLOOKUP($F104,Declarations!$B$6:$D$185,3,FALSE)&amp;LEFT(VLOOKUP($F104,Declarations!$B$6:$E$185,4,FALSE))))</f>
        <v/>
      </c>
      <c r="F104" s="58"/>
      <c r="G104" s="121"/>
      <c r="H104" s="121"/>
      <c r="I104" s="114" t="str">
        <f>IF(ISNA(VLOOKUP(F104,Declarations!B$6:C$185,2,FALSE)),"",IF(VLOOKUP(F104,Declarations!B$6:C$185,2,FALSE)="","NOT DECLARED",VLOOKUP(F104,Declarations!B$6:C$185,2,FALSE)))</f>
        <v/>
      </c>
      <c r="J104" s="112">
        <f>IF(LOWER(LEFT(G104,1))="n",1,VLOOKUP(G104,ScoringTable!D$2:I$95,6))</f>
        <v>0</v>
      </c>
      <c r="K104" s="112" t="str">
        <f>IF(OR(E104="",G104=""),"",IF(RIGHT(E104,1)="G",_xlfn.XLOOKUP(G104,Data!$D$14:$L$14,Data!$D$9:$L$9,"",-1,1),_xlfn.XLOOKUP(G104,Data!$D$7:$L$7,Data!$D$2:$L$2,"",-1,1)))</f>
        <v/>
      </c>
      <c r="L104" s="160" t="str" cm="1">
        <f t="array" ref="L104">IFERROR(_xlfn.IFNA(
                      _xlfn.IFS(
                      G104="", "",
                      AND(E104="U12B",G104&gt;=Data!$M$7), "U12 Boys record",
                      AND(E104="U12G",G104&gt;=Data!$M$14), "U12 Girls record"
                       ),""), "")</f>
        <v/>
      </c>
      <c r="M104" s="18" cm="1">
        <f t="array" ref="M104">_xlfn.IFS($G104="",0, AND(NOT(ISNUMBER($G104)),LOWER(LEFT($G104,1))&lt;&gt;"n"),"Not a valid distance",OR(LOWER(LEFT($G104,1))="n",$G104&lt;ScoringTable!$O$161),1,RIGHT($E104,1)="B",_xlfn.XLOOKUP($G104,ScoringTable!$O$2:$O$161,ScoringTable!$L$2:$L$161,,-1),TRUE,_xlfn.XLOOKUP($G104,ScoringTable!$U$2:$U$161,ScoringTable!$R$2:$R$161,,-1))</f>
        <v>0</v>
      </c>
    </row>
    <row r="105" spans="1:13" s="7" customFormat="1" ht="16.05" customHeight="1">
      <c r="A105" s="113" t="s">
        <v>99</v>
      </c>
      <c r="B105" s="114" t="str">
        <f>IF(ISNA(VLOOKUP($F105,Declarations!B$6:C$185,2,FALSE)),"",IF(VLOOKUP($F105,Declarations!B$6:C$185,2,FALSE)="","NOT DECLARED",IF(ISNA(_xlfn.TEXTBEFORE(VLOOKUP($F105,Declarations!B$6:C$185,2,FALSE)," ")),VLOOKUP($F105,Declarations!B$6:C$185,2,FALSE),_xlfn.TEXTBEFORE(VLOOKUP($F105,Declarations!B$6:C$185,2,FALSE)," "))))</f>
        <v/>
      </c>
      <c r="C105" s="114" t="str">
        <f>IF(ISNA(VLOOKUP($F105,Declarations!B$6:C$185,2,FALSE)),"",IF(VLOOKUP($F105,Declarations!B$6:C$185,2,FALSE)="","NOT DECLARED",IF(ISNA(_xlfn.TEXTAFTER(VLOOKUP($F105,Declarations!B$6:C$185,2,FALSE)," ")),VLOOKUP($F105,Declarations!B$6:C$185,2,FALSE),_xlfn.TEXTAFTER(VLOOKUP($F105,Declarations!B$6:C$185,2,FALSE)," "))))</f>
        <v/>
      </c>
      <c r="D105" s="114" t="str">
        <f>IF(ISNA(VLOOKUP($F105,Declarations!$B$6:$F$185,5,FALSE)),"",IF(VLOOKUP($F105,Declarations!$B$6:$F$185,5,FALSE)="","NOT DECLARED",VLOOKUP($F105,Declarations!$B$6:$F$185,5,FALSE)))</f>
        <v/>
      </c>
      <c r="E105" s="112" t="str">
        <f>IF(ISNA(VLOOKUP($F105,Declarations!$B$6:$D$185,3,FALSE)),"",IF(VLOOKUP($F105,Declarations!$B$6:$D$185,3,FALSE)="","NOT DECLARED",VLOOKUP($F105,Declarations!$B$6:$D$185,3,FALSE)&amp;LEFT(VLOOKUP($F105,Declarations!$B$6:$E$185,4,FALSE))))</f>
        <v/>
      </c>
      <c r="F105" s="58"/>
      <c r="G105" s="121"/>
      <c r="H105" s="121"/>
      <c r="I105" s="114" t="str">
        <f>IF(ISNA(VLOOKUP(F105,Declarations!B$6:C$185,2,FALSE)),"",IF(VLOOKUP(F105,Declarations!B$6:C$185,2,FALSE)="","NOT DECLARED",VLOOKUP(F105,Declarations!B$6:C$185,2,FALSE)))</f>
        <v/>
      </c>
      <c r="J105" s="112">
        <f>IF(LOWER(LEFT(G105,1))="n",1,VLOOKUP(G105,ScoringTable!D$2:I$95,6))</f>
        <v>0</v>
      </c>
      <c r="K105" s="112" t="str">
        <f>IF(OR(E105="",G105=""),"",IF(RIGHT(E105,1)="G",_xlfn.XLOOKUP(G105,Data!$D$14:$L$14,Data!$D$9:$L$9,"",-1,1),_xlfn.XLOOKUP(G105,Data!$D$7:$L$7,Data!$D$2:$L$2,"",-1,1)))</f>
        <v/>
      </c>
      <c r="L105" s="160" t="str" cm="1">
        <f t="array" ref="L105">IFERROR(_xlfn.IFNA(
                      _xlfn.IFS(
                      G105="", "",
                      AND(E105="U12B",G105&gt;=Data!$M$7), "U12 Boys record",
                      AND(E105="U12G",G105&gt;=Data!$M$14), "U12 Girls record"
                       ),""), "")</f>
        <v/>
      </c>
      <c r="M105" s="18" cm="1">
        <f t="array" ref="M105">_xlfn.IFS($G105="",0, AND(NOT(ISNUMBER($G105)),LOWER(LEFT($G105,1))&lt;&gt;"n"),"Not a valid distance",OR(LOWER(LEFT($G105,1))="n",$G105&lt;ScoringTable!$O$161),1,RIGHT($E105,1)="B",_xlfn.XLOOKUP($G105,ScoringTable!$O$2:$O$161,ScoringTable!$L$2:$L$161,,-1),TRUE,_xlfn.XLOOKUP($G105,ScoringTable!$U$2:$U$161,ScoringTable!$R$2:$R$161,,-1))</f>
        <v>0</v>
      </c>
    </row>
    <row r="106" spans="1:13" s="7" customFormat="1" ht="16.05" customHeight="1">
      <c r="A106" s="113" t="s">
        <v>99</v>
      </c>
      <c r="B106" s="114" t="str">
        <f>IF(ISNA(VLOOKUP($F106,Declarations!B$6:C$185,2,FALSE)),"",IF(VLOOKUP($F106,Declarations!B$6:C$185,2,FALSE)="","NOT DECLARED",IF(ISNA(_xlfn.TEXTBEFORE(VLOOKUP($F106,Declarations!B$6:C$185,2,FALSE)," ")),VLOOKUP($F106,Declarations!B$6:C$185,2,FALSE),_xlfn.TEXTBEFORE(VLOOKUP($F106,Declarations!B$6:C$185,2,FALSE)," "))))</f>
        <v/>
      </c>
      <c r="C106" s="114" t="str">
        <f>IF(ISNA(VLOOKUP($F106,Declarations!B$6:C$185,2,FALSE)),"",IF(VLOOKUP($F106,Declarations!B$6:C$185,2,FALSE)="","NOT DECLARED",IF(ISNA(_xlfn.TEXTAFTER(VLOOKUP($F106,Declarations!B$6:C$185,2,FALSE)," ")),VLOOKUP($F106,Declarations!B$6:C$185,2,FALSE),_xlfn.TEXTAFTER(VLOOKUP($F106,Declarations!B$6:C$185,2,FALSE)," "))))</f>
        <v/>
      </c>
      <c r="D106" s="114" t="str">
        <f>IF(ISNA(VLOOKUP($F106,Declarations!$B$6:$F$185,5,FALSE)),"",IF(VLOOKUP($F106,Declarations!$B$6:$F$185,5,FALSE)="","NOT DECLARED",VLOOKUP($F106,Declarations!$B$6:$F$185,5,FALSE)))</f>
        <v/>
      </c>
      <c r="E106" s="112" t="str">
        <f>IF(ISNA(VLOOKUP($F106,Declarations!$B$6:$D$185,3,FALSE)),"",IF(VLOOKUP($F106,Declarations!$B$6:$D$185,3,FALSE)="","NOT DECLARED",VLOOKUP($F106,Declarations!$B$6:$D$185,3,FALSE)&amp;LEFT(VLOOKUP($F106,Declarations!$B$6:$E$185,4,FALSE))))</f>
        <v/>
      </c>
      <c r="F106" s="58"/>
      <c r="G106" s="121"/>
      <c r="H106" s="121"/>
      <c r="I106" s="114" t="str">
        <f>IF(ISNA(VLOOKUP(F106,Declarations!B$6:C$185,2,FALSE)),"",IF(VLOOKUP(F106,Declarations!B$6:C$185,2,FALSE)="","NOT DECLARED",VLOOKUP(F106,Declarations!B$6:C$185,2,FALSE)))</f>
        <v/>
      </c>
      <c r="J106" s="112">
        <f>IF(LOWER(LEFT(G106,1))="n",1,VLOOKUP(G106,ScoringTable!D$2:I$95,6))</f>
        <v>0</v>
      </c>
      <c r="K106" s="112" t="str">
        <f>IF(OR(E106="",G106=""),"",IF(RIGHT(E106,1)="G",_xlfn.XLOOKUP(G106,Data!$D$14:$L$14,Data!$D$9:$L$9,"",-1,1),_xlfn.XLOOKUP(G106,Data!$D$7:$L$7,Data!$D$2:$L$2,"",-1,1)))</f>
        <v/>
      </c>
      <c r="L106" s="160" t="str" cm="1">
        <f t="array" ref="L106">IFERROR(_xlfn.IFNA(
                      _xlfn.IFS(
                      G106="", "",
                      AND(E106="U12B",G106&gt;=Data!$M$7), "U12 Boys record",
                      AND(E106="U12G",G106&gt;=Data!$M$14), "U12 Girls record"
                       ),""), "")</f>
        <v/>
      </c>
      <c r="M106" s="18" cm="1">
        <f t="array" ref="M106">_xlfn.IFS($G106="",0, AND(NOT(ISNUMBER($G106)),LOWER(LEFT($G106,1))&lt;&gt;"n"),"Not a valid distance",OR(LOWER(LEFT($G106,1))="n",$G106&lt;ScoringTable!$O$161),1,RIGHT($E106,1)="B",_xlfn.XLOOKUP($G106,ScoringTable!$O$2:$O$161,ScoringTable!$L$2:$L$161,,-1),TRUE,_xlfn.XLOOKUP($G106,ScoringTable!$U$2:$U$161,ScoringTable!$R$2:$R$161,,-1))</f>
        <v>0</v>
      </c>
    </row>
    <row r="107" spans="1:13" s="7" customFormat="1" ht="16.05" customHeight="1">
      <c r="A107" s="113" t="s">
        <v>99</v>
      </c>
      <c r="B107" s="114" t="str">
        <f>IF(ISNA(VLOOKUP($F107,Declarations!B$6:C$185,2,FALSE)),"",IF(VLOOKUP($F107,Declarations!B$6:C$185,2,FALSE)="","NOT DECLARED",IF(ISNA(_xlfn.TEXTBEFORE(VLOOKUP($F107,Declarations!B$6:C$185,2,FALSE)," ")),VLOOKUP($F107,Declarations!B$6:C$185,2,FALSE),_xlfn.TEXTBEFORE(VLOOKUP($F107,Declarations!B$6:C$185,2,FALSE)," "))))</f>
        <v/>
      </c>
      <c r="C107" s="114" t="str">
        <f>IF(ISNA(VLOOKUP($F107,Declarations!B$6:C$185,2,FALSE)),"",IF(VLOOKUP($F107,Declarations!B$6:C$185,2,FALSE)="","NOT DECLARED",IF(ISNA(_xlfn.TEXTAFTER(VLOOKUP($F107,Declarations!B$6:C$185,2,FALSE)," ")),VLOOKUP($F107,Declarations!B$6:C$185,2,FALSE),_xlfn.TEXTAFTER(VLOOKUP($F107,Declarations!B$6:C$185,2,FALSE)," "))))</f>
        <v/>
      </c>
      <c r="D107" s="114" t="str">
        <f>IF(ISNA(VLOOKUP($F107,Declarations!$B$6:$F$185,5,FALSE)),"",IF(VLOOKUP($F107,Declarations!$B$6:$F$185,5,FALSE)="","NOT DECLARED",VLOOKUP($F107,Declarations!$B$6:$F$185,5,FALSE)))</f>
        <v/>
      </c>
      <c r="E107" s="112" t="str">
        <f>IF(ISNA(VLOOKUP($F107,Declarations!$B$6:$D$185,3,FALSE)),"",IF(VLOOKUP($F107,Declarations!$B$6:$D$185,3,FALSE)="","NOT DECLARED",VLOOKUP($F107,Declarations!$B$6:$D$185,3,FALSE)&amp;LEFT(VLOOKUP($F107,Declarations!$B$6:$E$185,4,FALSE))))</f>
        <v/>
      </c>
      <c r="F107" s="58"/>
      <c r="G107" s="121"/>
      <c r="H107" s="121"/>
      <c r="I107" s="114" t="str">
        <f>IF(ISNA(VLOOKUP(F107,Declarations!B$6:C$185,2,FALSE)),"",IF(VLOOKUP(F107,Declarations!B$6:C$185,2,FALSE)="","NOT DECLARED",VLOOKUP(F107,Declarations!B$6:C$185,2,FALSE)))</f>
        <v/>
      </c>
      <c r="J107" s="112">
        <f>IF(LOWER(LEFT(G107,1))="n",1,VLOOKUP(G107,ScoringTable!D$2:I$95,6))</f>
        <v>0</v>
      </c>
      <c r="K107" s="112" t="str">
        <f>IF(OR(E107="",G107=""),"",IF(RIGHT(E107,1)="G",_xlfn.XLOOKUP(G107,Data!$D$14:$L$14,Data!$D$9:$L$9,"",-1,1),_xlfn.XLOOKUP(G107,Data!$D$7:$L$7,Data!$D$2:$L$2,"",-1,1)))</f>
        <v/>
      </c>
      <c r="L107" s="160" t="str" cm="1">
        <f t="array" ref="L107">IFERROR(_xlfn.IFNA(
                      _xlfn.IFS(
                      G107="", "",
                      AND(E107="U12B",G107&gt;=Data!$M$7), "U12 Boys record",
                      AND(E107="U12G",G107&gt;=Data!$M$14), "U12 Girls record"
                       ),""), "")</f>
        <v/>
      </c>
      <c r="M107" s="18" cm="1">
        <f t="array" ref="M107">_xlfn.IFS($G107="",0, AND(NOT(ISNUMBER($G107)),LOWER(LEFT($G107,1))&lt;&gt;"n"),"Not a valid distance",OR(LOWER(LEFT($G107,1))="n",$G107&lt;ScoringTable!$O$161),1,RIGHT($E107,1)="B",_xlfn.XLOOKUP($G107,ScoringTable!$O$2:$O$161,ScoringTable!$L$2:$L$161,,-1),TRUE,_xlfn.XLOOKUP($G107,ScoringTable!$U$2:$U$161,ScoringTable!$R$2:$R$161,,-1))</f>
        <v>0</v>
      </c>
    </row>
    <row r="108" spans="1:13" s="7" customFormat="1" ht="16.05" customHeight="1">
      <c r="A108" s="113" t="s">
        <v>99</v>
      </c>
      <c r="B108" s="114" t="str">
        <f>IF(ISNA(VLOOKUP($F108,Declarations!B$6:C$185,2,FALSE)),"",IF(VLOOKUP($F108,Declarations!B$6:C$185,2,FALSE)="","NOT DECLARED",IF(ISNA(_xlfn.TEXTBEFORE(VLOOKUP($F108,Declarations!B$6:C$185,2,FALSE)," ")),VLOOKUP($F108,Declarations!B$6:C$185,2,FALSE),_xlfn.TEXTBEFORE(VLOOKUP($F108,Declarations!B$6:C$185,2,FALSE)," "))))</f>
        <v/>
      </c>
      <c r="C108" s="114" t="str">
        <f>IF(ISNA(VLOOKUP($F108,Declarations!B$6:C$185,2,FALSE)),"",IF(VLOOKUP($F108,Declarations!B$6:C$185,2,FALSE)="","NOT DECLARED",IF(ISNA(_xlfn.TEXTAFTER(VLOOKUP($F108,Declarations!B$6:C$185,2,FALSE)," ")),VLOOKUP($F108,Declarations!B$6:C$185,2,FALSE),_xlfn.TEXTAFTER(VLOOKUP($F108,Declarations!B$6:C$185,2,FALSE)," "))))</f>
        <v/>
      </c>
      <c r="D108" s="114" t="str">
        <f>IF(ISNA(VLOOKUP($F108,Declarations!$B$6:$F$185,5,FALSE)),"",IF(VLOOKUP($F108,Declarations!$B$6:$F$185,5,FALSE)="","NOT DECLARED",VLOOKUP($F108,Declarations!$B$6:$F$185,5,FALSE)))</f>
        <v/>
      </c>
      <c r="E108" s="112" t="str">
        <f>IF(ISNA(VLOOKUP($F108,Declarations!$B$6:$D$185,3,FALSE)),"",IF(VLOOKUP($F108,Declarations!$B$6:$D$185,3,FALSE)="","NOT DECLARED",VLOOKUP($F108,Declarations!$B$6:$D$185,3,FALSE)&amp;LEFT(VLOOKUP($F108,Declarations!$B$6:$E$185,4,FALSE))))</f>
        <v/>
      </c>
      <c r="F108" s="58"/>
      <c r="G108" s="121"/>
      <c r="H108" s="121"/>
      <c r="I108" s="114" t="str">
        <f>IF(ISNA(VLOOKUP(F108,Declarations!B$6:C$185,2,FALSE)),"",IF(VLOOKUP(F108,Declarations!B$6:C$185,2,FALSE)="","NOT DECLARED",VLOOKUP(F108,Declarations!B$6:C$185,2,FALSE)))</f>
        <v/>
      </c>
      <c r="J108" s="112">
        <f>IF(LOWER(LEFT(G108,1))="n",1,VLOOKUP(G108,ScoringTable!D$2:I$95,6))</f>
        <v>0</v>
      </c>
      <c r="K108" s="112" t="str">
        <f>IF(OR(E108="",G108=""),"",IF(RIGHT(E108,1)="G",_xlfn.XLOOKUP(G108,Data!$D$14:$L$14,Data!$D$9:$L$9,"",-1,1),_xlfn.XLOOKUP(G108,Data!$D$7:$L$7,Data!$D$2:$L$2,"",-1,1)))</f>
        <v/>
      </c>
      <c r="L108" s="160" t="str" cm="1">
        <f t="array" ref="L108">IFERROR(_xlfn.IFNA(
                      _xlfn.IFS(
                      G108="", "",
                      AND(E108="U12B",G108&gt;=Data!$M$7), "U12 Boys record",
                      AND(E108="U12G",G108&gt;=Data!$M$14), "U12 Girls record"
                       ),""), "")</f>
        <v/>
      </c>
      <c r="M108" s="18" cm="1">
        <f t="array" ref="M108">_xlfn.IFS($G108="",0, AND(NOT(ISNUMBER($G108)),LOWER(LEFT($G108,1))&lt;&gt;"n"),"Not a valid distance",OR(LOWER(LEFT($G108,1))="n",$G108&lt;ScoringTable!$O$161),1,RIGHT($E108,1)="B",_xlfn.XLOOKUP($G108,ScoringTable!$O$2:$O$161,ScoringTable!$L$2:$L$161,,-1),TRUE,_xlfn.XLOOKUP($G108,ScoringTable!$U$2:$U$161,ScoringTable!$R$2:$R$161,,-1))</f>
        <v>0</v>
      </c>
    </row>
    <row r="109" spans="1:13" s="7" customFormat="1" ht="16.05" customHeight="1">
      <c r="A109" s="113" t="s">
        <v>99</v>
      </c>
      <c r="B109" s="114" t="str">
        <f>IF(ISNA(VLOOKUP($F109,Declarations!B$6:C$185,2,FALSE)),"",IF(VLOOKUP($F109,Declarations!B$6:C$185,2,FALSE)="","NOT DECLARED",IF(ISNA(_xlfn.TEXTBEFORE(VLOOKUP($F109,Declarations!B$6:C$185,2,FALSE)," ")),VLOOKUP($F109,Declarations!B$6:C$185,2,FALSE),_xlfn.TEXTBEFORE(VLOOKUP($F109,Declarations!B$6:C$185,2,FALSE)," "))))</f>
        <v/>
      </c>
      <c r="C109" s="114" t="str">
        <f>IF(ISNA(VLOOKUP($F109,Declarations!B$6:C$185,2,FALSE)),"",IF(VLOOKUP($F109,Declarations!B$6:C$185,2,FALSE)="","NOT DECLARED",IF(ISNA(_xlfn.TEXTAFTER(VLOOKUP($F109,Declarations!B$6:C$185,2,FALSE)," ")),VLOOKUP($F109,Declarations!B$6:C$185,2,FALSE),_xlfn.TEXTAFTER(VLOOKUP($F109,Declarations!B$6:C$185,2,FALSE)," "))))</f>
        <v/>
      </c>
      <c r="D109" s="114" t="str">
        <f>IF(ISNA(VLOOKUP($F109,Declarations!$B$6:$F$185,5,FALSE)),"",IF(VLOOKUP($F109,Declarations!$B$6:$F$185,5,FALSE)="","NOT DECLARED",VLOOKUP($F109,Declarations!$B$6:$F$185,5,FALSE)))</f>
        <v/>
      </c>
      <c r="E109" s="112" t="str">
        <f>IF(ISNA(VLOOKUP($F109,Declarations!$B$6:$D$185,3,FALSE)),"",IF(VLOOKUP($F109,Declarations!$B$6:$D$185,3,FALSE)="","NOT DECLARED",VLOOKUP($F109,Declarations!$B$6:$D$185,3,FALSE)&amp;LEFT(VLOOKUP($F109,Declarations!$B$6:$E$185,4,FALSE))))</f>
        <v/>
      </c>
      <c r="F109" s="58"/>
      <c r="G109" s="121"/>
      <c r="H109" s="121"/>
      <c r="I109" s="114" t="str">
        <f>IF(ISNA(VLOOKUP(F109,Declarations!B$6:C$185,2,FALSE)),"",IF(VLOOKUP(F109,Declarations!B$6:C$185,2,FALSE)="","NOT DECLARED",VLOOKUP(F109,Declarations!B$6:C$185,2,FALSE)))</f>
        <v/>
      </c>
      <c r="J109" s="112">
        <f>IF(LOWER(LEFT(G109,1))="n",1,VLOOKUP(G109,ScoringTable!D$2:I$95,6))</f>
        <v>0</v>
      </c>
      <c r="K109" s="112" t="str">
        <f>IF(OR(E109="",G109=""),"",IF(RIGHT(E109,1)="G",_xlfn.XLOOKUP(G109,Data!$D$14:$L$14,Data!$D$9:$L$9,"",-1,1),_xlfn.XLOOKUP(G109,Data!$D$7:$L$7,Data!$D$2:$L$2,"",-1,1)))</f>
        <v/>
      </c>
      <c r="L109" s="160" t="str" cm="1">
        <f t="array" ref="L109">IFERROR(_xlfn.IFNA(
                      _xlfn.IFS(
                      G109="", "",
                      AND(E109="U12B",G109&gt;=Data!$M$7), "U12 Boys record",
                      AND(E109="U12G",G109&gt;=Data!$M$14), "U12 Girls record"
                       ),""), "")</f>
        <v/>
      </c>
      <c r="M109" s="18" cm="1">
        <f t="array" ref="M109">_xlfn.IFS($G109="",0, AND(NOT(ISNUMBER($G109)),LOWER(LEFT($G109,1))&lt;&gt;"n"),"Not a valid distance",OR(LOWER(LEFT($G109,1))="n",$G109&lt;ScoringTable!$O$161),1,RIGHT($E109,1)="B",_xlfn.XLOOKUP($G109,ScoringTable!$O$2:$O$161,ScoringTable!$L$2:$L$161,,-1),TRUE,_xlfn.XLOOKUP($G109,ScoringTable!$U$2:$U$161,ScoringTable!$R$2:$R$161,,-1))</f>
        <v>0</v>
      </c>
    </row>
    <row r="110" spans="1:13" s="7" customFormat="1" ht="16.05" customHeight="1">
      <c r="A110" s="113" t="s">
        <v>99</v>
      </c>
      <c r="B110" s="114" t="str">
        <f>IF(ISNA(VLOOKUP($F110,Declarations!B$6:C$185,2,FALSE)),"",IF(VLOOKUP($F110,Declarations!B$6:C$185,2,FALSE)="","NOT DECLARED",IF(ISNA(_xlfn.TEXTBEFORE(VLOOKUP($F110,Declarations!B$6:C$185,2,FALSE)," ")),VLOOKUP($F110,Declarations!B$6:C$185,2,FALSE),_xlfn.TEXTBEFORE(VLOOKUP($F110,Declarations!B$6:C$185,2,FALSE)," "))))</f>
        <v/>
      </c>
      <c r="C110" s="114" t="str">
        <f>IF(ISNA(VLOOKUP($F110,Declarations!B$6:C$185,2,FALSE)),"",IF(VLOOKUP($F110,Declarations!B$6:C$185,2,FALSE)="","NOT DECLARED",IF(ISNA(_xlfn.TEXTAFTER(VLOOKUP($F110,Declarations!B$6:C$185,2,FALSE)," ")),VLOOKUP($F110,Declarations!B$6:C$185,2,FALSE),_xlfn.TEXTAFTER(VLOOKUP($F110,Declarations!B$6:C$185,2,FALSE)," "))))</f>
        <v/>
      </c>
      <c r="D110" s="114" t="str">
        <f>IF(ISNA(VLOOKUP($F110,Declarations!$B$6:$F$185,5,FALSE)),"",IF(VLOOKUP($F110,Declarations!$B$6:$F$185,5,FALSE)="","NOT DECLARED",VLOOKUP($F110,Declarations!$B$6:$F$185,5,FALSE)))</f>
        <v/>
      </c>
      <c r="E110" s="112" t="str">
        <f>IF(ISNA(VLOOKUP($F110,Declarations!$B$6:$D$185,3,FALSE)),"",IF(VLOOKUP($F110,Declarations!$B$6:$D$185,3,FALSE)="","NOT DECLARED",VLOOKUP($F110,Declarations!$B$6:$D$185,3,FALSE)&amp;LEFT(VLOOKUP($F110,Declarations!$B$6:$E$185,4,FALSE))))</f>
        <v/>
      </c>
      <c r="F110" s="58"/>
      <c r="G110" s="121"/>
      <c r="H110" s="121"/>
      <c r="I110" s="114" t="str">
        <f>IF(ISNA(VLOOKUP(F110,Declarations!B$6:C$185,2,FALSE)),"",IF(VLOOKUP(F110,Declarations!B$6:C$185,2,FALSE)="","NOT DECLARED",VLOOKUP(F110,Declarations!B$6:C$185,2,FALSE)))</f>
        <v/>
      </c>
      <c r="J110" s="112">
        <f>IF(LOWER(LEFT(G110,1))="n",1,VLOOKUP(G110,ScoringTable!D$2:I$95,6))</f>
        <v>0</v>
      </c>
      <c r="K110" s="112" t="str">
        <f>IF(OR(E110="",G110=""),"",IF(RIGHT(E110,1)="G",_xlfn.XLOOKUP(G110,Data!$D$14:$L$14,Data!$D$9:$L$9,"",-1,1),_xlfn.XLOOKUP(G110,Data!$D$7:$L$7,Data!$D$2:$L$2,"",-1,1)))</f>
        <v/>
      </c>
      <c r="L110" s="160" t="str" cm="1">
        <f t="array" ref="L110">IFERROR(_xlfn.IFNA(
                      _xlfn.IFS(
                      G110="", "",
                      AND(E110="U12B",G110&gt;=Data!$M$7), "U12 Boys record",
                      AND(E110="U12G",G110&gt;=Data!$M$14), "U12 Girls record"
                       ),""), "")</f>
        <v/>
      </c>
      <c r="M110" s="18" cm="1">
        <f t="array" ref="M110">_xlfn.IFS($G110="",0, AND(NOT(ISNUMBER($G110)),LOWER(LEFT($G110,1))&lt;&gt;"n"),"Not a valid distance",OR(LOWER(LEFT($G110,1))="n",$G110&lt;ScoringTable!$O$161),1,RIGHT($E110,1)="B",_xlfn.XLOOKUP($G110,ScoringTable!$O$2:$O$161,ScoringTable!$L$2:$L$161,,-1),TRUE,_xlfn.XLOOKUP($G110,ScoringTable!$U$2:$U$161,ScoringTable!$R$2:$R$161,,-1))</f>
        <v>0</v>
      </c>
    </row>
    <row r="111" spans="1:13" s="7" customFormat="1" ht="16.05" customHeight="1">
      <c r="A111" s="113" t="s">
        <v>99</v>
      </c>
      <c r="B111" s="114" t="str">
        <f>IF(ISNA(VLOOKUP($F111,Declarations!B$6:C$185,2,FALSE)),"",IF(VLOOKUP($F111,Declarations!B$6:C$185,2,FALSE)="","NOT DECLARED",IF(ISNA(_xlfn.TEXTBEFORE(VLOOKUP($F111,Declarations!B$6:C$185,2,FALSE)," ")),VLOOKUP($F111,Declarations!B$6:C$185,2,FALSE),_xlfn.TEXTBEFORE(VLOOKUP($F111,Declarations!B$6:C$185,2,FALSE)," "))))</f>
        <v/>
      </c>
      <c r="C111" s="114" t="str">
        <f>IF(ISNA(VLOOKUP($F111,Declarations!B$6:C$185,2,FALSE)),"",IF(VLOOKUP($F111,Declarations!B$6:C$185,2,FALSE)="","NOT DECLARED",IF(ISNA(_xlfn.TEXTAFTER(VLOOKUP($F111,Declarations!B$6:C$185,2,FALSE)," ")),VLOOKUP($F111,Declarations!B$6:C$185,2,FALSE),_xlfn.TEXTAFTER(VLOOKUP($F111,Declarations!B$6:C$185,2,FALSE)," "))))</f>
        <v/>
      </c>
      <c r="D111" s="114" t="str">
        <f>IF(ISNA(VLOOKUP($F111,Declarations!$B$6:$F$185,5,FALSE)),"",IF(VLOOKUP($F111,Declarations!$B$6:$F$185,5,FALSE)="","NOT DECLARED",VLOOKUP($F111,Declarations!$B$6:$F$185,5,FALSE)))</f>
        <v/>
      </c>
      <c r="E111" s="112" t="str">
        <f>IF(ISNA(VLOOKUP($F111,Declarations!$B$6:$D$185,3,FALSE)),"",IF(VLOOKUP($F111,Declarations!$B$6:$D$185,3,FALSE)="","NOT DECLARED",VLOOKUP($F111,Declarations!$B$6:$D$185,3,FALSE)&amp;LEFT(VLOOKUP($F111,Declarations!$B$6:$E$185,4,FALSE))))</f>
        <v/>
      </c>
      <c r="F111" s="58"/>
      <c r="G111" s="121"/>
      <c r="H111" s="121"/>
      <c r="I111" s="114" t="str">
        <f>IF(ISNA(VLOOKUP(F111,Declarations!B$6:C$185,2,FALSE)),"",IF(VLOOKUP(F111,Declarations!B$6:C$185,2,FALSE)="","NOT DECLARED",VLOOKUP(F111,Declarations!B$6:C$185,2,FALSE)))</f>
        <v/>
      </c>
      <c r="J111" s="112">
        <f>IF(LOWER(LEFT(G111,1))="n",1,VLOOKUP(G111,ScoringTable!D$2:I$95,6))</f>
        <v>0</v>
      </c>
      <c r="K111" s="112" t="str">
        <f>IF(OR(E111="",G111=""),"",IF(RIGHT(E111,1)="G",_xlfn.XLOOKUP(G111,Data!$D$14:$L$14,Data!$D$9:$L$9,"",-1,1),_xlfn.XLOOKUP(G111,Data!$D$7:$L$7,Data!$D$2:$L$2,"",-1,1)))</f>
        <v/>
      </c>
      <c r="L111" s="160" t="str" cm="1">
        <f t="array" ref="L111">IFERROR(_xlfn.IFNA(
                      _xlfn.IFS(
                      G111="", "",
                      AND(E111="U12B",G111&gt;=Data!$M$7), "U12 Boys record",
                      AND(E111="U12G",G111&gt;=Data!$M$14), "U12 Girls record"
                       ),""), "")</f>
        <v/>
      </c>
      <c r="M111" s="18" cm="1">
        <f t="array" ref="M111">_xlfn.IFS($G111="",0, AND(NOT(ISNUMBER($G111)),LOWER(LEFT($G111,1))&lt;&gt;"n"),"Not a valid distance",OR(LOWER(LEFT($G111,1))="n",$G111&lt;ScoringTable!$O$161),1,RIGHT($E111,1)="B",_xlfn.XLOOKUP($G111,ScoringTable!$O$2:$O$161,ScoringTable!$L$2:$L$161,,-1),TRUE,_xlfn.XLOOKUP($G111,ScoringTable!$U$2:$U$161,ScoringTable!$R$2:$R$161,,-1))</f>
        <v>0</v>
      </c>
    </row>
    <row r="112" spans="1:13" s="7" customFormat="1" ht="16.05" customHeight="1">
      <c r="A112" s="113" t="s">
        <v>99</v>
      </c>
      <c r="B112" s="114" t="str">
        <f>IF(ISNA(VLOOKUP($F112,Declarations!B$6:C$185,2,FALSE)),"",IF(VLOOKUP($F112,Declarations!B$6:C$185,2,FALSE)="","NOT DECLARED",IF(ISNA(_xlfn.TEXTBEFORE(VLOOKUP($F112,Declarations!B$6:C$185,2,FALSE)," ")),VLOOKUP($F112,Declarations!B$6:C$185,2,FALSE),_xlfn.TEXTBEFORE(VLOOKUP($F112,Declarations!B$6:C$185,2,FALSE)," "))))</f>
        <v/>
      </c>
      <c r="C112" s="114" t="str">
        <f>IF(ISNA(VLOOKUP($F112,Declarations!B$6:C$185,2,FALSE)),"",IF(VLOOKUP($F112,Declarations!B$6:C$185,2,FALSE)="","NOT DECLARED",IF(ISNA(_xlfn.TEXTAFTER(VLOOKUP($F112,Declarations!B$6:C$185,2,FALSE)," ")),VLOOKUP($F112,Declarations!B$6:C$185,2,FALSE),_xlfn.TEXTAFTER(VLOOKUP($F112,Declarations!B$6:C$185,2,FALSE)," "))))</f>
        <v/>
      </c>
      <c r="D112" s="114" t="str">
        <f>IF(ISNA(VLOOKUP($F112,Declarations!$B$6:$F$185,5,FALSE)),"",IF(VLOOKUP($F112,Declarations!$B$6:$F$185,5,FALSE)="","NOT DECLARED",VLOOKUP($F112,Declarations!$B$6:$F$185,5,FALSE)))</f>
        <v/>
      </c>
      <c r="E112" s="112" t="str">
        <f>IF(ISNA(VLOOKUP($F112,Declarations!$B$6:$D$185,3,FALSE)),"",IF(VLOOKUP($F112,Declarations!$B$6:$D$185,3,FALSE)="","NOT DECLARED",VLOOKUP($F112,Declarations!$B$6:$D$185,3,FALSE)&amp;LEFT(VLOOKUP($F112,Declarations!$B$6:$E$185,4,FALSE))))</f>
        <v/>
      </c>
      <c r="F112" s="58"/>
      <c r="G112" s="121"/>
      <c r="H112" s="121"/>
      <c r="I112" s="114" t="str">
        <f>IF(ISNA(VLOOKUP(F112,Declarations!B$6:C$185,2,FALSE)),"",IF(VLOOKUP(F112,Declarations!B$6:C$185,2,FALSE)="","NOT DECLARED",VLOOKUP(F112,Declarations!B$6:C$185,2,FALSE)))</f>
        <v/>
      </c>
      <c r="J112" s="112">
        <f>IF(LOWER(LEFT(G112,1))="n",1,VLOOKUP(G112,ScoringTable!D$2:I$95,6))</f>
        <v>0</v>
      </c>
      <c r="K112" s="112" t="str">
        <f>IF(OR(E112="",G112=""),"",IF(RIGHT(E112,1)="G",_xlfn.XLOOKUP(G112,Data!$D$14:$L$14,Data!$D$9:$L$9,"",-1,1),_xlfn.XLOOKUP(G112,Data!$D$7:$L$7,Data!$D$2:$L$2,"",-1,1)))</f>
        <v/>
      </c>
      <c r="L112" s="160" t="str" cm="1">
        <f t="array" ref="L112">IFERROR(_xlfn.IFNA(
                      _xlfn.IFS(
                      G112="", "",
                      AND(E112="U12B",G112&gt;=Data!$M$7), "U12 Boys record",
                      AND(E112="U12G",G112&gt;=Data!$M$14), "U12 Girls record"
                       ),""), "")</f>
        <v/>
      </c>
      <c r="M112" s="18" cm="1">
        <f t="array" ref="M112">_xlfn.IFS($G112="",0, AND(NOT(ISNUMBER($G112)),LOWER(LEFT($G112,1))&lt;&gt;"n"),"Not a valid distance",OR(LOWER(LEFT($G112,1))="n",$G112&lt;ScoringTable!$O$161),1,RIGHT($E112,1)="B",_xlfn.XLOOKUP($G112,ScoringTable!$O$2:$O$161,ScoringTable!$L$2:$L$161,,-1),TRUE,_xlfn.XLOOKUP($G112,ScoringTable!$U$2:$U$161,ScoringTable!$R$2:$R$161,,-1))</f>
        <v>0</v>
      </c>
    </row>
    <row r="113" spans="1:13" s="7" customFormat="1" ht="16.05" customHeight="1">
      <c r="A113" s="113" t="s">
        <v>99</v>
      </c>
      <c r="B113" s="114" t="str">
        <f>IF(ISNA(VLOOKUP($F113,Declarations!B$6:C$185,2,FALSE)),"",IF(VLOOKUP($F113,Declarations!B$6:C$185,2,FALSE)="","NOT DECLARED",IF(ISNA(_xlfn.TEXTBEFORE(VLOOKUP($F113,Declarations!B$6:C$185,2,FALSE)," ")),VLOOKUP($F113,Declarations!B$6:C$185,2,FALSE),_xlfn.TEXTBEFORE(VLOOKUP($F113,Declarations!B$6:C$185,2,FALSE)," "))))</f>
        <v/>
      </c>
      <c r="C113" s="114" t="str">
        <f>IF(ISNA(VLOOKUP($F113,Declarations!B$6:C$185,2,FALSE)),"",IF(VLOOKUP($F113,Declarations!B$6:C$185,2,FALSE)="","NOT DECLARED",IF(ISNA(_xlfn.TEXTAFTER(VLOOKUP($F113,Declarations!B$6:C$185,2,FALSE)," ")),VLOOKUP($F113,Declarations!B$6:C$185,2,FALSE),_xlfn.TEXTAFTER(VLOOKUP($F113,Declarations!B$6:C$185,2,FALSE)," "))))</f>
        <v/>
      </c>
      <c r="D113" s="114" t="str">
        <f>IF(ISNA(VLOOKUP($F113,Declarations!$B$6:$F$185,5,FALSE)),"",IF(VLOOKUP($F113,Declarations!$B$6:$F$185,5,FALSE)="","NOT DECLARED",VLOOKUP($F113,Declarations!$B$6:$F$185,5,FALSE)))</f>
        <v/>
      </c>
      <c r="E113" s="112" t="str">
        <f>IF(ISNA(VLOOKUP($F113,Declarations!$B$6:$D$185,3,FALSE)),"",IF(VLOOKUP($F113,Declarations!$B$6:$D$185,3,FALSE)="","NOT DECLARED",VLOOKUP($F113,Declarations!$B$6:$D$185,3,FALSE)&amp;LEFT(VLOOKUP($F113,Declarations!$B$6:$E$185,4,FALSE))))</f>
        <v/>
      </c>
      <c r="F113" s="58"/>
      <c r="G113" s="121"/>
      <c r="H113" s="121"/>
      <c r="I113" s="114" t="str">
        <f>IF(ISNA(VLOOKUP(F113,Declarations!B$6:C$185,2,FALSE)),"",IF(VLOOKUP(F113,Declarations!B$6:C$185,2,FALSE)="","NOT DECLARED",VLOOKUP(F113,Declarations!B$6:C$185,2,FALSE)))</f>
        <v/>
      </c>
      <c r="J113" s="112">
        <f>IF(LOWER(LEFT(G113,1))="n",1,VLOOKUP(G113,ScoringTable!D$2:I$95,6))</f>
        <v>0</v>
      </c>
      <c r="K113" s="112" t="str">
        <f>IF(OR(E113="",G113=""),"",IF(RIGHT(E113,1)="G",_xlfn.XLOOKUP(G113,Data!$D$14:$L$14,Data!$D$9:$L$9,"",-1,1),_xlfn.XLOOKUP(G113,Data!$D$7:$L$7,Data!$D$2:$L$2,"",-1,1)))</f>
        <v/>
      </c>
      <c r="L113" s="160" t="str" cm="1">
        <f t="array" ref="L113">IFERROR(_xlfn.IFNA(
                      _xlfn.IFS(
                      G113="", "",
                      AND(E113="U12B",G113&gt;=Data!$M$7), "U12 Boys record",
                      AND(E113="U12G",G113&gt;=Data!$M$14), "U12 Girls record"
                       ),""), "")</f>
        <v/>
      </c>
      <c r="M113" s="18" cm="1">
        <f t="array" ref="M113">_xlfn.IFS($G113="",0, AND(NOT(ISNUMBER($G113)),LOWER(LEFT($G113,1))&lt;&gt;"n"),"Not a valid distance",OR(LOWER(LEFT($G113,1))="n",$G113&lt;ScoringTable!$O$161),1,RIGHT($E113,1)="B",_xlfn.XLOOKUP($G113,ScoringTable!$O$2:$O$161,ScoringTable!$L$2:$L$161,,-1),TRUE,_xlfn.XLOOKUP($G113,ScoringTable!$U$2:$U$161,ScoringTable!$R$2:$R$161,,-1))</f>
        <v>0</v>
      </c>
    </row>
    <row r="114" spans="1:13" s="7" customFormat="1" ht="16.05" customHeight="1">
      <c r="A114" s="113" t="s">
        <v>99</v>
      </c>
      <c r="B114" s="114" t="str">
        <f>IF(ISNA(VLOOKUP($F114,Declarations!B$6:C$185,2,FALSE)),"",IF(VLOOKUP($F114,Declarations!B$6:C$185,2,FALSE)="","NOT DECLARED",IF(ISNA(_xlfn.TEXTBEFORE(VLOOKUP($F114,Declarations!B$6:C$185,2,FALSE)," ")),VLOOKUP($F114,Declarations!B$6:C$185,2,FALSE),_xlfn.TEXTBEFORE(VLOOKUP($F114,Declarations!B$6:C$185,2,FALSE)," "))))</f>
        <v/>
      </c>
      <c r="C114" s="114" t="str">
        <f>IF(ISNA(VLOOKUP($F114,Declarations!B$6:C$185,2,FALSE)),"",IF(VLOOKUP($F114,Declarations!B$6:C$185,2,FALSE)="","NOT DECLARED",IF(ISNA(_xlfn.TEXTAFTER(VLOOKUP($F114,Declarations!B$6:C$185,2,FALSE)," ")),VLOOKUP($F114,Declarations!B$6:C$185,2,FALSE),_xlfn.TEXTAFTER(VLOOKUP($F114,Declarations!B$6:C$185,2,FALSE)," "))))</f>
        <v/>
      </c>
      <c r="D114" s="114" t="str">
        <f>IF(ISNA(VLOOKUP($F114,Declarations!$B$6:$F$185,5,FALSE)),"",IF(VLOOKUP($F114,Declarations!$B$6:$F$185,5,FALSE)="","NOT DECLARED",VLOOKUP($F114,Declarations!$B$6:$F$185,5,FALSE)))</f>
        <v/>
      </c>
      <c r="E114" s="112" t="str">
        <f>IF(ISNA(VLOOKUP($F114,Declarations!$B$6:$D$185,3,FALSE)),"",IF(VLOOKUP($F114,Declarations!$B$6:$D$185,3,FALSE)="","NOT DECLARED",VLOOKUP($F114,Declarations!$B$6:$D$185,3,FALSE)&amp;LEFT(VLOOKUP($F114,Declarations!$B$6:$E$185,4,FALSE))))</f>
        <v/>
      </c>
      <c r="F114" s="58"/>
      <c r="G114" s="121"/>
      <c r="H114" s="121"/>
      <c r="I114" s="114" t="str">
        <f>IF(ISNA(VLOOKUP(F114,Declarations!B$6:C$185,2,FALSE)),"",IF(VLOOKUP(F114,Declarations!B$6:C$185,2,FALSE)="","NOT DECLARED",VLOOKUP(F114,Declarations!B$6:C$185,2,FALSE)))</f>
        <v/>
      </c>
      <c r="J114" s="112">
        <f>IF(LOWER(LEFT(G114,1))="n",1,VLOOKUP(G114,ScoringTable!D$2:I$95,6))</f>
        <v>0</v>
      </c>
      <c r="K114" s="112" t="str">
        <f>IF(OR(E114="",G114=""),"",IF(RIGHT(E114,1)="G",_xlfn.XLOOKUP(G114,Data!$D$14:$L$14,Data!$D$9:$L$9,"",-1,1),_xlfn.XLOOKUP(G114,Data!$D$7:$L$7,Data!$D$2:$L$2,"",-1,1)))</f>
        <v/>
      </c>
      <c r="L114" s="160" t="str" cm="1">
        <f t="array" ref="L114">IFERROR(_xlfn.IFNA(
                      _xlfn.IFS(
                      G114="", "",
                      AND(E114="U12B",G114&gt;=Data!$M$7), "U12 Boys record",
                      AND(E114="U12G",G114&gt;=Data!$M$14), "U12 Girls record"
                       ),""), "")</f>
        <v/>
      </c>
      <c r="M114" s="18" cm="1">
        <f t="array" ref="M114">_xlfn.IFS($G114="",0, AND(NOT(ISNUMBER($G114)),LOWER(LEFT($G114,1))&lt;&gt;"n"),"Not a valid distance",OR(LOWER(LEFT($G114,1))="n",$G114&lt;ScoringTable!$O$161),1,RIGHT($E114,1)="B",_xlfn.XLOOKUP($G114,ScoringTable!$O$2:$O$161,ScoringTable!$L$2:$L$161,,-1),TRUE,_xlfn.XLOOKUP($G114,ScoringTable!$U$2:$U$161,ScoringTable!$R$2:$R$161,,-1))</f>
        <v>0</v>
      </c>
    </row>
    <row r="115" spans="1:13" s="7" customFormat="1" ht="16.05" customHeight="1">
      <c r="A115" s="113" t="s">
        <v>99</v>
      </c>
      <c r="B115" s="114" t="str">
        <f>IF(ISNA(VLOOKUP($F115,Declarations!B$6:C$185,2,FALSE)),"",IF(VLOOKUP($F115,Declarations!B$6:C$185,2,FALSE)="","NOT DECLARED",IF(ISNA(_xlfn.TEXTBEFORE(VLOOKUP($F115,Declarations!B$6:C$185,2,FALSE)," ")),VLOOKUP($F115,Declarations!B$6:C$185,2,FALSE),_xlfn.TEXTBEFORE(VLOOKUP($F115,Declarations!B$6:C$185,2,FALSE)," "))))</f>
        <v/>
      </c>
      <c r="C115" s="114" t="str">
        <f>IF(ISNA(VLOOKUP($F115,Declarations!B$6:C$185,2,FALSE)),"",IF(VLOOKUP($F115,Declarations!B$6:C$185,2,FALSE)="","NOT DECLARED",IF(ISNA(_xlfn.TEXTAFTER(VLOOKUP($F115,Declarations!B$6:C$185,2,FALSE)," ")),VLOOKUP($F115,Declarations!B$6:C$185,2,FALSE),_xlfn.TEXTAFTER(VLOOKUP($F115,Declarations!B$6:C$185,2,FALSE)," "))))</f>
        <v/>
      </c>
      <c r="D115" s="114" t="str">
        <f>IF(ISNA(VLOOKUP($F115,Declarations!$B$6:$F$185,5,FALSE)),"",IF(VLOOKUP($F115,Declarations!$B$6:$F$185,5,FALSE)="","NOT DECLARED",VLOOKUP($F115,Declarations!$B$6:$F$185,5,FALSE)))</f>
        <v/>
      </c>
      <c r="E115" s="112" t="str">
        <f>IF(ISNA(VLOOKUP($F115,Declarations!$B$6:$D$185,3,FALSE)),"",IF(VLOOKUP($F115,Declarations!$B$6:$D$185,3,FALSE)="","NOT DECLARED",VLOOKUP($F115,Declarations!$B$6:$D$185,3,FALSE)&amp;LEFT(VLOOKUP($F115,Declarations!$B$6:$E$185,4,FALSE))))</f>
        <v/>
      </c>
      <c r="F115" s="58"/>
      <c r="G115" s="121"/>
      <c r="H115" s="121"/>
      <c r="I115" s="114" t="str">
        <f>IF(ISNA(VLOOKUP(F115,Declarations!B$6:C$185,2,FALSE)),"",IF(VLOOKUP(F115,Declarations!B$6:C$185,2,FALSE)="","NOT DECLARED",VLOOKUP(F115,Declarations!B$6:C$185,2,FALSE)))</f>
        <v/>
      </c>
      <c r="J115" s="112">
        <f>IF(LOWER(LEFT(G115,1))="n",1,VLOOKUP(G115,ScoringTable!D$2:I$95,6))</f>
        <v>0</v>
      </c>
      <c r="K115" s="112" t="str">
        <f>IF(OR(E115="",G115=""),"",IF(RIGHT(E115,1)="G",_xlfn.XLOOKUP(G115,Data!$D$14:$L$14,Data!$D$9:$L$9,"",-1,1),_xlfn.XLOOKUP(G115,Data!$D$7:$L$7,Data!$D$2:$L$2,"",-1,1)))</f>
        <v/>
      </c>
      <c r="L115" s="160" t="str" cm="1">
        <f t="array" ref="L115">IFERROR(_xlfn.IFNA(
                      _xlfn.IFS(
                      G115="", "",
                      AND(E115="U12B",G115&gt;=Data!$M$7), "U12 Boys record",
                      AND(E115="U12G",G115&gt;=Data!$M$14), "U12 Girls record"
                       ),""), "")</f>
        <v/>
      </c>
      <c r="M115" s="18" cm="1">
        <f t="array" ref="M115">_xlfn.IFS($G115="",0, AND(NOT(ISNUMBER($G115)),LOWER(LEFT($G115,1))&lt;&gt;"n"),"Not a valid distance",OR(LOWER(LEFT($G115,1))="n",$G115&lt;ScoringTable!$O$161),1,RIGHT($E115,1)="B",_xlfn.XLOOKUP($G115,ScoringTable!$O$2:$O$161,ScoringTable!$L$2:$L$161,,-1),TRUE,_xlfn.XLOOKUP($G115,ScoringTable!$U$2:$U$161,ScoringTable!$R$2:$R$161,,-1))</f>
        <v>0</v>
      </c>
    </row>
    <row r="116" spans="1:13" s="7" customFormat="1" ht="16.05" customHeight="1">
      <c r="A116" s="113" t="s">
        <v>99</v>
      </c>
      <c r="B116" s="114" t="str">
        <f>IF(ISNA(VLOOKUP($F116,Declarations!B$6:C$185,2,FALSE)),"",IF(VLOOKUP($F116,Declarations!B$6:C$185,2,FALSE)="","NOT DECLARED",IF(ISNA(_xlfn.TEXTBEFORE(VLOOKUP($F116,Declarations!B$6:C$185,2,FALSE)," ")),VLOOKUP($F116,Declarations!B$6:C$185,2,FALSE),_xlfn.TEXTBEFORE(VLOOKUP($F116,Declarations!B$6:C$185,2,FALSE)," "))))</f>
        <v/>
      </c>
      <c r="C116" s="114" t="str">
        <f>IF(ISNA(VLOOKUP($F116,Declarations!B$6:C$185,2,FALSE)),"",IF(VLOOKUP($F116,Declarations!B$6:C$185,2,FALSE)="","NOT DECLARED",IF(ISNA(_xlfn.TEXTAFTER(VLOOKUP($F116,Declarations!B$6:C$185,2,FALSE)," ")),VLOOKUP($F116,Declarations!B$6:C$185,2,FALSE),_xlfn.TEXTAFTER(VLOOKUP($F116,Declarations!B$6:C$185,2,FALSE)," "))))</f>
        <v/>
      </c>
      <c r="D116" s="114" t="str">
        <f>IF(ISNA(VLOOKUP($F116,Declarations!$B$6:$F$185,5,FALSE)),"",IF(VLOOKUP($F116,Declarations!$B$6:$F$185,5,FALSE)="","NOT DECLARED",VLOOKUP($F116,Declarations!$B$6:$F$185,5,FALSE)))</f>
        <v/>
      </c>
      <c r="E116" s="112" t="str">
        <f>IF(ISNA(VLOOKUP($F116,Declarations!$B$6:$D$185,3,FALSE)),"",IF(VLOOKUP($F116,Declarations!$B$6:$D$185,3,FALSE)="","NOT DECLARED",VLOOKUP($F116,Declarations!$B$6:$D$185,3,FALSE)&amp;LEFT(VLOOKUP($F116,Declarations!$B$6:$E$185,4,FALSE))))</f>
        <v/>
      </c>
      <c r="F116" s="58"/>
      <c r="G116" s="121"/>
      <c r="H116" s="121"/>
      <c r="I116" s="114" t="str">
        <f>IF(ISNA(VLOOKUP(F116,Declarations!B$6:C$185,2,FALSE)),"",IF(VLOOKUP(F116,Declarations!B$6:C$185,2,FALSE)="","NOT DECLARED",VLOOKUP(F116,Declarations!B$6:C$185,2,FALSE)))</f>
        <v/>
      </c>
      <c r="J116" s="112">
        <f>IF(LOWER(LEFT(G116,1))="n",1,VLOOKUP(G116,ScoringTable!D$2:I$95,6))</f>
        <v>0</v>
      </c>
      <c r="K116" s="112" t="str">
        <f>IF(OR(E116="",G116=""),"",IF(RIGHT(E116,1)="G",_xlfn.XLOOKUP(G116,Data!$D$14:$L$14,Data!$D$9:$L$9,"",-1,1),_xlfn.XLOOKUP(G116,Data!$D$7:$L$7,Data!$D$2:$L$2,"",-1,1)))</f>
        <v/>
      </c>
      <c r="L116" s="160" t="str" cm="1">
        <f t="array" ref="L116">IFERROR(_xlfn.IFNA(
                      _xlfn.IFS(
                      G116="", "",
                      AND(E116="U12B",G116&gt;=Data!$M$7), "U12 Boys record",
                      AND(E116="U12G",G116&gt;=Data!$M$14), "U12 Girls record"
                       ),""), "")</f>
        <v/>
      </c>
      <c r="M116" s="18" cm="1">
        <f t="array" ref="M116">_xlfn.IFS($G116="",0, AND(NOT(ISNUMBER($G116)),LOWER(LEFT($G116,1))&lt;&gt;"n"),"Not a valid distance",OR(LOWER(LEFT($G116,1))="n",$G116&lt;ScoringTable!$O$161),1,RIGHT($E116,1)="B",_xlfn.XLOOKUP($G116,ScoringTable!$O$2:$O$161,ScoringTable!$L$2:$L$161,,-1),TRUE,_xlfn.XLOOKUP($G116,ScoringTable!$U$2:$U$161,ScoringTable!$R$2:$R$161,,-1))</f>
        <v>0</v>
      </c>
    </row>
    <row r="117" spans="1:13" s="7" customFormat="1" ht="16.05" customHeight="1">
      <c r="A117" s="113" t="s">
        <v>99</v>
      </c>
      <c r="B117" s="114" t="str">
        <f>IF(ISNA(VLOOKUP($F117,Declarations!B$6:C$185,2,FALSE)),"",IF(VLOOKUP($F117,Declarations!B$6:C$185,2,FALSE)="","NOT DECLARED",IF(ISNA(_xlfn.TEXTBEFORE(VLOOKUP($F117,Declarations!B$6:C$185,2,FALSE)," ")),VLOOKUP($F117,Declarations!B$6:C$185,2,FALSE),_xlfn.TEXTBEFORE(VLOOKUP($F117,Declarations!B$6:C$185,2,FALSE)," "))))</f>
        <v/>
      </c>
      <c r="C117" s="114" t="str">
        <f>IF(ISNA(VLOOKUP($F117,Declarations!B$6:C$185,2,FALSE)),"",IF(VLOOKUP($F117,Declarations!B$6:C$185,2,FALSE)="","NOT DECLARED",IF(ISNA(_xlfn.TEXTAFTER(VLOOKUP($F117,Declarations!B$6:C$185,2,FALSE)," ")),VLOOKUP($F117,Declarations!B$6:C$185,2,FALSE),_xlfn.TEXTAFTER(VLOOKUP($F117,Declarations!B$6:C$185,2,FALSE)," "))))</f>
        <v/>
      </c>
      <c r="D117" s="114" t="str">
        <f>IF(ISNA(VLOOKUP($F117,Declarations!$B$6:$F$185,5,FALSE)),"",IF(VLOOKUP($F117,Declarations!$B$6:$F$185,5,FALSE)="","NOT DECLARED",VLOOKUP($F117,Declarations!$B$6:$F$185,5,FALSE)))</f>
        <v/>
      </c>
      <c r="E117" s="112" t="str">
        <f>IF(ISNA(VLOOKUP($F117,Declarations!$B$6:$D$185,3,FALSE)),"",IF(VLOOKUP($F117,Declarations!$B$6:$D$185,3,FALSE)="","NOT DECLARED",VLOOKUP($F117,Declarations!$B$6:$D$185,3,FALSE)&amp;LEFT(VLOOKUP($F117,Declarations!$B$6:$E$185,4,FALSE))))</f>
        <v/>
      </c>
      <c r="F117" s="58"/>
      <c r="G117" s="121"/>
      <c r="H117" s="121"/>
      <c r="I117" s="114" t="str">
        <f>IF(ISNA(VLOOKUP(F117,Declarations!B$6:C$185,2,FALSE)),"",IF(VLOOKUP(F117,Declarations!B$6:C$185,2,FALSE)="","NOT DECLARED",VLOOKUP(F117,Declarations!B$6:C$185,2,FALSE)))</f>
        <v/>
      </c>
      <c r="J117" s="112">
        <f>IF(LOWER(LEFT(G117,1))="n",1,VLOOKUP(G117,ScoringTable!D$2:I$95,6))</f>
        <v>0</v>
      </c>
      <c r="K117" s="112" t="str">
        <f>IF(OR(E117="",G117=""),"",IF(RIGHT(E117,1)="G",_xlfn.XLOOKUP(G117,Data!$D$14:$L$14,Data!$D$9:$L$9,"",-1,1),_xlfn.XLOOKUP(G117,Data!$D$7:$L$7,Data!$D$2:$L$2,"",-1,1)))</f>
        <v/>
      </c>
      <c r="L117" s="160" t="str" cm="1">
        <f t="array" ref="L117">IFERROR(_xlfn.IFNA(
                      _xlfn.IFS(
                      G117="", "",
                      AND(E117="U12B",G117&gt;=Data!$M$7), "U12 Boys record",
                      AND(E117="U12G",G117&gt;=Data!$M$14), "U12 Girls record"
                       ),""), "")</f>
        <v/>
      </c>
      <c r="M117" s="18" cm="1">
        <f t="array" ref="M117">_xlfn.IFS($G117="",0, AND(NOT(ISNUMBER($G117)),LOWER(LEFT($G117,1))&lt;&gt;"n"),"Not a valid distance",OR(LOWER(LEFT($G117,1))="n",$G117&lt;ScoringTable!$O$161),1,RIGHT($E117,1)="B",_xlfn.XLOOKUP($G117,ScoringTable!$O$2:$O$161,ScoringTable!$L$2:$L$161,,-1),TRUE,_xlfn.XLOOKUP($G117,ScoringTable!$U$2:$U$161,ScoringTable!$R$2:$R$161,,-1))</f>
        <v>0</v>
      </c>
    </row>
    <row r="118" spans="1:13" s="7" customFormat="1" ht="16.05" customHeight="1">
      <c r="A118" s="113" t="s">
        <v>99</v>
      </c>
      <c r="B118" s="114" t="str">
        <f>IF(ISNA(VLOOKUP($F118,Declarations!B$6:C$185,2,FALSE)),"",IF(VLOOKUP($F118,Declarations!B$6:C$185,2,FALSE)="","NOT DECLARED",IF(ISNA(_xlfn.TEXTBEFORE(VLOOKUP($F118,Declarations!B$6:C$185,2,FALSE)," ")),VLOOKUP($F118,Declarations!B$6:C$185,2,FALSE),_xlfn.TEXTBEFORE(VLOOKUP($F118,Declarations!B$6:C$185,2,FALSE)," "))))</f>
        <v/>
      </c>
      <c r="C118" s="114" t="str">
        <f>IF(ISNA(VLOOKUP($F118,Declarations!B$6:C$185,2,FALSE)),"",IF(VLOOKUP($F118,Declarations!B$6:C$185,2,FALSE)="","NOT DECLARED",IF(ISNA(_xlfn.TEXTAFTER(VLOOKUP($F118,Declarations!B$6:C$185,2,FALSE)," ")),VLOOKUP($F118,Declarations!B$6:C$185,2,FALSE),_xlfn.TEXTAFTER(VLOOKUP($F118,Declarations!B$6:C$185,2,FALSE)," "))))</f>
        <v/>
      </c>
      <c r="D118" s="114" t="str">
        <f>IF(ISNA(VLOOKUP($F118,Declarations!$B$6:$F$185,5,FALSE)),"",IF(VLOOKUP($F118,Declarations!$B$6:$F$185,5,FALSE)="","NOT DECLARED",VLOOKUP($F118,Declarations!$B$6:$F$185,5,FALSE)))</f>
        <v/>
      </c>
      <c r="E118" s="112" t="str">
        <f>IF(ISNA(VLOOKUP($F118,Declarations!$B$6:$D$185,3,FALSE)),"",IF(VLOOKUP($F118,Declarations!$B$6:$D$185,3,FALSE)="","NOT DECLARED",VLOOKUP($F118,Declarations!$B$6:$D$185,3,FALSE)&amp;LEFT(VLOOKUP($F118,Declarations!$B$6:$E$185,4,FALSE))))</f>
        <v/>
      </c>
      <c r="F118" s="58"/>
      <c r="G118" s="121"/>
      <c r="H118" s="121"/>
      <c r="I118" s="114" t="str">
        <f>IF(ISNA(VLOOKUP(F118,Declarations!B$6:C$185,2,FALSE)),"",IF(VLOOKUP(F118,Declarations!B$6:C$185,2,FALSE)="","NOT DECLARED",VLOOKUP(F118,Declarations!B$6:C$185,2,FALSE)))</f>
        <v/>
      </c>
      <c r="J118" s="112">
        <f>IF(LOWER(LEFT(G118,1))="n",1,VLOOKUP(G118,ScoringTable!D$2:I$95,6))</f>
        <v>0</v>
      </c>
      <c r="K118" s="112" t="str">
        <f>IF(OR(E118="",G118=""),"",IF(RIGHT(E118,1)="G",_xlfn.XLOOKUP(G118,Data!$D$14:$L$14,Data!$D$9:$L$9,"",-1,1),_xlfn.XLOOKUP(G118,Data!$D$7:$L$7,Data!$D$2:$L$2,"",-1,1)))</f>
        <v/>
      </c>
      <c r="L118" s="160" t="str" cm="1">
        <f t="array" ref="L118">IFERROR(_xlfn.IFNA(
                      _xlfn.IFS(
                      G118="", "",
                      AND(E118="U12B",G118&gt;=Data!$M$7), "U12 Boys record",
                      AND(E118="U12G",G118&gt;=Data!$M$14), "U12 Girls record"
                       ),""), "")</f>
        <v/>
      </c>
      <c r="M118" s="18" cm="1">
        <f t="array" ref="M118">_xlfn.IFS($G118="",0, AND(NOT(ISNUMBER($G118)),LOWER(LEFT($G118,1))&lt;&gt;"n"),"Not a valid distance",OR(LOWER(LEFT($G118,1))="n",$G118&lt;ScoringTable!$O$161),1,RIGHT($E118,1)="B",_xlfn.XLOOKUP($G118,ScoringTable!$O$2:$O$161,ScoringTable!$L$2:$L$161,,-1),TRUE,_xlfn.XLOOKUP($G118,ScoringTable!$U$2:$U$161,ScoringTable!$R$2:$R$161,,-1))</f>
        <v>0</v>
      </c>
    </row>
    <row r="119" spans="1:13" s="7" customFormat="1" ht="16.05" customHeight="1">
      <c r="A119" s="113" t="s">
        <v>99</v>
      </c>
      <c r="B119" s="114" t="str">
        <f>IF(ISNA(VLOOKUP($F119,Declarations!B$6:C$185,2,FALSE)),"",IF(VLOOKUP($F119,Declarations!B$6:C$185,2,FALSE)="","NOT DECLARED",IF(ISNA(_xlfn.TEXTBEFORE(VLOOKUP($F119,Declarations!B$6:C$185,2,FALSE)," ")),VLOOKUP($F119,Declarations!B$6:C$185,2,FALSE),_xlfn.TEXTBEFORE(VLOOKUP($F119,Declarations!B$6:C$185,2,FALSE)," "))))</f>
        <v/>
      </c>
      <c r="C119" s="114" t="str">
        <f>IF(ISNA(VLOOKUP($F119,Declarations!B$6:C$185,2,FALSE)),"",IF(VLOOKUP($F119,Declarations!B$6:C$185,2,FALSE)="","NOT DECLARED",IF(ISNA(_xlfn.TEXTAFTER(VLOOKUP($F119,Declarations!B$6:C$185,2,FALSE)," ")),VLOOKUP($F119,Declarations!B$6:C$185,2,FALSE),_xlfn.TEXTAFTER(VLOOKUP($F119,Declarations!B$6:C$185,2,FALSE)," "))))</f>
        <v/>
      </c>
      <c r="D119" s="114" t="str">
        <f>IF(ISNA(VLOOKUP($F119,Declarations!$B$6:$F$185,5,FALSE)),"",IF(VLOOKUP($F119,Declarations!$B$6:$F$185,5,FALSE)="","NOT DECLARED",VLOOKUP($F119,Declarations!$B$6:$F$185,5,FALSE)))</f>
        <v/>
      </c>
      <c r="E119" s="112" t="str">
        <f>IF(ISNA(VLOOKUP($F119,Declarations!$B$6:$D$185,3,FALSE)),"",IF(VLOOKUP($F119,Declarations!$B$6:$D$185,3,FALSE)="","NOT DECLARED",VLOOKUP($F119,Declarations!$B$6:$D$185,3,FALSE)&amp;LEFT(VLOOKUP($F119,Declarations!$B$6:$E$185,4,FALSE))))</f>
        <v/>
      </c>
      <c r="F119" s="58"/>
      <c r="G119" s="121"/>
      <c r="H119" s="121"/>
      <c r="I119" s="114" t="str">
        <f>IF(ISNA(VLOOKUP(F119,Declarations!B$6:C$185,2,FALSE)),"",IF(VLOOKUP(F119,Declarations!B$6:C$185,2,FALSE)="","NOT DECLARED",VLOOKUP(F119,Declarations!B$6:C$185,2,FALSE)))</f>
        <v/>
      </c>
      <c r="J119" s="112">
        <f>IF(LOWER(LEFT(G119,1))="n",1,VLOOKUP(G119,ScoringTable!D$2:I$95,6))</f>
        <v>0</v>
      </c>
      <c r="K119" s="112" t="str">
        <f>IF(OR(E119="",G119=""),"",IF(RIGHT(E119,1)="G",_xlfn.XLOOKUP(G119,Data!$D$14:$L$14,Data!$D$9:$L$9,"",-1,1),_xlfn.XLOOKUP(G119,Data!$D$7:$L$7,Data!$D$2:$L$2,"",-1,1)))</f>
        <v/>
      </c>
      <c r="L119" s="160" t="str" cm="1">
        <f t="array" ref="L119">IFERROR(_xlfn.IFNA(
                      _xlfn.IFS(
                      G119="", "",
                      AND(E119="U12B",G119&gt;=Data!$M$7), "U12 Boys record",
                      AND(E119="U12G",G119&gt;=Data!$M$14), "U12 Girls record"
                       ),""), "")</f>
        <v/>
      </c>
      <c r="M119" s="18" cm="1">
        <f t="array" ref="M119">_xlfn.IFS($G119="",0, AND(NOT(ISNUMBER($G119)),LOWER(LEFT($G119,1))&lt;&gt;"n"),"Not a valid distance",OR(LOWER(LEFT($G119,1))="n",$G119&lt;ScoringTable!$O$161),1,RIGHT($E119,1)="B",_xlfn.XLOOKUP($G119,ScoringTable!$O$2:$O$161,ScoringTable!$L$2:$L$161,,-1),TRUE,_xlfn.XLOOKUP($G119,ScoringTable!$U$2:$U$161,ScoringTable!$R$2:$R$161,,-1))</f>
        <v>0</v>
      </c>
    </row>
    <row r="120" spans="1:13" s="7" customFormat="1" ht="16.05" customHeight="1">
      <c r="A120" s="113" t="s">
        <v>99</v>
      </c>
      <c r="B120" s="114" t="str">
        <f>IF(ISNA(VLOOKUP($F120,Declarations!B$6:C$185,2,FALSE)),"",IF(VLOOKUP($F120,Declarations!B$6:C$185,2,FALSE)="","NOT DECLARED",IF(ISNA(_xlfn.TEXTBEFORE(VLOOKUP($F120,Declarations!B$6:C$185,2,FALSE)," ")),VLOOKUP($F120,Declarations!B$6:C$185,2,FALSE),_xlfn.TEXTBEFORE(VLOOKUP($F120,Declarations!B$6:C$185,2,FALSE)," "))))</f>
        <v/>
      </c>
      <c r="C120" s="114" t="str">
        <f>IF(ISNA(VLOOKUP($F120,Declarations!B$6:C$185,2,FALSE)),"",IF(VLOOKUP($F120,Declarations!B$6:C$185,2,FALSE)="","NOT DECLARED",IF(ISNA(_xlfn.TEXTAFTER(VLOOKUP($F120,Declarations!B$6:C$185,2,FALSE)," ")),VLOOKUP($F120,Declarations!B$6:C$185,2,FALSE),_xlfn.TEXTAFTER(VLOOKUP($F120,Declarations!B$6:C$185,2,FALSE)," "))))</f>
        <v/>
      </c>
      <c r="D120" s="114" t="str">
        <f>IF(ISNA(VLOOKUP($F120,Declarations!$B$6:$F$185,5,FALSE)),"",IF(VLOOKUP($F120,Declarations!$B$6:$F$185,5,FALSE)="","NOT DECLARED",VLOOKUP($F120,Declarations!$B$6:$F$185,5,FALSE)))</f>
        <v/>
      </c>
      <c r="E120" s="112" t="str">
        <f>IF(ISNA(VLOOKUP($F120,Declarations!$B$6:$D$185,3,FALSE)),"",IF(VLOOKUP($F120,Declarations!$B$6:$D$185,3,FALSE)="","NOT DECLARED",VLOOKUP($F120,Declarations!$B$6:$D$185,3,FALSE)&amp;LEFT(VLOOKUP($F120,Declarations!$B$6:$E$185,4,FALSE))))</f>
        <v/>
      </c>
      <c r="F120" s="58"/>
      <c r="G120" s="121"/>
      <c r="H120" s="121"/>
      <c r="I120" s="114" t="str">
        <f>IF(ISNA(VLOOKUP(F120,Declarations!B$6:C$185,2,FALSE)),"",IF(VLOOKUP(F120,Declarations!B$6:C$185,2,FALSE)="","NOT DECLARED",VLOOKUP(F120,Declarations!B$6:C$185,2,FALSE)))</f>
        <v/>
      </c>
      <c r="J120" s="112">
        <f>IF(LOWER(LEFT(G120,1))="n",1,VLOOKUP(G120,ScoringTable!D$2:I$95,6))</f>
        <v>0</v>
      </c>
      <c r="K120" s="112" t="str">
        <f>IF(OR(E120="",G120=""),"",IF(RIGHT(E120,1)="G",_xlfn.XLOOKUP(G120,Data!$D$14:$L$14,Data!$D$9:$L$9,"",-1,1),_xlfn.XLOOKUP(G120,Data!$D$7:$L$7,Data!$D$2:$L$2,"",-1,1)))</f>
        <v/>
      </c>
      <c r="L120" s="160" t="str" cm="1">
        <f t="array" ref="L120">IFERROR(_xlfn.IFNA(
                      _xlfn.IFS(
                      G120="", "",
                      AND(E120="U12B",G120&gt;=Data!$M$7), "U12 Boys record",
                      AND(E120="U12G",G120&gt;=Data!$M$14), "U12 Girls record"
                       ),""), "")</f>
        <v/>
      </c>
      <c r="M120" s="18" cm="1">
        <f t="array" ref="M120">_xlfn.IFS($G120="",0, AND(NOT(ISNUMBER($G120)),LOWER(LEFT($G120,1))&lt;&gt;"n"),"Not a valid distance",OR(LOWER(LEFT($G120,1))="n",$G120&lt;ScoringTable!$O$161),1,RIGHT($E120,1)="B",_xlfn.XLOOKUP($G120,ScoringTable!$O$2:$O$161,ScoringTable!$L$2:$L$161,,-1),TRUE,_xlfn.XLOOKUP($G120,ScoringTable!$U$2:$U$161,ScoringTable!$R$2:$R$161,,-1))</f>
        <v>0</v>
      </c>
    </row>
    <row r="121" spans="1:13" s="7" customFormat="1" ht="16.05" customHeight="1">
      <c r="A121" s="113" t="s">
        <v>99</v>
      </c>
      <c r="B121" s="114" t="str">
        <f>IF(ISNA(VLOOKUP($F121,Declarations!B$6:C$185,2,FALSE)),"",IF(VLOOKUP($F121,Declarations!B$6:C$185,2,FALSE)="","NOT DECLARED",IF(ISNA(_xlfn.TEXTBEFORE(VLOOKUP($F121,Declarations!B$6:C$185,2,FALSE)," ")),VLOOKUP($F121,Declarations!B$6:C$185,2,FALSE),_xlfn.TEXTBEFORE(VLOOKUP($F121,Declarations!B$6:C$185,2,FALSE)," "))))</f>
        <v/>
      </c>
      <c r="C121" s="114" t="str">
        <f>IF(ISNA(VLOOKUP($F121,Declarations!B$6:C$185,2,FALSE)),"",IF(VLOOKUP($F121,Declarations!B$6:C$185,2,FALSE)="","NOT DECLARED",IF(ISNA(_xlfn.TEXTAFTER(VLOOKUP($F121,Declarations!B$6:C$185,2,FALSE)," ")),VLOOKUP($F121,Declarations!B$6:C$185,2,FALSE),_xlfn.TEXTAFTER(VLOOKUP($F121,Declarations!B$6:C$185,2,FALSE)," "))))</f>
        <v/>
      </c>
      <c r="D121" s="114" t="str">
        <f>IF(ISNA(VLOOKUP($F121,Declarations!$B$6:$F$185,5,FALSE)),"",IF(VLOOKUP($F121,Declarations!$B$6:$F$185,5,FALSE)="","NOT DECLARED",VLOOKUP($F121,Declarations!$B$6:$F$185,5,FALSE)))</f>
        <v/>
      </c>
      <c r="E121" s="112" t="str">
        <f>IF(ISNA(VLOOKUP($F121,Declarations!$B$6:$D$185,3,FALSE)),"",IF(VLOOKUP($F121,Declarations!$B$6:$D$185,3,FALSE)="","NOT DECLARED",VLOOKUP($F121,Declarations!$B$6:$D$185,3,FALSE)&amp;LEFT(VLOOKUP($F121,Declarations!$B$6:$E$185,4,FALSE))))</f>
        <v/>
      </c>
      <c r="F121" s="58"/>
      <c r="G121" s="121"/>
      <c r="H121" s="121"/>
      <c r="I121" s="114" t="str">
        <f>IF(ISNA(VLOOKUP(F121,Declarations!B$6:C$185,2,FALSE)),"",IF(VLOOKUP(F121,Declarations!B$6:C$185,2,FALSE)="","NOT DECLARED",VLOOKUP(F121,Declarations!B$6:C$185,2,FALSE)))</f>
        <v/>
      </c>
      <c r="J121" s="112">
        <f>IF(LOWER(LEFT(G121,1))="n",1,VLOOKUP(G121,ScoringTable!D$2:I$95,6))</f>
        <v>0</v>
      </c>
      <c r="K121" s="112" t="str">
        <f>IF(OR(E121="",G121=""),"",IF(RIGHT(E121,1)="G",_xlfn.XLOOKUP(G121,Data!$D$14:$L$14,Data!$D$9:$L$9,"",-1,1),_xlfn.XLOOKUP(G121,Data!$D$7:$L$7,Data!$D$2:$L$2,"",-1,1)))</f>
        <v/>
      </c>
      <c r="L121" s="160" t="str" cm="1">
        <f t="array" ref="L121">IFERROR(_xlfn.IFNA(
                      _xlfn.IFS(
                      G121="", "",
                      AND(E121="U12B",G121&gt;=Data!$M$7), "U12 Boys record",
                      AND(E121="U12G",G121&gt;=Data!$M$14), "U12 Girls record"
                       ),""), "")</f>
        <v/>
      </c>
      <c r="M121" s="18" cm="1">
        <f t="array" ref="M121">_xlfn.IFS($G121="",0, AND(NOT(ISNUMBER($G121)),LOWER(LEFT($G121,1))&lt;&gt;"n"),"Not a valid distance",OR(LOWER(LEFT($G121,1))="n",$G121&lt;ScoringTable!$O$161),1,RIGHT($E121,1)="B",_xlfn.XLOOKUP($G121,ScoringTable!$O$2:$O$161,ScoringTable!$L$2:$L$161,,-1),TRUE,_xlfn.XLOOKUP($G121,ScoringTable!$U$2:$U$161,ScoringTable!$R$2:$R$161,,-1))</f>
        <v>0</v>
      </c>
    </row>
    <row r="122" spans="1:13" s="7" customFormat="1" ht="16.05" customHeight="1">
      <c r="A122" s="113" t="s">
        <v>99</v>
      </c>
      <c r="B122" s="114" t="str">
        <f>IF(ISNA(VLOOKUP($F122,Declarations!B$6:C$185,2,FALSE)),"",IF(VLOOKUP($F122,Declarations!B$6:C$185,2,FALSE)="","NOT DECLARED",IF(ISNA(_xlfn.TEXTBEFORE(VLOOKUP($F122,Declarations!B$6:C$185,2,FALSE)," ")),VLOOKUP($F122,Declarations!B$6:C$185,2,FALSE),_xlfn.TEXTBEFORE(VLOOKUP($F122,Declarations!B$6:C$185,2,FALSE)," "))))</f>
        <v/>
      </c>
      <c r="C122" s="114" t="str">
        <f>IF(ISNA(VLOOKUP($F122,Declarations!B$6:C$185,2,FALSE)),"",IF(VLOOKUP($F122,Declarations!B$6:C$185,2,FALSE)="","NOT DECLARED",IF(ISNA(_xlfn.TEXTAFTER(VLOOKUP($F122,Declarations!B$6:C$185,2,FALSE)," ")),VLOOKUP($F122,Declarations!B$6:C$185,2,FALSE),_xlfn.TEXTAFTER(VLOOKUP($F122,Declarations!B$6:C$185,2,FALSE)," "))))</f>
        <v/>
      </c>
      <c r="D122" s="114" t="str">
        <f>IF(ISNA(VLOOKUP($F122,Declarations!$B$6:$F$185,5,FALSE)),"",IF(VLOOKUP($F122,Declarations!$B$6:$F$185,5,FALSE)="","NOT DECLARED",VLOOKUP($F122,Declarations!$B$6:$F$185,5,FALSE)))</f>
        <v/>
      </c>
      <c r="E122" s="112" t="str">
        <f>IF(ISNA(VLOOKUP($F122,Declarations!$B$6:$D$185,3,FALSE)),"",IF(VLOOKUP($F122,Declarations!$B$6:$D$185,3,FALSE)="","NOT DECLARED",VLOOKUP($F122,Declarations!$B$6:$D$185,3,FALSE)&amp;LEFT(VLOOKUP($F122,Declarations!$B$6:$E$185,4,FALSE))))</f>
        <v/>
      </c>
      <c r="F122" s="58"/>
      <c r="G122" s="121"/>
      <c r="H122" s="121"/>
      <c r="I122" s="114" t="str">
        <f>IF(ISNA(VLOOKUP(F122,Declarations!B$6:C$185,2,FALSE)),"",IF(VLOOKUP(F122,Declarations!B$6:C$185,2,FALSE)="","NOT DECLARED",VLOOKUP(F122,Declarations!B$6:C$185,2,FALSE)))</f>
        <v/>
      </c>
      <c r="J122" s="112">
        <f>IF(LOWER(LEFT(G122,1))="n",1,VLOOKUP(G122,ScoringTable!D$2:I$95,6))</f>
        <v>0</v>
      </c>
      <c r="K122" s="112" t="str">
        <f>IF(OR(E122="",G122=""),"",IF(RIGHT(E122,1)="G",_xlfn.XLOOKUP(G122,Data!$D$14:$L$14,Data!$D$9:$L$9,"",-1,1),_xlfn.XLOOKUP(G122,Data!$D$7:$L$7,Data!$D$2:$L$2,"",-1,1)))</f>
        <v/>
      </c>
      <c r="L122" s="160" t="str" cm="1">
        <f t="array" ref="L122">IFERROR(_xlfn.IFNA(
                      _xlfn.IFS(
                      G122="", "",
                      AND(E122="U12B",G122&gt;=Data!$M$7), "U12 Boys record",
                      AND(E122="U12G",G122&gt;=Data!$M$14), "U12 Girls record"
                       ),""), "")</f>
        <v/>
      </c>
      <c r="M122" s="18" cm="1">
        <f t="array" ref="M122">_xlfn.IFS($G122="",0, AND(NOT(ISNUMBER($G122)),LOWER(LEFT($G122,1))&lt;&gt;"n"),"Not a valid distance",OR(LOWER(LEFT($G122,1))="n",$G122&lt;ScoringTable!$O$161),1,RIGHT($E122,1)="B",_xlfn.XLOOKUP($G122,ScoringTable!$O$2:$O$161,ScoringTable!$L$2:$L$161,,-1),TRUE,_xlfn.XLOOKUP($G122,ScoringTable!$U$2:$U$161,ScoringTable!$R$2:$R$161,,-1))</f>
        <v>0</v>
      </c>
    </row>
    <row r="123" spans="1:13" s="7" customFormat="1" ht="16.05" customHeight="1">
      <c r="A123" s="113" t="s">
        <v>99</v>
      </c>
      <c r="B123" s="114" t="str">
        <f>IF(ISNA(VLOOKUP($F123,Declarations!B$6:C$185,2,FALSE)),"",IF(VLOOKUP($F123,Declarations!B$6:C$185,2,FALSE)="","NOT DECLARED",IF(ISNA(_xlfn.TEXTBEFORE(VLOOKUP($F123,Declarations!B$6:C$185,2,FALSE)," ")),VLOOKUP($F123,Declarations!B$6:C$185,2,FALSE),_xlfn.TEXTBEFORE(VLOOKUP($F123,Declarations!B$6:C$185,2,FALSE)," "))))</f>
        <v/>
      </c>
      <c r="C123" s="114" t="str">
        <f>IF(ISNA(VLOOKUP($F123,Declarations!B$6:C$185,2,FALSE)),"",IF(VLOOKUP($F123,Declarations!B$6:C$185,2,FALSE)="","NOT DECLARED",IF(ISNA(_xlfn.TEXTAFTER(VLOOKUP($F123,Declarations!B$6:C$185,2,FALSE)," ")),VLOOKUP($F123,Declarations!B$6:C$185,2,FALSE),_xlfn.TEXTAFTER(VLOOKUP($F123,Declarations!B$6:C$185,2,FALSE)," "))))</f>
        <v/>
      </c>
      <c r="D123" s="114" t="str">
        <f>IF(ISNA(VLOOKUP($F123,Declarations!$B$6:$F$185,5,FALSE)),"",IF(VLOOKUP($F123,Declarations!$B$6:$F$185,5,FALSE)="","NOT DECLARED",VLOOKUP($F123,Declarations!$B$6:$F$185,5,FALSE)))</f>
        <v/>
      </c>
      <c r="E123" s="112" t="str">
        <f>IF(ISNA(VLOOKUP($F123,Declarations!$B$6:$D$185,3,FALSE)),"",IF(VLOOKUP($F123,Declarations!$B$6:$D$185,3,FALSE)="","NOT DECLARED",VLOOKUP($F123,Declarations!$B$6:$D$185,3,FALSE)&amp;LEFT(VLOOKUP($F123,Declarations!$B$6:$E$185,4,FALSE))))</f>
        <v/>
      </c>
      <c r="F123" s="58"/>
      <c r="G123" s="121"/>
      <c r="H123" s="121"/>
      <c r="I123" s="114" t="str">
        <f>IF(ISNA(VLOOKUP(F123,Declarations!B$6:C$185,2,FALSE)),"",IF(VLOOKUP(F123,Declarations!B$6:C$185,2,FALSE)="","NOT DECLARED",VLOOKUP(F123,Declarations!B$6:C$185,2,FALSE)))</f>
        <v/>
      </c>
      <c r="J123" s="112">
        <f>IF(LOWER(LEFT(G123,1))="n",1,VLOOKUP(G123,ScoringTable!D$2:I$95,6))</f>
        <v>0</v>
      </c>
      <c r="K123" s="112" t="str">
        <f>IF(OR(E123="",G123=""),"",IF(RIGHT(E123,1)="G",_xlfn.XLOOKUP(G123,Data!$D$14:$L$14,Data!$D$9:$L$9,"",-1,1),_xlfn.XLOOKUP(G123,Data!$D$7:$L$7,Data!$D$2:$L$2,"",-1,1)))</f>
        <v/>
      </c>
      <c r="L123" s="160" t="str" cm="1">
        <f t="array" ref="L123">IFERROR(_xlfn.IFNA(
                      _xlfn.IFS(
                      G123="", "",
                      AND(E123="U12B",G123&gt;=Data!$M$7), "U12 Boys record",
                      AND(E123="U12G",G123&gt;=Data!$M$14), "U12 Girls record"
                       ),""), "")</f>
        <v/>
      </c>
      <c r="M123" s="18" cm="1">
        <f t="array" ref="M123">_xlfn.IFS($G123="",0, AND(NOT(ISNUMBER($G123)),LOWER(LEFT($G123,1))&lt;&gt;"n"),"Not a valid distance",OR(LOWER(LEFT($G123,1))="n",$G123&lt;ScoringTable!$O$161),1,RIGHT($E123,1)="B",_xlfn.XLOOKUP($G123,ScoringTable!$O$2:$O$161,ScoringTable!$L$2:$L$161,,-1),TRUE,_xlfn.XLOOKUP($G123,ScoringTable!$U$2:$U$161,ScoringTable!$R$2:$R$161,,-1))</f>
        <v>0</v>
      </c>
    </row>
    <row r="124" spans="1:13" s="7" customFormat="1" ht="16.05" customHeight="1">
      <c r="A124" s="113" t="s">
        <v>99</v>
      </c>
      <c r="B124" s="114" t="str">
        <f>IF(ISNA(VLOOKUP($F124,Declarations!B$6:C$185,2,FALSE)),"",IF(VLOOKUP($F124,Declarations!B$6:C$185,2,FALSE)="","NOT DECLARED",IF(ISNA(_xlfn.TEXTBEFORE(VLOOKUP($F124,Declarations!B$6:C$185,2,FALSE)," ")),VLOOKUP($F124,Declarations!B$6:C$185,2,FALSE),_xlfn.TEXTBEFORE(VLOOKUP($F124,Declarations!B$6:C$185,2,FALSE)," "))))</f>
        <v/>
      </c>
      <c r="C124" s="114" t="str">
        <f>IF(ISNA(VLOOKUP($F124,Declarations!B$6:C$185,2,FALSE)),"",IF(VLOOKUP($F124,Declarations!B$6:C$185,2,FALSE)="","NOT DECLARED",IF(ISNA(_xlfn.TEXTAFTER(VLOOKUP($F124,Declarations!B$6:C$185,2,FALSE)," ")),VLOOKUP($F124,Declarations!B$6:C$185,2,FALSE),_xlfn.TEXTAFTER(VLOOKUP($F124,Declarations!B$6:C$185,2,FALSE)," "))))</f>
        <v/>
      </c>
      <c r="D124" s="114" t="str">
        <f>IF(ISNA(VLOOKUP($F124,Declarations!$B$6:$F$185,5,FALSE)),"",IF(VLOOKUP($F124,Declarations!$B$6:$F$185,5,FALSE)="","NOT DECLARED",VLOOKUP($F124,Declarations!$B$6:$F$185,5,FALSE)))</f>
        <v/>
      </c>
      <c r="E124" s="112" t="str">
        <f>IF(ISNA(VLOOKUP($F124,Declarations!$B$6:$D$185,3,FALSE)),"",IF(VLOOKUP($F124,Declarations!$B$6:$D$185,3,FALSE)="","NOT DECLARED",VLOOKUP($F124,Declarations!$B$6:$D$185,3,FALSE)&amp;LEFT(VLOOKUP($F124,Declarations!$B$6:$E$185,4,FALSE))))</f>
        <v/>
      </c>
      <c r="F124" s="58"/>
      <c r="G124" s="121"/>
      <c r="H124" s="121"/>
      <c r="I124" s="114" t="str">
        <f>IF(ISNA(VLOOKUP(F124,Declarations!B$6:C$185,2,FALSE)),"",IF(VLOOKUP(F124,Declarations!B$6:C$185,2,FALSE)="","NOT DECLARED",VLOOKUP(F124,Declarations!B$6:C$185,2,FALSE)))</f>
        <v/>
      </c>
      <c r="J124" s="112">
        <f>IF(LOWER(LEFT(G124,1))="n",1,VLOOKUP(G124,ScoringTable!D$2:I$95,6))</f>
        <v>0</v>
      </c>
      <c r="K124" s="112" t="str">
        <f>IF(OR(E124="",G124=""),"",IF(RIGHT(E124,1)="G",_xlfn.XLOOKUP(G124,Data!$D$14:$L$14,Data!$D$9:$L$9,"",-1,1),_xlfn.XLOOKUP(G124,Data!$D$7:$L$7,Data!$D$2:$L$2,"",-1,1)))</f>
        <v/>
      </c>
      <c r="L124" s="160" t="str" cm="1">
        <f t="array" ref="L124">IFERROR(_xlfn.IFNA(
                      _xlfn.IFS(
                      G124="", "",
                      AND(E124="U12B",G124&gt;=Data!$M$7), "U12 Boys record",
                      AND(E124="U12G",G124&gt;=Data!$M$14), "U12 Girls record"
                       ),""), "")</f>
        <v/>
      </c>
      <c r="M124" s="18" cm="1">
        <f t="array" ref="M124">_xlfn.IFS($G124="",0, AND(NOT(ISNUMBER($G124)),LOWER(LEFT($G124,1))&lt;&gt;"n"),"Not a valid distance",OR(LOWER(LEFT($G124,1))="n",$G124&lt;ScoringTable!$O$161),1,RIGHT($E124,1)="B",_xlfn.XLOOKUP($G124,ScoringTable!$O$2:$O$161,ScoringTable!$L$2:$L$161,,-1),TRUE,_xlfn.XLOOKUP($G124,ScoringTable!$U$2:$U$161,ScoringTable!$R$2:$R$161,,-1))</f>
        <v>0</v>
      </c>
    </row>
    <row r="125" spans="1:13" s="7" customFormat="1" ht="16.05" customHeight="1">
      <c r="A125" s="113" t="s">
        <v>99</v>
      </c>
      <c r="B125" s="114" t="str">
        <f>IF(ISNA(VLOOKUP($F125,Declarations!B$6:C$185,2,FALSE)),"",IF(VLOOKUP($F125,Declarations!B$6:C$185,2,FALSE)="","NOT DECLARED",IF(ISNA(_xlfn.TEXTBEFORE(VLOOKUP($F125,Declarations!B$6:C$185,2,FALSE)," ")),VLOOKUP($F125,Declarations!B$6:C$185,2,FALSE),_xlfn.TEXTBEFORE(VLOOKUP($F125,Declarations!B$6:C$185,2,FALSE)," "))))</f>
        <v/>
      </c>
      <c r="C125" s="114" t="str">
        <f>IF(ISNA(VLOOKUP($F125,Declarations!B$6:C$185,2,FALSE)),"",IF(VLOOKUP($F125,Declarations!B$6:C$185,2,FALSE)="","NOT DECLARED",IF(ISNA(_xlfn.TEXTAFTER(VLOOKUP($F125,Declarations!B$6:C$185,2,FALSE)," ")),VLOOKUP($F125,Declarations!B$6:C$185,2,FALSE),_xlfn.TEXTAFTER(VLOOKUP($F125,Declarations!B$6:C$185,2,FALSE)," "))))</f>
        <v/>
      </c>
      <c r="D125" s="114" t="str">
        <f>IF(ISNA(VLOOKUP($F125,Declarations!$B$6:$F$185,5,FALSE)),"",IF(VLOOKUP($F125,Declarations!$B$6:$F$185,5,FALSE)="","NOT DECLARED",VLOOKUP($F125,Declarations!$B$6:$F$185,5,FALSE)))</f>
        <v/>
      </c>
      <c r="E125" s="112" t="str">
        <f>IF(ISNA(VLOOKUP($F125,Declarations!$B$6:$D$185,3,FALSE)),"",IF(VLOOKUP($F125,Declarations!$B$6:$D$185,3,FALSE)="","NOT DECLARED",VLOOKUP($F125,Declarations!$B$6:$D$185,3,FALSE)&amp;LEFT(VLOOKUP($F125,Declarations!$B$6:$E$185,4,FALSE))))</f>
        <v/>
      </c>
      <c r="F125" s="58"/>
      <c r="G125" s="121"/>
      <c r="H125" s="121"/>
      <c r="I125" s="114" t="str">
        <f>IF(ISNA(VLOOKUP(F125,Declarations!B$6:C$185,2,FALSE)),"",IF(VLOOKUP(F125,Declarations!B$6:C$185,2,FALSE)="","NOT DECLARED",VLOOKUP(F125,Declarations!B$6:C$185,2,FALSE)))</f>
        <v/>
      </c>
      <c r="J125" s="112">
        <f>IF(LOWER(LEFT(G125,1))="n",1,VLOOKUP(G125,ScoringTable!D$2:I$95,6))</f>
        <v>0</v>
      </c>
      <c r="K125" s="112" t="str">
        <f>IF(OR(E125="",G125=""),"",IF(RIGHT(E125,1)="G",_xlfn.XLOOKUP(G125,Data!$D$14:$L$14,Data!$D$9:$L$9,"",-1,1),_xlfn.XLOOKUP(G125,Data!$D$7:$L$7,Data!$D$2:$L$2,"",-1,1)))</f>
        <v/>
      </c>
      <c r="L125" s="160" t="str" cm="1">
        <f t="array" ref="L125">IFERROR(_xlfn.IFNA(
                      _xlfn.IFS(
                      G125="", "",
                      AND(E125="U12B",G125&gt;=Data!$M$7), "U12 Boys record",
                      AND(E125="U12G",G125&gt;=Data!$M$14), "U12 Girls record"
                       ),""), "")</f>
        <v/>
      </c>
      <c r="M125" s="18" cm="1">
        <f t="array" ref="M125">_xlfn.IFS($G125="",0, AND(NOT(ISNUMBER($G125)),LOWER(LEFT($G125,1))&lt;&gt;"n"),"Not a valid distance",OR(LOWER(LEFT($G125,1))="n",$G125&lt;ScoringTable!$O$161),1,RIGHT($E125,1)="B",_xlfn.XLOOKUP($G125,ScoringTable!$O$2:$O$161,ScoringTable!$L$2:$L$161,,-1),TRUE,_xlfn.XLOOKUP($G125,ScoringTable!$U$2:$U$161,ScoringTable!$R$2:$R$161,,-1))</f>
        <v>0</v>
      </c>
    </row>
    <row r="126" spans="1:13" s="7" customFormat="1" ht="16.05" customHeight="1">
      <c r="A126" s="113" t="s">
        <v>99</v>
      </c>
      <c r="B126" s="114" t="str">
        <f>IF(ISNA(VLOOKUP($F126,Declarations!B$6:C$185,2,FALSE)),"",IF(VLOOKUP($F126,Declarations!B$6:C$185,2,FALSE)="","NOT DECLARED",IF(ISNA(_xlfn.TEXTBEFORE(VLOOKUP($F126,Declarations!B$6:C$185,2,FALSE)," ")),VLOOKUP($F126,Declarations!B$6:C$185,2,FALSE),_xlfn.TEXTBEFORE(VLOOKUP($F126,Declarations!B$6:C$185,2,FALSE)," "))))</f>
        <v/>
      </c>
      <c r="C126" s="114" t="str">
        <f>IF(ISNA(VLOOKUP($F126,Declarations!B$6:C$185,2,FALSE)),"",IF(VLOOKUP($F126,Declarations!B$6:C$185,2,FALSE)="","NOT DECLARED",IF(ISNA(_xlfn.TEXTAFTER(VLOOKUP($F126,Declarations!B$6:C$185,2,FALSE)," ")),VLOOKUP($F126,Declarations!B$6:C$185,2,FALSE),_xlfn.TEXTAFTER(VLOOKUP($F126,Declarations!B$6:C$185,2,FALSE)," "))))</f>
        <v/>
      </c>
      <c r="D126" s="114" t="str">
        <f>IF(ISNA(VLOOKUP($F126,Declarations!$B$6:$F$185,5,FALSE)),"",IF(VLOOKUP($F126,Declarations!$B$6:$F$185,5,FALSE)="","NOT DECLARED",VLOOKUP($F126,Declarations!$B$6:$F$185,5,FALSE)))</f>
        <v/>
      </c>
      <c r="E126" s="112" t="str">
        <f>IF(ISNA(VLOOKUP($F126,Declarations!$B$6:$D$185,3,FALSE)),"",IF(VLOOKUP($F126,Declarations!$B$6:$D$185,3,FALSE)="","NOT DECLARED",VLOOKUP($F126,Declarations!$B$6:$D$185,3,FALSE)&amp;LEFT(VLOOKUP($F126,Declarations!$B$6:$E$185,4,FALSE))))</f>
        <v/>
      </c>
      <c r="F126" s="58"/>
      <c r="G126" s="121"/>
      <c r="H126" s="121"/>
      <c r="I126" s="114" t="str">
        <f>IF(ISNA(VLOOKUP(F126,Declarations!B$6:C$185,2,FALSE)),"",IF(VLOOKUP(F126,Declarations!B$6:C$185,2,FALSE)="","NOT DECLARED",VLOOKUP(F126,Declarations!B$6:C$185,2,FALSE)))</f>
        <v/>
      </c>
      <c r="J126" s="112">
        <f>IF(LOWER(LEFT(G126,1))="n",1,VLOOKUP(G126,ScoringTable!D$2:I$95,6))</f>
        <v>0</v>
      </c>
      <c r="K126" s="112" t="str">
        <f>IF(OR(E126="",G126=""),"",IF(RIGHT(E126,1)="G",_xlfn.XLOOKUP(G126,Data!$D$14:$L$14,Data!$D$9:$L$9,"",-1,1),_xlfn.XLOOKUP(G126,Data!$D$7:$L$7,Data!$D$2:$L$2,"",-1,1)))</f>
        <v/>
      </c>
      <c r="L126" s="160" t="str" cm="1">
        <f t="array" ref="L126">IFERROR(_xlfn.IFNA(
                      _xlfn.IFS(
                      G126="", "",
                      AND(E126="U12B",G126&gt;=Data!$M$7), "U12 Boys record",
                      AND(E126="U12G",G126&gt;=Data!$M$14), "U12 Girls record"
                       ),""), "")</f>
        <v/>
      </c>
      <c r="M126" s="18" cm="1">
        <f t="array" ref="M126">_xlfn.IFS($G126="",0, AND(NOT(ISNUMBER($G126)),LOWER(LEFT($G126,1))&lt;&gt;"n"),"Not a valid distance",OR(LOWER(LEFT($G126,1))="n",$G126&lt;ScoringTable!$O$161),1,RIGHT($E126,1)="B",_xlfn.XLOOKUP($G126,ScoringTable!$O$2:$O$161,ScoringTable!$L$2:$L$161,,-1),TRUE,_xlfn.XLOOKUP($G126,ScoringTable!$U$2:$U$161,ScoringTable!$R$2:$R$161,,-1))</f>
        <v>0</v>
      </c>
    </row>
    <row r="127" spans="1:13" s="7" customFormat="1" ht="16.05" customHeight="1">
      <c r="A127" s="113" t="s">
        <v>99</v>
      </c>
      <c r="B127" s="114" t="str">
        <f>IF(ISNA(VLOOKUP($F127,Declarations!B$6:C$185,2,FALSE)),"",IF(VLOOKUP($F127,Declarations!B$6:C$185,2,FALSE)="","NOT DECLARED",IF(ISNA(_xlfn.TEXTBEFORE(VLOOKUP($F127,Declarations!B$6:C$185,2,FALSE)," ")),VLOOKUP($F127,Declarations!B$6:C$185,2,FALSE),_xlfn.TEXTBEFORE(VLOOKUP($F127,Declarations!B$6:C$185,2,FALSE)," "))))</f>
        <v/>
      </c>
      <c r="C127" s="114" t="str">
        <f>IF(ISNA(VLOOKUP($F127,Declarations!B$6:C$185,2,FALSE)),"",IF(VLOOKUP($F127,Declarations!B$6:C$185,2,FALSE)="","NOT DECLARED",IF(ISNA(_xlfn.TEXTAFTER(VLOOKUP($F127,Declarations!B$6:C$185,2,FALSE)," ")),VLOOKUP($F127,Declarations!B$6:C$185,2,FALSE),_xlfn.TEXTAFTER(VLOOKUP($F127,Declarations!B$6:C$185,2,FALSE)," "))))</f>
        <v/>
      </c>
      <c r="D127" s="114" t="str">
        <f>IF(ISNA(VLOOKUP($F127,Declarations!$B$6:$F$185,5,FALSE)),"",IF(VLOOKUP($F127,Declarations!$B$6:$F$185,5,FALSE)="","NOT DECLARED",VLOOKUP($F127,Declarations!$B$6:$F$185,5,FALSE)))</f>
        <v/>
      </c>
      <c r="E127" s="112" t="str">
        <f>IF(ISNA(VLOOKUP($F127,Declarations!$B$6:$D$185,3,FALSE)),"",IF(VLOOKUP($F127,Declarations!$B$6:$D$185,3,FALSE)="","NOT DECLARED",VLOOKUP($F127,Declarations!$B$6:$D$185,3,FALSE)&amp;LEFT(VLOOKUP($F127,Declarations!$B$6:$E$185,4,FALSE))))</f>
        <v/>
      </c>
      <c r="F127" s="58"/>
      <c r="G127" s="121"/>
      <c r="H127" s="121"/>
      <c r="I127" s="114" t="str">
        <f>IF(ISNA(VLOOKUP(F127,Declarations!B$6:C$185,2,FALSE)),"",IF(VLOOKUP(F127,Declarations!B$6:C$185,2,FALSE)="","NOT DECLARED",VLOOKUP(F127,Declarations!B$6:C$185,2,FALSE)))</f>
        <v/>
      </c>
      <c r="J127" s="112">
        <f>IF(LOWER(LEFT(G127,1))="n",1,VLOOKUP(G127,ScoringTable!D$2:I$95,6))</f>
        <v>0</v>
      </c>
      <c r="K127" s="112" t="str">
        <f>IF(OR(E127="",G127=""),"",IF(RIGHT(E127,1)="G",_xlfn.XLOOKUP(G127,Data!$D$14:$L$14,Data!$D$9:$L$9,"",-1,1),_xlfn.XLOOKUP(G127,Data!$D$7:$L$7,Data!$D$2:$L$2,"",-1,1)))</f>
        <v/>
      </c>
      <c r="L127" s="160" t="str" cm="1">
        <f t="array" ref="L127">IFERROR(_xlfn.IFNA(
                      _xlfn.IFS(
                      G127="", "",
                      AND(E127="U12B",G127&gt;=Data!$M$7), "U12 Boys record",
                      AND(E127="U12G",G127&gt;=Data!$M$14), "U12 Girls record"
                       ),""), "")</f>
        <v/>
      </c>
      <c r="M127" s="18" cm="1">
        <f t="array" ref="M127">_xlfn.IFS($G127="",0, AND(NOT(ISNUMBER($G127)),LOWER(LEFT($G127,1))&lt;&gt;"n"),"Not a valid distance",OR(LOWER(LEFT($G127,1))="n",$G127&lt;ScoringTable!$O$161),1,RIGHT($E127,1)="B",_xlfn.XLOOKUP($G127,ScoringTable!$O$2:$O$161,ScoringTable!$L$2:$L$161,,-1),TRUE,_xlfn.XLOOKUP($G127,ScoringTable!$U$2:$U$161,ScoringTable!$R$2:$R$161,,-1))</f>
        <v>0</v>
      </c>
    </row>
    <row r="128" spans="1:13" s="7" customFormat="1" ht="16.05" customHeight="1">
      <c r="A128" s="113" t="s">
        <v>99</v>
      </c>
      <c r="B128" s="114" t="str">
        <f>IF(ISNA(VLOOKUP($F128,Declarations!B$6:C$185,2,FALSE)),"",IF(VLOOKUP($F128,Declarations!B$6:C$185,2,FALSE)="","NOT DECLARED",IF(ISNA(_xlfn.TEXTBEFORE(VLOOKUP($F128,Declarations!B$6:C$185,2,FALSE)," ")),VLOOKUP($F128,Declarations!B$6:C$185,2,FALSE),_xlfn.TEXTBEFORE(VLOOKUP($F128,Declarations!B$6:C$185,2,FALSE)," "))))</f>
        <v/>
      </c>
      <c r="C128" s="114" t="str">
        <f>IF(ISNA(VLOOKUP($F128,Declarations!B$6:C$185,2,FALSE)),"",IF(VLOOKUP($F128,Declarations!B$6:C$185,2,FALSE)="","NOT DECLARED",IF(ISNA(_xlfn.TEXTAFTER(VLOOKUP($F128,Declarations!B$6:C$185,2,FALSE)," ")),VLOOKUP($F128,Declarations!B$6:C$185,2,FALSE),_xlfn.TEXTAFTER(VLOOKUP($F128,Declarations!B$6:C$185,2,FALSE)," "))))</f>
        <v/>
      </c>
      <c r="D128" s="114" t="str">
        <f>IF(ISNA(VLOOKUP($F128,Declarations!$B$6:$F$185,5,FALSE)),"",IF(VLOOKUP($F128,Declarations!$B$6:$F$185,5,FALSE)="","NOT DECLARED",VLOOKUP($F128,Declarations!$B$6:$F$185,5,FALSE)))</f>
        <v/>
      </c>
      <c r="E128" s="112" t="str">
        <f>IF(ISNA(VLOOKUP($F128,Declarations!$B$6:$D$185,3,FALSE)),"",IF(VLOOKUP($F128,Declarations!$B$6:$D$185,3,FALSE)="","NOT DECLARED",VLOOKUP($F128,Declarations!$B$6:$D$185,3,FALSE)&amp;LEFT(VLOOKUP($F128,Declarations!$B$6:$E$185,4,FALSE))))</f>
        <v/>
      </c>
      <c r="F128" s="58"/>
      <c r="G128" s="121"/>
      <c r="H128" s="121"/>
      <c r="I128" s="114" t="str">
        <f>IF(ISNA(VLOOKUP(F128,Declarations!B$6:C$185,2,FALSE)),"",IF(VLOOKUP(F128,Declarations!B$6:C$185,2,FALSE)="","NOT DECLARED",VLOOKUP(F128,Declarations!B$6:C$185,2,FALSE)))</f>
        <v/>
      </c>
      <c r="J128" s="112">
        <f>IF(LOWER(LEFT(G128,1))="n",1,VLOOKUP(G128,ScoringTable!D$2:I$95,6))</f>
        <v>0</v>
      </c>
      <c r="K128" s="112" t="str">
        <f>IF(OR(E128="",G128=""),"",IF(RIGHT(E128,1)="G",_xlfn.XLOOKUP(G128,Data!$D$14:$L$14,Data!$D$9:$L$9,"",-1,1),_xlfn.XLOOKUP(G128,Data!$D$7:$L$7,Data!$D$2:$L$2,"",-1,1)))</f>
        <v/>
      </c>
      <c r="L128" s="160" t="str" cm="1">
        <f t="array" ref="L128">IFERROR(_xlfn.IFNA(
                      _xlfn.IFS(
                      G128="", "",
                      AND(E128="U12B",G128&gt;=Data!$M$7), "U12 Boys record",
                      AND(E128="U12G",G128&gt;=Data!$M$14), "U12 Girls record"
                       ),""), "")</f>
        <v/>
      </c>
      <c r="M128" s="18" cm="1">
        <f t="array" ref="M128">_xlfn.IFS($G128="",0, AND(NOT(ISNUMBER($G128)),LOWER(LEFT($G128,1))&lt;&gt;"n"),"Not a valid distance",OR(LOWER(LEFT($G128,1))="n",$G128&lt;ScoringTable!$O$161),1,RIGHT($E128,1)="B",_xlfn.XLOOKUP($G128,ScoringTable!$O$2:$O$161,ScoringTable!$L$2:$L$161,,-1),TRUE,_xlfn.XLOOKUP($G128,ScoringTable!$U$2:$U$161,ScoringTable!$R$2:$R$161,,-1))</f>
        <v>0</v>
      </c>
    </row>
    <row r="129" spans="1:13" s="7" customFormat="1" ht="16.05" customHeight="1">
      <c r="A129" s="113" t="s">
        <v>99</v>
      </c>
      <c r="B129" s="114" t="str">
        <f>IF(ISNA(VLOOKUP($F129,Declarations!B$6:C$185,2,FALSE)),"",IF(VLOOKUP($F129,Declarations!B$6:C$185,2,FALSE)="","NOT DECLARED",IF(ISNA(_xlfn.TEXTBEFORE(VLOOKUP($F129,Declarations!B$6:C$185,2,FALSE)," ")),VLOOKUP($F129,Declarations!B$6:C$185,2,FALSE),_xlfn.TEXTBEFORE(VLOOKUP($F129,Declarations!B$6:C$185,2,FALSE)," "))))</f>
        <v/>
      </c>
      <c r="C129" s="114" t="str">
        <f>IF(ISNA(VLOOKUP($F129,Declarations!B$6:C$185,2,FALSE)),"",IF(VLOOKUP($F129,Declarations!B$6:C$185,2,FALSE)="","NOT DECLARED",IF(ISNA(_xlfn.TEXTAFTER(VLOOKUP($F129,Declarations!B$6:C$185,2,FALSE)," ")),VLOOKUP($F129,Declarations!B$6:C$185,2,FALSE),_xlfn.TEXTAFTER(VLOOKUP($F129,Declarations!B$6:C$185,2,FALSE)," "))))</f>
        <v/>
      </c>
      <c r="D129" s="114" t="str">
        <f>IF(ISNA(VLOOKUP($F129,Declarations!$B$6:$F$185,5,FALSE)),"",IF(VLOOKUP($F129,Declarations!$B$6:$F$185,5,FALSE)="","NOT DECLARED",VLOOKUP($F129,Declarations!$B$6:$F$185,5,FALSE)))</f>
        <v/>
      </c>
      <c r="E129" s="112" t="str">
        <f>IF(ISNA(VLOOKUP($F129,Declarations!$B$6:$D$185,3,FALSE)),"",IF(VLOOKUP($F129,Declarations!$B$6:$D$185,3,FALSE)="","NOT DECLARED",VLOOKUP($F129,Declarations!$B$6:$D$185,3,FALSE)&amp;LEFT(VLOOKUP($F129,Declarations!$B$6:$E$185,4,FALSE))))</f>
        <v/>
      </c>
      <c r="F129" s="58"/>
      <c r="G129" s="121"/>
      <c r="H129" s="121"/>
      <c r="I129" s="114" t="str">
        <f>IF(ISNA(VLOOKUP(F129,Declarations!B$6:C$185,2,FALSE)),"",IF(VLOOKUP(F129,Declarations!B$6:C$185,2,FALSE)="","NOT DECLARED",VLOOKUP(F129,Declarations!B$6:C$185,2,FALSE)))</f>
        <v/>
      </c>
      <c r="J129" s="112">
        <f>IF(LOWER(LEFT(G129,1))="n",1,VLOOKUP(G129,ScoringTable!D$2:I$95,6))</f>
        <v>0</v>
      </c>
      <c r="K129" s="112" t="str">
        <f>IF(OR(E129="",G129=""),"",IF(RIGHT(E129,1)="G",_xlfn.XLOOKUP(G129,Data!$D$14:$L$14,Data!$D$9:$L$9,"",-1,1),_xlfn.XLOOKUP(G129,Data!$D$7:$L$7,Data!$D$2:$L$2,"",-1,1)))</f>
        <v/>
      </c>
      <c r="L129" s="160" t="str" cm="1">
        <f t="array" ref="L129">IFERROR(_xlfn.IFNA(
                      _xlfn.IFS(
                      G129="", "",
                      AND(E129="U12B",G129&gt;=Data!$M$7), "U12 Boys record",
                      AND(E129="U12G",G129&gt;=Data!$M$14), "U12 Girls record"
                       ),""), "")</f>
        <v/>
      </c>
      <c r="M129" s="18" cm="1">
        <f t="array" ref="M129">_xlfn.IFS($G129="",0, AND(NOT(ISNUMBER($G129)),LOWER(LEFT($G129,1))&lt;&gt;"n"),"Not a valid distance",OR(LOWER(LEFT($G129,1))="n",$G129&lt;ScoringTable!$O$161),1,RIGHT($E129,1)="B",_xlfn.XLOOKUP($G129,ScoringTable!$O$2:$O$161,ScoringTable!$L$2:$L$161,,-1),TRUE,_xlfn.XLOOKUP($G129,ScoringTable!$U$2:$U$161,ScoringTable!$R$2:$R$161,,-1))</f>
        <v>0</v>
      </c>
    </row>
    <row r="130" spans="1:13" s="7" customFormat="1" ht="16.05" customHeight="1">
      <c r="A130" s="113" t="s">
        <v>99</v>
      </c>
      <c r="B130" s="114" t="str">
        <f>IF(ISNA(VLOOKUP($F130,Declarations!B$6:C$185,2,FALSE)),"",IF(VLOOKUP($F130,Declarations!B$6:C$185,2,FALSE)="","NOT DECLARED",IF(ISNA(_xlfn.TEXTBEFORE(VLOOKUP($F130,Declarations!B$6:C$185,2,FALSE)," ")),VLOOKUP($F130,Declarations!B$6:C$185,2,FALSE),_xlfn.TEXTBEFORE(VLOOKUP($F130,Declarations!B$6:C$185,2,FALSE)," "))))</f>
        <v/>
      </c>
      <c r="C130" s="114" t="str">
        <f>IF(ISNA(VLOOKUP($F130,Declarations!B$6:C$185,2,FALSE)),"",IF(VLOOKUP($F130,Declarations!B$6:C$185,2,FALSE)="","NOT DECLARED",IF(ISNA(_xlfn.TEXTAFTER(VLOOKUP($F130,Declarations!B$6:C$185,2,FALSE)," ")),VLOOKUP($F130,Declarations!B$6:C$185,2,FALSE),_xlfn.TEXTAFTER(VLOOKUP($F130,Declarations!B$6:C$185,2,FALSE)," "))))</f>
        <v/>
      </c>
      <c r="D130" s="114" t="str">
        <f>IF(ISNA(VLOOKUP($F130,Declarations!$B$6:$F$185,5,FALSE)),"",IF(VLOOKUP($F130,Declarations!$B$6:$F$185,5,FALSE)="","NOT DECLARED",VLOOKUP($F130,Declarations!$B$6:$F$185,5,FALSE)))</f>
        <v/>
      </c>
      <c r="E130" s="112" t="str">
        <f>IF(ISNA(VLOOKUP($F130,Declarations!$B$6:$D$185,3,FALSE)),"",IF(VLOOKUP($F130,Declarations!$B$6:$D$185,3,FALSE)="","NOT DECLARED",VLOOKUP($F130,Declarations!$B$6:$D$185,3,FALSE)&amp;LEFT(VLOOKUP($F130,Declarations!$B$6:$E$185,4,FALSE))))</f>
        <v/>
      </c>
      <c r="F130" s="58"/>
      <c r="G130" s="121"/>
      <c r="H130" s="121"/>
      <c r="I130" s="114" t="str">
        <f>IF(ISNA(VLOOKUP(F130,Declarations!B$6:C$185,2,FALSE)),"",IF(VLOOKUP(F130,Declarations!B$6:C$185,2,FALSE)="","NOT DECLARED",VLOOKUP(F130,Declarations!B$6:C$185,2,FALSE)))</f>
        <v/>
      </c>
      <c r="J130" s="112">
        <f>IF(LOWER(LEFT(G130,1))="n",1,VLOOKUP(G130,ScoringTable!D$2:I$95,6))</f>
        <v>0</v>
      </c>
      <c r="K130" s="112" t="str">
        <f>IF(OR(E130="",G130=""),"",IF(RIGHT(E130,1)="G",_xlfn.XLOOKUP(G130,Data!$D$14:$L$14,Data!$D$9:$L$9,"",-1,1),_xlfn.XLOOKUP(G130,Data!$D$7:$L$7,Data!$D$2:$L$2,"",-1,1)))</f>
        <v/>
      </c>
      <c r="L130" s="160" t="str" cm="1">
        <f t="array" ref="L130">IFERROR(_xlfn.IFNA(
                      _xlfn.IFS(
                      G130="", "",
                      AND(E130="U12B",G130&gt;=Data!$M$7), "U12 Boys record",
                      AND(E130="U12G",G130&gt;=Data!$M$14), "U12 Girls record"
                       ),""), "")</f>
        <v/>
      </c>
      <c r="M130" s="18" cm="1">
        <f t="array" ref="M130">_xlfn.IFS($G130="",0, AND(NOT(ISNUMBER($G130)),LOWER(LEFT($G130,1))&lt;&gt;"n"),"Not a valid distance",OR(LOWER(LEFT($G130,1))="n",$G130&lt;ScoringTable!$O$161),1,RIGHT($E130,1)="B",_xlfn.XLOOKUP($G130,ScoringTable!$O$2:$O$161,ScoringTable!$L$2:$L$161,,-1),TRUE,_xlfn.XLOOKUP($G130,ScoringTable!$U$2:$U$161,ScoringTable!$R$2:$R$161,,-1))</f>
        <v>0</v>
      </c>
    </row>
    <row r="131" spans="1:13" s="7" customFormat="1" ht="16.05" customHeight="1">
      <c r="A131" s="113" t="s">
        <v>99</v>
      </c>
      <c r="B131" s="114" t="str">
        <f>IF(ISNA(VLOOKUP($F131,Declarations!B$6:C$185,2,FALSE)),"",IF(VLOOKUP($F131,Declarations!B$6:C$185,2,FALSE)="","NOT DECLARED",IF(ISNA(_xlfn.TEXTBEFORE(VLOOKUP($F131,Declarations!B$6:C$185,2,FALSE)," ")),VLOOKUP($F131,Declarations!B$6:C$185,2,FALSE),_xlfn.TEXTBEFORE(VLOOKUP($F131,Declarations!B$6:C$185,2,FALSE)," "))))</f>
        <v/>
      </c>
      <c r="C131" s="114" t="str">
        <f>IF(ISNA(VLOOKUP($F131,Declarations!B$6:C$185,2,FALSE)),"",IF(VLOOKUP($F131,Declarations!B$6:C$185,2,FALSE)="","NOT DECLARED",IF(ISNA(_xlfn.TEXTAFTER(VLOOKUP($F131,Declarations!B$6:C$185,2,FALSE)," ")),VLOOKUP($F131,Declarations!B$6:C$185,2,FALSE),_xlfn.TEXTAFTER(VLOOKUP($F131,Declarations!B$6:C$185,2,FALSE)," "))))</f>
        <v/>
      </c>
      <c r="D131" s="114" t="str">
        <f>IF(ISNA(VLOOKUP($F131,Declarations!$B$6:$F$185,5,FALSE)),"",IF(VLOOKUP($F131,Declarations!$B$6:$F$185,5,FALSE)="","NOT DECLARED",VLOOKUP($F131,Declarations!$B$6:$F$185,5,FALSE)))</f>
        <v/>
      </c>
      <c r="E131" s="112" t="str">
        <f>IF(ISNA(VLOOKUP($F131,Declarations!$B$6:$D$185,3,FALSE)),"",IF(VLOOKUP($F131,Declarations!$B$6:$D$185,3,FALSE)="","NOT DECLARED",VLOOKUP($F131,Declarations!$B$6:$D$185,3,FALSE)&amp;LEFT(VLOOKUP($F131,Declarations!$B$6:$E$185,4,FALSE))))</f>
        <v/>
      </c>
      <c r="F131" s="58"/>
      <c r="G131" s="121"/>
      <c r="H131" s="121"/>
      <c r="I131" s="114" t="str">
        <f>IF(ISNA(VLOOKUP(F131,Declarations!B$6:C$185,2,FALSE)),"",IF(VLOOKUP(F131,Declarations!B$6:C$185,2,FALSE)="","NOT DECLARED",VLOOKUP(F131,Declarations!B$6:C$185,2,FALSE)))</f>
        <v/>
      </c>
      <c r="J131" s="112">
        <f>IF(LOWER(LEFT(G131,1))="n",1,VLOOKUP(G131,ScoringTable!D$2:I$95,6))</f>
        <v>0</v>
      </c>
      <c r="K131" s="112" t="str">
        <f>IF(OR(E131="",G131=""),"",IF(RIGHT(E131,1)="G",_xlfn.XLOOKUP(G131,Data!$D$14:$L$14,Data!$D$9:$L$9,"",-1,1),_xlfn.XLOOKUP(G131,Data!$D$7:$L$7,Data!$D$2:$L$2,"",-1,1)))</f>
        <v/>
      </c>
      <c r="L131" s="160" t="str" cm="1">
        <f t="array" ref="L131">IFERROR(_xlfn.IFNA(
                      _xlfn.IFS(
                      G131="", "",
                      AND(E131="U12B",G131&gt;=Data!$M$7), "U12 Boys record",
                      AND(E131="U12G",G131&gt;=Data!$M$14), "U12 Girls record"
                       ),""), "")</f>
        <v/>
      </c>
      <c r="M131" s="18" cm="1">
        <f t="array" ref="M131">_xlfn.IFS($G131="",0, AND(NOT(ISNUMBER($G131)),LOWER(LEFT($G131,1))&lt;&gt;"n"),"Not a valid distance",OR(LOWER(LEFT($G131,1))="n",$G131&lt;ScoringTable!$O$161),1,RIGHT($E131,1)="B",_xlfn.XLOOKUP($G131,ScoringTable!$O$2:$O$161,ScoringTable!$L$2:$L$161,,-1),TRUE,_xlfn.XLOOKUP($G131,ScoringTable!$U$2:$U$161,ScoringTable!$R$2:$R$161,,-1))</f>
        <v>0</v>
      </c>
    </row>
    <row r="132" spans="1:13" s="7" customFormat="1" ht="16.05" customHeight="1">
      <c r="A132" s="113" t="s">
        <v>99</v>
      </c>
      <c r="B132" s="114" t="str">
        <f>IF(ISNA(VLOOKUP($F132,Declarations!B$6:C$185,2,FALSE)),"",IF(VLOOKUP($F132,Declarations!B$6:C$185,2,FALSE)="","NOT DECLARED",IF(ISNA(_xlfn.TEXTBEFORE(VLOOKUP($F132,Declarations!B$6:C$185,2,FALSE)," ")),VLOOKUP($F132,Declarations!B$6:C$185,2,FALSE),_xlfn.TEXTBEFORE(VLOOKUP($F132,Declarations!B$6:C$185,2,FALSE)," "))))</f>
        <v/>
      </c>
      <c r="C132" s="114" t="str">
        <f>IF(ISNA(VLOOKUP($F132,Declarations!B$6:C$185,2,FALSE)),"",IF(VLOOKUP($F132,Declarations!B$6:C$185,2,FALSE)="","NOT DECLARED",IF(ISNA(_xlfn.TEXTAFTER(VLOOKUP($F132,Declarations!B$6:C$185,2,FALSE)," ")),VLOOKUP($F132,Declarations!B$6:C$185,2,FALSE),_xlfn.TEXTAFTER(VLOOKUP($F132,Declarations!B$6:C$185,2,FALSE)," "))))</f>
        <v/>
      </c>
      <c r="D132" s="114" t="str">
        <f>IF(ISNA(VLOOKUP($F132,Declarations!$B$6:$F$185,5,FALSE)),"",IF(VLOOKUP($F132,Declarations!$B$6:$F$185,5,FALSE)="","NOT DECLARED",VLOOKUP($F132,Declarations!$B$6:$F$185,5,FALSE)))</f>
        <v/>
      </c>
      <c r="E132" s="112" t="str">
        <f>IF(ISNA(VLOOKUP($F132,Declarations!$B$6:$D$185,3,FALSE)),"",IF(VLOOKUP($F132,Declarations!$B$6:$D$185,3,FALSE)="","NOT DECLARED",VLOOKUP($F132,Declarations!$B$6:$D$185,3,FALSE)&amp;LEFT(VLOOKUP($F132,Declarations!$B$6:$E$185,4,FALSE))))</f>
        <v/>
      </c>
      <c r="F132" s="58"/>
      <c r="G132" s="121"/>
      <c r="H132" s="121"/>
      <c r="I132" s="114" t="str">
        <f>IF(ISNA(VLOOKUP(F132,Declarations!B$6:C$185,2,FALSE)),"",IF(VLOOKUP(F132,Declarations!B$6:C$185,2,FALSE)="","NOT DECLARED",VLOOKUP(F132,Declarations!B$6:C$185,2,FALSE)))</f>
        <v/>
      </c>
      <c r="J132" s="112">
        <f>IF(LOWER(LEFT(G132,1))="n",1,VLOOKUP(G132,ScoringTable!D$2:I$95,6))</f>
        <v>0</v>
      </c>
      <c r="K132" s="112" t="str">
        <f>IF(OR(E132="",G132=""),"",IF(RIGHT(E132,1)="G",_xlfn.XLOOKUP(G132,Data!$D$14:$L$14,Data!$D$9:$L$9,"",-1,1),_xlfn.XLOOKUP(G132,Data!$D$7:$L$7,Data!$D$2:$L$2,"",-1,1)))</f>
        <v/>
      </c>
      <c r="L132" s="160" t="str" cm="1">
        <f t="array" ref="L132">IFERROR(_xlfn.IFNA(
                      _xlfn.IFS(
                      G132="", "",
                      AND(E132="U12B",G132&gt;=Data!$M$7), "U12 Boys record",
                      AND(E132="U12G",G132&gt;=Data!$M$14), "U12 Girls record"
                       ),""), "")</f>
        <v/>
      </c>
      <c r="M132" s="18" cm="1">
        <f t="array" ref="M132">_xlfn.IFS($G132="",0, AND(NOT(ISNUMBER($G132)),LOWER(LEFT($G132,1))&lt;&gt;"n"),"Not a valid distance",OR(LOWER(LEFT($G132,1))="n",$G132&lt;ScoringTable!$O$161),1,RIGHT($E132,1)="B",_xlfn.XLOOKUP($G132,ScoringTable!$O$2:$O$161,ScoringTable!$L$2:$L$161,,-1),TRUE,_xlfn.XLOOKUP($G132,ScoringTable!$U$2:$U$161,ScoringTable!$R$2:$R$161,,-1))</f>
        <v>0</v>
      </c>
    </row>
    <row r="133" spans="1:13" s="7" customFormat="1" ht="16.05" customHeight="1">
      <c r="A133" s="113" t="s">
        <v>99</v>
      </c>
      <c r="B133" s="114" t="str">
        <f>IF(ISNA(VLOOKUP($F133,Declarations!B$6:C$185,2,FALSE)),"",IF(VLOOKUP($F133,Declarations!B$6:C$185,2,FALSE)="","NOT DECLARED",IF(ISNA(_xlfn.TEXTBEFORE(VLOOKUP($F133,Declarations!B$6:C$185,2,FALSE)," ")),VLOOKUP($F133,Declarations!B$6:C$185,2,FALSE),_xlfn.TEXTBEFORE(VLOOKUP($F133,Declarations!B$6:C$185,2,FALSE)," "))))</f>
        <v/>
      </c>
      <c r="C133" s="114" t="str">
        <f>IF(ISNA(VLOOKUP($F133,Declarations!B$6:C$185,2,FALSE)),"",IF(VLOOKUP($F133,Declarations!B$6:C$185,2,FALSE)="","NOT DECLARED",IF(ISNA(_xlfn.TEXTAFTER(VLOOKUP($F133,Declarations!B$6:C$185,2,FALSE)," ")),VLOOKUP($F133,Declarations!B$6:C$185,2,FALSE),_xlfn.TEXTAFTER(VLOOKUP($F133,Declarations!B$6:C$185,2,FALSE)," "))))</f>
        <v/>
      </c>
      <c r="D133" s="114" t="str">
        <f>IF(ISNA(VLOOKUP($F133,Declarations!$B$6:$F$185,5,FALSE)),"",IF(VLOOKUP($F133,Declarations!$B$6:$F$185,5,FALSE)="","NOT DECLARED",VLOOKUP($F133,Declarations!$B$6:$F$185,5,FALSE)))</f>
        <v/>
      </c>
      <c r="E133" s="112" t="str">
        <f>IF(ISNA(VLOOKUP($F133,Declarations!$B$6:$D$185,3,FALSE)),"",IF(VLOOKUP($F133,Declarations!$B$6:$D$185,3,FALSE)="","NOT DECLARED",VLOOKUP($F133,Declarations!$B$6:$D$185,3,FALSE)&amp;LEFT(VLOOKUP($F133,Declarations!$B$6:$E$185,4,FALSE))))</f>
        <v/>
      </c>
      <c r="F133" s="58"/>
      <c r="G133" s="121"/>
      <c r="H133" s="121"/>
      <c r="I133" s="114" t="str">
        <f>IF(ISNA(VLOOKUP(F133,Declarations!B$6:C$185,2,FALSE)),"",IF(VLOOKUP(F133,Declarations!B$6:C$185,2,FALSE)="","NOT DECLARED",VLOOKUP(F133,Declarations!B$6:C$185,2,FALSE)))</f>
        <v/>
      </c>
      <c r="J133" s="112">
        <f>IF(LOWER(LEFT(G133,1))="n",1,VLOOKUP(G133,ScoringTable!D$2:I$95,6))</f>
        <v>0</v>
      </c>
      <c r="K133" s="112" t="str">
        <f>IF(OR(E133="",G133=""),"",IF(RIGHT(E133,1)="G",_xlfn.XLOOKUP(G133,Data!$D$14:$L$14,Data!$D$9:$L$9,"",-1,1),_xlfn.XLOOKUP(G133,Data!$D$7:$L$7,Data!$D$2:$L$2,"",-1,1)))</f>
        <v/>
      </c>
      <c r="L133" s="160" t="str" cm="1">
        <f t="array" ref="L133">IFERROR(_xlfn.IFNA(
                      _xlfn.IFS(
                      G133="", "",
                      AND(E133="U12B",G133&gt;=Data!$M$7), "U12 Boys record",
                      AND(E133="U12G",G133&gt;=Data!$M$14), "U12 Girls record"
                       ),""), "")</f>
        <v/>
      </c>
      <c r="M133" s="18" cm="1">
        <f t="array" ref="M133">_xlfn.IFS($G133="",0, AND(NOT(ISNUMBER($G133)),LOWER(LEFT($G133,1))&lt;&gt;"n"),"Not a valid distance",OR(LOWER(LEFT($G133,1))="n",$G133&lt;ScoringTable!$O$161),1,RIGHT($E133,1)="B",_xlfn.XLOOKUP($G133,ScoringTable!$O$2:$O$161,ScoringTable!$L$2:$L$161,,-1),TRUE,_xlfn.XLOOKUP($G133,ScoringTable!$U$2:$U$161,ScoringTable!$R$2:$R$161,,-1))</f>
        <v>0</v>
      </c>
    </row>
    <row r="134" spans="1:13" s="7" customFormat="1" ht="16.05" customHeight="1">
      <c r="A134" s="113" t="s">
        <v>99</v>
      </c>
      <c r="B134" s="114" t="str">
        <f>IF(ISNA(VLOOKUP($F134,Declarations!B$6:C$185,2,FALSE)),"",IF(VLOOKUP($F134,Declarations!B$6:C$185,2,FALSE)="","NOT DECLARED",IF(ISNA(_xlfn.TEXTBEFORE(VLOOKUP($F134,Declarations!B$6:C$185,2,FALSE)," ")),VLOOKUP($F134,Declarations!B$6:C$185,2,FALSE),_xlfn.TEXTBEFORE(VLOOKUP($F134,Declarations!B$6:C$185,2,FALSE)," "))))</f>
        <v/>
      </c>
      <c r="C134" s="114" t="str">
        <f>IF(ISNA(VLOOKUP($F134,Declarations!B$6:C$185,2,FALSE)),"",IF(VLOOKUP($F134,Declarations!B$6:C$185,2,FALSE)="","NOT DECLARED",IF(ISNA(_xlfn.TEXTAFTER(VLOOKUP($F134,Declarations!B$6:C$185,2,FALSE)," ")),VLOOKUP($F134,Declarations!B$6:C$185,2,FALSE),_xlfn.TEXTAFTER(VLOOKUP($F134,Declarations!B$6:C$185,2,FALSE)," "))))</f>
        <v/>
      </c>
      <c r="D134" s="114" t="str">
        <f>IF(ISNA(VLOOKUP($F134,Declarations!$B$6:$F$185,5,FALSE)),"",IF(VLOOKUP($F134,Declarations!$B$6:$F$185,5,FALSE)="","NOT DECLARED",VLOOKUP($F134,Declarations!$B$6:$F$185,5,FALSE)))</f>
        <v/>
      </c>
      <c r="E134" s="112" t="str">
        <f>IF(ISNA(VLOOKUP($F134,Declarations!$B$6:$D$185,3,FALSE)),"",IF(VLOOKUP($F134,Declarations!$B$6:$D$185,3,FALSE)="","NOT DECLARED",VLOOKUP($F134,Declarations!$B$6:$D$185,3,FALSE)&amp;LEFT(VLOOKUP($F134,Declarations!$B$6:$E$185,4,FALSE))))</f>
        <v/>
      </c>
      <c r="F134" s="58"/>
      <c r="G134" s="121"/>
      <c r="H134" s="121"/>
      <c r="I134" s="114" t="str">
        <f>IF(ISNA(VLOOKUP(F134,Declarations!B$6:C$185,2,FALSE)),"",IF(VLOOKUP(F134,Declarations!B$6:C$185,2,FALSE)="","NOT DECLARED",VLOOKUP(F134,Declarations!B$6:C$185,2,FALSE)))</f>
        <v/>
      </c>
      <c r="J134" s="112">
        <f>IF(LOWER(LEFT(G134,1))="n",1,VLOOKUP(G134,ScoringTable!D$2:I$95,6))</f>
        <v>0</v>
      </c>
      <c r="K134" s="112" t="str">
        <f>IF(OR(E134="",G134=""),"",IF(RIGHT(E134,1)="G",_xlfn.XLOOKUP(G134,Data!$D$14:$L$14,Data!$D$9:$L$9,"",-1,1),_xlfn.XLOOKUP(G134,Data!$D$7:$L$7,Data!$D$2:$L$2,"",-1,1)))</f>
        <v/>
      </c>
      <c r="L134" s="160" t="str" cm="1">
        <f t="array" ref="L134">IFERROR(_xlfn.IFNA(
                      _xlfn.IFS(
                      G134="", "",
                      AND(E134="U12B",G134&gt;=Data!$M$7), "U12 Boys record",
                      AND(E134="U12G",G134&gt;=Data!$M$14), "U12 Girls record"
                       ),""), "")</f>
        <v/>
      </c>
      <c r="M134" s="18" cm="1">
        <f t="array" ref="M134">_xlfn.IFS($G134="",0, AND(NOT(ISNUMBER($G134)),LOWER(LEFT($G134,1))&lt;&gt;"n"),"Not a valid distance",OR(LOWER(LEFT($G134,1))="n",$G134&lt;ScoringTable!$O$161),1,RIGHT($E134,1)="B",_xlfn.XLOOKUP($G134,ScoringTable!$O$2:$O$161,ScoringTable!$L$2:$L$161,,-1),TRUE,_xlfn.XLOOKUP($G134,ScoringTable!$U$2:$U$161,ScoringTable!$R$2:$R$161,,-1))</f>
        <v>0</v>
      </c>
    </row>
    <row r="135" spans="1:13" s="7" customFormat="1" ht="16.05" customHeight="1">
      <c r="A135" s="113" t="s">
        <v>99</v>
      </c>
      <c r="B135" s="114" t="str">
        <f>IF(ISNA(VLOOKUP($F135,Declarations!B$6:C$185,2,FALSE)),"",IF(VLOOKUP($F135,Declarations!B$6:C$185,2,FALSE)="","NOT DECLARED",IF(ISNA(_xlfn.TEXTBEFORE(VLOOKUP($F135,Declarations!B$6:C$185,2,FALSE)," ")),VLOOKUP($F135,Declarations!B$6:C$185,2,FALSE),_xlfn.TEXTBEFORE(VLOOKUP($F135,Declarations!B$6:C$185,2,FALSE)," "))))</f>
        <v/>
      </c>
      <c r="C135" s="114" t="str">
        <f>IF(ISNA(VLOOKUP($F135,Declarations!B$6:C$185,2,FALSE)),"",IF(VLOOKUP($F135,Declarations!B$6:C$185,2,FALSE)="","NOT DECLARED",IF(ISNA(_xlfn.TEXTAFTER(VLOOKUP($F135,Declarations!B$6:C$185,2,FALSE)," ")),VLOOKUP($F135,Declarations!B$6:C$185,2,FALSE),_xlfn.TEXTAFTER(VLOOKUP($F135,Declarations!B$6:C$185,2,FALSE)," "))))</f>
        <v/>
      </c>
      <c r="D135" s="114" t="str">
        <f>IF(ISNA(VLOOKUP($F135,Declarations!$B$6:$F$185,5,FALSE)),"",IF(VLOOKUP($F135,Declarations!$B$6:$F$185,5,FALSE)="","NOT DECLARED",VLOOKUP($F135,Declarations!$B$6:$F$185,5,FALSE)))</f>
        <v/>
      </c>
      <c r="E135" s="112" t="str">
        <f>IF(ISNA(VLOOKUP($F135,Declarations!$B$6:$D$185,3,FALSE)),"",IF(VLOOKUP($F135,Declarations!$B$6:$D$185,3,FALSE)="","NOT DECLARED",VLOOKUP($F135,Declarations!$B$6:$D$185,3,FALSE)&amp;LEFT(VLOOKUP($F135,Declarations!$B$6:$E$185,4,FALSE))))</f>
        <v/>
      </c>
      <c r="F135" s="58"/>
      <c r="G135" s="121"/>
      <c r="H135" s="121"/>
      <c r="I135" s="114" t="str">
        <f>IF(ISNA(VLOOKUP(F135,Declarations!B$6:C$185,2,FALSE)),"",IF(VLOOKUP(F135,Declarations!B$6:C$185,2,FALSE)="","NOT DECLARED",VLOOKUP(F135,Declarations!B$6:C$185,2,FALSE)))</f>
        <v/>
      </c>
      <c r="J135" s="112">
        <f>IF(LOWER(LEFT(G135,1))="n",1,VLOOKUP(G135,ScoringTable!D$2:I$95,6))</f>
        <v>0</v>
      </c>
      <c r="K135" s="112" t="str">
        <f>IF(OR(E135="",G135=""),"",IF(RIGHT(E135,1)="G",_xlfn.XLOOKUP(G135,Data!$D$14:$L$14,Data!$D$9:$L$9,"",-1,1),_xlfn.XLOOKUP(G135,Data!$D$7:$L$7,Data!$D$2:$L$2,"",-1,1)))</f>
        <v/>
      </c>
      <c r="L135" s="160" t="str" cm="1">
        <f t="array" ref="L135">IFERROR(_xlfn.IFNA(
                      _xlfn.IFS(
                      G135="", "",
                      AND(E135="U12B",G135&gt;=Data!$M$7), "U12 Boys record",
                      AND(E135="U12G",G135&gt;=Data!$M$14), "U12 Girls record"
                       ),""), "")</f>
        <v/>
      </c>
      <c r="M135" s="18" cm="1">
        <f t="array" ref="M135">_xlfn.IFS($G135="",0, AND(NOT(ISNUMBER($G135)),LOWER(LEFT($G135,1))&lt;&gt;"n"),"Not a valid distance",OR(LOWER(LEFT($G135,1))="n",$G135&lt;ScoringTable!$O$161),1,RIGHT($E135,1)="B",_xlfn.XLOOKUP($G135,ScoringTable!$O$2:$O$161,ScoringTable!$L$2:$L$161,,-1),TRUE,_xlfn.XLOOKUP($G135,ScoringTable!$U$2:$U$161,ScoringTable!$R$2:$R$161,,-1))</f>
        <v>0</v>
      </c>
    </row>
    <row r="136" spans="1:13" s="7" customFormat="1" ht="16.05" customHeight="1">
      <c r="A136" s="113" t="s">
        <v>99</v>
      </c>
      <c r="B136" s="114" t="str">
        <f>IF(ISNA(VLOOKUP($F136,Declarations!B$6:C$185,2,FALSE)),"",IF(VLOOKUP($F136,Declarations!B$6:C$185,2,FALSE)="","NOT DECLARED",IF(ISNA(_xlfn.TEXTBEFORE(VLOOKUP($F136,Declarations!B$6:C$185,2,FALSE)," ")),VLOOKUP($F136,Declarations!B$6:C$185,2,FALSE),_xlfn.TEXTBEFORE(VLOOKUP($F136,Declarations!B$6:C$185,2,FALSE)," "))))</f>
        <v/>
      </c>
      <c r="C136" s="114" t="str">
        <f>IF(ISNA(VLOOKUP($F136,Declarations!B$6:C$185,2,FALSE)),"",IF(VLOOKUP($F136,Declarations!B$6:C$185,2,FALSE)="","NOT DECLARED",IF(ISNA(_xlfn.TEXTAFTER(VLOOKUP($F136,Declarations!B$6:C$185,2,FALSE)," ")),VLOOKUP($F136,Declarations!B$6:C$185,2,FALSE),_xlfn.TEXTAFTER(VLOOKUP($F136,Declarations!B$6:C$185,2,FALSE)," "))))</f>
        <v/>
      </c>
      <c r="D136" s="114" t="str">
        <f>IF(ISNA(VLOOKUP($F136,Declarations!$B$6:$F$185,5,FALSE)),"",IF(VLOOKUP($F136,Declarations!$B$6:$F$185,5,FALSE)="","NOT DECLARED",VLOOKUP($F136,Declarations!$B$6:$F$185,5,FALSE)))</f>
        <v/>
      </c>
      <c r="E136" s="112" t="str">
        <f>IF(ISNA(VLOOKUP($F136,Declarations!$B$6:$D$185,3,FALSE)),"",IF(VLOOKUP($F136,Declarations!$B$6:$D$185,3,FALSE)="","NOT DECLARED",VLOOKUP($F136,Declarations!$B$6:$D$185,3,FALSE)&amp;LEFT(VLOOKUP($F136,Declarations!$B$6:$E$185,4,FALSE))))</f>
        <v/>
      </c>
      <c r="F136" s="58"/>
      <c r="G136" s="121"/>
      <c r="H136" s="121"/>
      <c r="I136" s="114" t="str">
        <f>IF(ISNA(VLOOKUP(F136,Declarations!B$6:C$185,2,FALSE)),"",IF(VLOOKUP(F136,Declarations!B$6:C$185,2,FALSE)="","NOT DECLARED",VLOOKUP(F136,Declarations!B$6:C$185,2,FALSE)))</f>
        <v/>
      </c>
      <c r="J136" s="112">
        <f>IF(LOWER(LEFT(G136,1))="n",1,VLOOKUP(G136,ScoringTable!D$2:I$95,6))</f>
        <v>0</v>
      </c>
      <c r="K136" s="112" t="str">
        <f>IF(OR(E136="",G136=""),"",IF(RIGHT(E136,1)="G",_xlfn.XLOOKUP(G136,Data!$D$14:$L$14,Data!$D$9:$L$9,"",-1,1),_xlfn.XLOOKUP(G136,Data!$D$7:$L$7,Data!$D$2:$L$2,"",-1,1)))</f>
        <v/>
      </c>
      <c r="L136" s="160" t="str" cm="1">
        <f t="array" ref="L136">IFERROR(_xlfn.IFNA(
                      _xlfn.IFS(
                      G136="", "",
                      AND(E136="U12B",G136&gt;=Data!$M$7), "U12 Boys record",
                      AND(E136="U12G",G136&gt;=Data!$M$14), "U12 Girls record"
                       ),""), "")</f>
        <v/>
      </c>
      <c r="M136" s="18" cm="1">
        <f t="array" ref="M136">_xlfn.IFS($G136="",0, AND(NOT(ISNUMBER($G136)),LOWER(LEFT($G136,1))&lt;&gt;"n"),"Not a valid distance",OR(LOWER(LEFT($G136,1))="n",$G136&lt;ScoringTable!$O$161),1,RIGHT($E136,1)="B",_xlfn.XLOOKUP($G136,ScoringTable!$O$2:$O$161,ScoringTable!$L$2:$L$161,,-1),TRUE,_xlfn.XLOOKUP($G136,ScoringTable!$U$2:$U$161,ScoringTable!$R$2:$R$161,,-1))</f>
        <v>0</v>
      </c>
    </row>
    <row r="137" spans="1:13" s="7" customFormat="1" ht="16.05" customHeight="1">
      <c r="A137" s="113" t="s">
        <v>99</v>
      </c>
      <c r="B137" s="114" t="str">
        <f>IF(ISNA(VLOOKUP($F137,Declarations!B$6:C$185,2,FALSE)),"",IF(VLOOKUP($F137,Declarations!B$6:C$185,2,FALSE)="","NOT DECLARED",IF(ISNA(_xlfn.TEXTBEFORE(VLOOKUP($F137,Declarations!B$6:C$185,2,FALSE)," ")),VLOOKUP($F137,Declarations!B$6:C$185,2,FALSE),_xlfn.TEXTBEFORE(VLOOKUP($F137,Declarations!B$6:C$185,2,FALSE)," "))))</f>
        <v/>
      </c>
      <c r="C137" s="114" t="str">
        <f>IF(ISNA(VLOOKUP($F137,Declarations!B$6:C$185,2,FALSE)),"",IF(VLOOKUP($F137,Declarations!B$6:C$185,2,FALSE)="","NOT DECLARED",IF(ISNA(_xlfn.TEXTAFTER(VLOOKUP($F137,Declarations!B$6:C$185,2,FALSE)," ")),VLOOKUP($F137,Declarations!B$6:C$185,2,FALSE),_xlfn.TEXTAFTER(VLOOKUP($F137,Declarations!B$6:C$185,2,FALSE)," "))))</f>
        <v/>
      </c>
      <c r="D137" s="114" t="str">
        <f>IF(ISNA(VLOOKUP($F137,Declarations!$B$6:$F$185,5,FALSE)),"",IF(VLOOKUP($F137,Declarations!$B$6:$F$185,5,FALSE)="","NOT DECLARED",VLOOKUP($F137,Declarations!$B$6:$F$185,5,FALSE)))</f>
        <v/>
      </c>
      <c r="E137" s="112" t="str">
        <f>IF(ISNA(VLOOKUP($F137,Declarations!$B$6:$D$185,3,FALSE)),"",IF(VLOOKUP($F137,Declarations!$B$6:$D$185,3,FALSE)="","NOT DECLARED",VLOOKUP($F137,Declarations!$B$6:$D$185,3,FALSE)&amp;LEFT(VLOOKUP($F137,Declarations!$B$6:$E$185,4,FALSE))))</f>
        <v/>
      </c>
      <c r="F137" s="58"/>
      <c r="G137" s="121"/>
      <c r="H137" s="121"/>
      <c r="I137" s="114" t="str">
        <f>IF(ISNA(VLOOKUP(F137,Declarations!B$6:C$185,2,FALSE)),"",IF(VLOOKUP(F137,Declarations!B$6:C$185,2,FALSE)="","NOT DECLARED",VLOOKUP(F137,Declarations!B$6:C$185,2,FALSE)))</f>
        <v/>
      </c>
      <c r="J137" s="112">
        <f>IF(LOWER(LEFT(G137,1))="n",1,VLOOKUP(G137,ScoringTable!D$2:I$95,6))</f>
        <v>0</v>
      </c>
      <c r="K137" s="112" t="str">
        <f>IF(OR(E137="",G137=""),"",IF(RIGHT(E137,1)="G",_xlfn.XLOOKUP(G137,Data!$D$14:$L$14,Data!$D$9:$L$9,"",-1,1),_xlfn.XLOOKUP(G137,Data!$D$7:$L$7,Data!$D$2:$L$2,"",-1,1)))</f>
        <v/>
      </c>
      <c r="L137" s="160" t="str" cm="1">
        <f t="array" ref="L137">IFERROR(_xlfn.IFNA(
                      _xlfn.IFS(
                      G137="", "",
                      AND(E137="U12B",G137&gt;=Data!$M$7), "U12 Boys record",
                      AND(E137="U12G",G137&gt;=Data!$M$14), "U12 Girls record"
                       ),""), "")</f>
        <v/>
      </c>
      <c r="M137" s="18" cm="1">
        <f t="array" ref="M137">_xlfn.IFS($G137="",0, AND(NOT(ISNUMBER($G137)),LOWER(LEFT($G137,1))&lt;&gt;"n"),"Not a valid distance",OR(LOWER(LEFT($G137,1))="n",$G137&lt;ScoringTable!$O$161),1,RIGHT($E137,1)="B",_xlfn.XLOOKUP($G137,ScoringTable!$O$2:$O$161,ScoringTable!$L$2:$L$161,,-1),TRUE,_xlfn.XLOOKUP($G137,ScoringTable!$U$2:$U$161,ScoringTable!$R$2:$R$161,,-1))</f>
        <v>0</v>
      </c>
    </row>
    <row r="138" spans="1:13" s="7" customFormat="1" ht="16.05" customHeight="1">
      <c r="A138" s="113" t="s">
        <v>99</v>
      </c>
      <c r="B138" s="114" t="str">
        <f>IF(ISNA(VLOOKUP($F138,Declarations!B$6:C$185,2,FALSE)),"",IF(VLOOKUP($F138,Declarations!B$6:C$185,2,FALSE)="","NOT DECLARED",IF(ISNA(_xlfn.TEXTBEFORE(VLOOKUP($F138,Declarations!B$6:C$185,2,FALSE)," ")),VLOOKUP($F138,Declarations!B$6:C$185,2,FALSE),_xlfn.TEXTBEFORE(VLOOKUP($F138,Declarations!B$6:C$185,2,FALSE)," "))))</f>
        <v/>
      </c>
      <c r="C138" s="114" t="str">
        <f>IF(ISNA(VLOOKUP($F138,Declarations!B$6:C$185,2,FALSE)),"",IF(VLOOKUP($F138,Declarations!B$6:C$185,2,FALSE)="","NOT DECLARED",IF(ISNA(_xlfn.TEXTAFTER(VLOOKUP($F138,Declarations!B$6:C$185,2,FALSE)," ")),VLOOKUP($F138,Declarations!B$6:C$185,2,FALSE),_xlfn.TEXTAFTER(VLOOKUP($F138,Declarations!B$6:C$185,2,FALSE)," "))))</f>
        <v/>
      </c>
      <c r="D138" s="114" t="str">
        <f>IF(ISNA(VLOOKUP($F138,Declarations!$B$6:$F$185,5,FALSE)),"",IF(VLOOKUP($F138,Declarations!$B$6:$F$185,5,FALSE)="","NOT DECLARED",VLOOKUP($F138,Declarations!$B$6:$F$185,5,FALSE)))</f>
        <v/>
      </c>
      <c r="E138" s="112" t="str">
        <f>IF(ISNA(VLOOKUP($F138,Declarations!$B$6:$D$185,3,FALSE)),"",IF(VLOOKUP($F138,Declarations!$B$6:$D$185,3,FALSE)="","NOT DECLARED",VLOOKUP($F138,Declarations!$B$6:$D$185,3,FALSE)&amp;LEFT(VLOOKUP($F138,Declarations!$B$6:$E$185,4,FALSE))))</f>
        <v/>
      </c>
      <c r="F138" s="58"/>
      <c r="G138" s="121"/>
      <c r="H138" s="121"/>
      <c r="I138" s="114" t="str">
        <f>IF(ISNA(VLOOKUP(F138,Declarations!B$6:C$185,2,FALSE)),"",IF(VLOOKUP(F138,Declarations!B$6:C$185,2,FALSE)="","NOT DECLARED",VLOOKUP(F138,Declarations!B$6:C$185,2,FALSE)))</f>
        <v/>
      </c>
      <c r="J138" s="112">
        <f>IF(LOWER(LEFT(G138,1))="n",1,VLOOKUP(G138,ScoringTable!D$2:I$95,6))</f>
        <v>0</v>
      </c>
      <c r="K138" s="112" t="str">
        <f>IF(OR(E138="",G138=""),"",IF(RIGHT(E138,1)="G",_xlfn.XLOOKUP(G138,Data!$D$14:$L$14,Data!$D$9:$L$9,"",-1,1),_xlfn.XLOOKUP(G138,Data!$D$7:$L$7,Data!$D$2:$L$2,"",-1,1)))</f>
        <v/>
      </c>
      <c r="L138" s="160" t="str" cm="1">
        <f t="array" ref="L138">IFERROR(_xlfn.IFNA(
                      _xlfn.IFS(
                      G138="", "",
                      AND(E138="U12B",G138&gt;=Data!$M$7), "U12 Boys record",
                      AND(E138="U12G",G138&gt;=Data!$M$14), "U12 Girls record"
                       ),""), "")</f>
        <v/>
      </c>
      <c r="M138" s="18" cm="1">
        <f t="array" ref="M138">_xlfn.IFS($G138="",0, AND(NOT(ISNUMBER($G138)),LOWER(LEFT($G138,1))&lt;&gt;"n"),"Not a valid distance",OR(LOWER(LEFT($G138,1))="n",$G138&lt;ScoringTable!$O$161),1,RIGHT($E138,1)="B",_xlfn.XLOOKUP($G138,ScoringTable!$O$2:$O$161,ScoringTable!$L$2:$L$161,,-1),TRUE,_xlfn.XLOOKUP($G138,ScoringTable!$U$2:$U$161,ScoringTable!$R$2:$R$161,,-1))</f>
        <v>0</v>
      </c>
    </row>
    <row r="139" spans="1:13" s="7" customFormat="1" ht="16.05" customHeight="1">
      <c r="A139" s="113" t="s">
        <v>99</v>
      </c>
      <c r="B139" s="114" t="str">
        <f>IF(ISNA(VLOOKUP($F139,Declarations!B$6:C$185,2,FALSE)),"",IF(VLOOKUP($F139,Declarations!B$6:C$185,2,FALSE)="","NOT DECLARED",IF(ISNA(_xlfn.TEXTBEFORE(VLOOKUP($F139,Declarations!B$6:C$185,2,FALSE)," ")),VLOOKUP($F139,Declarations!B$6:C$185,2,FALSE),_xlfn.TEXTBEFORE(VLOOKUP($F139,Declarations!B$6:C$185,2,FALSE)," "))))</f>
        <v/>
      </c>
      <c r="C139" s="114" t="str">
        <f>IF(ISNA(VLOOKUP($F139,Declarations!B$6:C$185,2,FALSE)),"",IF(VLOOKUP($F139,Declarations!B$6:C$185,2,FALSE)="","NOT DECLARED",IF(ISNA(_xlfn.TEXTAFTER(VLOOKUP($F139,Declarations!B$6:C$185,2,FALSE)," ")),VLOOKUP($F139,Declarations!B$6:C$185,2,FALSE),_xlfn.TEXTAFTER(VLOOKUP($F139,Declarations!B$6:C$185,2,FALSE)," "))))</f>
        <v/>
      </c>
      <c r="D139" s="114" t="str">
        <f>IF(ISNA(VLOOKUP($F139,Declarations!$B$6:$F$185,5,FALSE)),"",IF(VLOOKUP($F139,Declarations!$B$6:$F$185,5,FALSE)="","NOT DECLARED",VLOOKUP($F139,Declarations!$B$6:$F$185,5,FALSE)))</f>
        <v/>
      </c>
      <c r="E139" s="112" t="str">
        <f>IF(ISNA(VLOOKUP($F139,Declarations!$B$6:$D$185,3,FALSE)),"",IF(VLOOKUP($F139,Declarations!$B$6:$D$185,3,FALSE)="","NOT DECLARED",VLOOKUP($F139,Declarations!$B$6:$D$185,3,FALSE)&amp;LEFT(VLOOKUP($F139,Declarations!$B$6:$E$185,4,FALSE))))</f>
        <v/>
      </c>
      <c r="F139" s="58"/>
      <c r="G139" s="121"/>
      <c r="H139" s="121"/>
      <c r="I139" s="114" t="str">
        <f>IF(ISNA(VLOOKUP(F139,Declarations!B$6:C$185,2,FALSE)),"",IF(VLOOKUP(F139,Declarations!B$6:C$185,2,FALSE)="","NOT DECLARED",VLOOKUP(F139,Declarations!B$6:C$185,2,FALSE)))</f>
        <v/>
      </c>
      <c r="J139" s="112">
        <f>IF(LOWER(LEFT(G139,1))="n",1,VLOOKUP(G139,ScoringTable!D$2:I$95,6))</f>
        <v>0</v>
      </c>
      <c r="K139" s="112" t="str">
        <f>IF(OR(E139="",G139=""),"",IF(RIGHT(E139,1)="G",_xlfn.XLOOKUP(G139,Data!$D$14:$L$14,Data!$D$9:$L$9,"",-1,1),_xlfn.XLOOKUP(G139,Data!$D$7:$L$7,Data!$D$2:$L$2,"",-1,1)))</f>
        <v/>
      </c>
      <c r="L139" s="160" t="str" cm="1">
        <f t="array" ref="L139">IFERROR(_xlfn.IFNA(
                      _xlfn.IFS(
                      G139="", "",
                      AND(E139="U12B",G139&gt;=Data!$M$7), "U12 Boys record",
                      AND(E139="U12G",G139&gt;=Data!$M$14), "U12 Girls record"
                       ),""), "")</f>
        <v/>
      </c>
      <c r="M139" s="18" cm="1">
        <f t="array" ref="M139">_xlfn.IFS($G139="",0, AND(NOT(ISNUMBER($G139)),LOWER(LEFT($G139,1))&lt;&gt;"n"),"Not a valid distance",OR(LOWER(LEFT($G139,1))="n",$G139&lt;ScoringTable!$O$161),1,RIGHT($E139,1)="B",_xlfn.XLOOKUP($G139,ScoringTable!$O$2:$O$161,ScoringTable!$L$2:$L$161,,-1),TRUE,_xlfn.XLOOKUP($G139,ScoringTable!$U$2:$U$161,ScoringTable!$R$2:$R$161,,-1))</f>
        <v>0</v>
      </c>
    </row>
    <row r="140" spans="1:13" s="7" customFormat="1" ht="16.05" customHeight="1">
      <c r="A140" s="113" t="s">
        <v>99</v>
      </c>
      <c r="B140" s="114" t="str">
        <f>IF(ISNA(VLOOKUP($F140,Declarations!B$6:C$185,2,FALSE)),"",IF(VLOOKUP($F140,Declarations!B$6:C$185,2,FALSE)="","NOT DECLARED",IF(ISNA(_xlfn.TEXTBEFORE(VLOOKUP($F140,Declarations!B$6:C$185,2,FALSE)," ")),VLOOKUP($F140,Declarations!B$6:C$185,2,FALSE),_xlfn.TEXTBEFORE(VLOOKUP($F140,Declarations!B$6:C$185,2,FALSE)," "))))</f>
        <v/>
      </c>
      <c r="C140" s="114" t="str">
        <f>IF(ISNA(VLOOKUP($F140,Declarations!B$6:C$185,2,FALSE)),"",IF(VLOOKUP($F140,Declarations!B$6:C$185,2,FALSE)="","NOT DECLARED",IF(ISNA(_xlfn.TEXTAFTER(VLOOKUP($F140,Declarations!B$6:C$185,2,FALSE)," ")),VLOOKUP($F140,Declarations!B$6:C$185,2,FALSE),_xlfn.TEXTAFTER(VLOOKUP($F140,Declarations!B$6:C$185,2,FALSE)," "))))</f>
        <v/>
      </c>
      <c r="D140" s="114" t="str">
        <f>IF(ISNA(VLOOKUP($F140,Declarations!$B$6:$F$185,5,FALSE)),"",IF(VLOOKUP($F140,Declarations!$B$6:$F$185,5,FALSE)="","NOT DECLARED",VLOOKUP($F140,Declarations!$B$6:$F$185,5,FALSE)))</f>
        <v/>
      </c>
      <c r="E140" s="112" t="str">
        <f>IF(ISNA(VLOOKUP($F140,Declarations!$B$6:$D$185,3,FALSE)),"",IF(VLOOKUP($F140,Declarations!$B$6:$D$185,3,FALSE)="","NOT DECLARED",VLOOKUP($F140,Declarations!$B$6:$D$185,3,FALSE)&amp;LEFT(VLOOKUP($F140,Declarations!$B$6:$E$185,4,FALSE))))</f>
        <v/>
      </c>
      <c r="F140" s="58"/>
      <c r="G140" s="121"/>
      <c r="H140" s="121"/>
      <c r="I140" s="114" t="str">
        <f>IF(ISNA(VLOOKUP(F140,Declarations!B$6:C$185,2,FALSE)),"",IF(VLOOKUP(F140,Declarations!B$6:C$185,2,FALSE)="","NOT DECLARED",VLOOKUP(F140,Declarations!B$6:C$185,2,FALSE)))</f>
        <v/>
      </c>
      <c r="J140" s="112">
        <f>IF(LOWER(LEFT(G140,1))="n",1,VLOOKUP(G140,ScoringTable!D$2:I$95,6))</f>
        <v>0</v>
      </c>
      <c r="K140" s="112" t="str">
        <f>IF(OR(E140="",G140=""),"",IF(RIGHT(E140,1)="G",_xlfn.XLOOKUP(G140,Data!$D$14:$L$14,Data!$D$9:$L$9,"",-1,1),_xlfn.XLOOKUP(G140,Data!$D$7:$L$7,Data!$D$2:$L$2,"",-1,1)))</f>
        <v/>
      </c>
      <c r="L140" s="160" t="str" cm="1">
        <f t="array" ref="L140">IFERROR(_xlfn.IFNA(
                      _xlfn.IFS(
                      G140="", "",
                      AND(E140="U12B",G140&gt;=Data!$M$7), "U12 Boys record",
                      AND(E140="U12G",G140&gt;=Data!$M$14), "U12 Girls record"
                       ),""), "")</f>
        <v/>
      </c>
      <c r="M140" s="18" cm="1">
        <f t="array" ref="M140">_xlfn.IFS($G140="",0, AND(NOT(ISNUMBER($G140)),LOWER(LEFT($G140,1))&lt;&gt;"n"),"Not a valid distance",OR(LOWER(LEFT($G140,1))="n",$G140&lt;ScoringTable!$O$161),1,RIGHT($E140,1)="B",_xlfn.XLOOKUP($G140,ScoringTable!$O$2:$O$161,ScoringTable!$L$2:$L$161,,-1),TRUE,_xlfn.XLOOKUP($G140,ScoringTable!$U$2:$U$161,ScoringTable!$R$2:$R$161,,-1))</f>
        <v>0</v>
      </c>
    </row>
    <row r="141" spans="1:13" s="7" customFormat="1" ht="16.05" customHeight="1">
      <c r="A141" s="113" t="s">
        <v>99</v>
      </c>
      <c r="B141" s="114" t="str">
        <f>IF(ISNA(VLOOKUP($F141,Declarations!B$6:C$185,2,FALSE)),"",IF(VLOOKUP($F141,Declarations!B$6:C$185,2,FALSE)="","NOT DECLARED",IF(ISNA(_xlfn.TEXTBEFORE(VLOOKUP($F141,Declarations!B$6:C$185,2,FALSE)," ")),VLOOKUP($F141,Declarations!B$6:C$185,2,FALSE),_xlfn.TEXTBEFORE(VLOOKUP($F141,Declarations!B$6:C$185,2,FALSE)," "))))</f>
        <v/>
      </c>
      <c r="C141" s="114" t="str">
        <f>IF(ISNA(VLOOKUP($F141,Declarations!B$6:C$185,2,FALSE)),"",IF(VLOOKUP($F141,Declarations!B$6:C$185,2,FALSE)="","NOT DECLARED",IF(ISNA(_xlfn.TEXTAFTER(VLOOKUP($F141,Declarations!B$6:C$185,2,FALSE)," ")),VLOOKUP($F141,Declarations!B$6:C$185,2,FALSE),_xlfn.TEXTAFTER(VLOOKUP($F141,Declarations!B$6:C$185,2,FALSE)," "))))</f>
        <v/>
      </c>
      <c r="D141" s="114" t="str">
        <f>IF(ISNA(VLOOKUP($F141,Declarations!$B$6:$F$185,5,FALSE)),"",IF(VLOOKUP($F141,Declarations!$B$6:$F$185,5,FALSE)="","NOT DECLARED",VLOOKUP($F141,Declarations!$B$6:$F$185,5,FALSE)))</f>
        <v/>
      </c>
      <c r="E141" s="112" t="str">
        <f>IF(ISNA(VLOOKUP($F141,Declarations!$B$6:$D$185,3,FALSE)),"",IF(VLOOKUP($F141,Declarations!$B$6:$D$185,3,FALSE)="","NOT DECLARED",VLOOKUP($F141,Declarations!$B$6:$D$185,3,FALSE)&amp;LEFT(VLOOKUP($F141,Declarations!$B$6:$E$185,4,FALSE))))</f>
        <v/>
      </c>
      <c r="F141" s="58"/>
      <c r="G141" s="121"/>
      <c r="H141" s="121"/>
      <c r="I141" s="114" t="str">
        <f>IF(ISNA(VLOOKUP(F141,Declarations!B$6:C$185,2,FALSE)),"",IF(VLOOKUP(F141,Declarations!B$6:C$185,2,FALSE)="","NOT DECLARED",VLOOKUP(F141,Declarations!B$6:C$185,2,FALSE)))</f>
        <v/>
      </c>
      <c r="J141" s="112">
        <f>IF(LOWER(LEFT(G141,1))="n",1,VLOOKUP(G141,ScoringTable!D$2:I$95,6))</f>
        <v>0</v>
      </c>
      <c r="K141" s="112" t="str">
        <f>IF(OR(E141="",G141=""),"",IF(RIGHT(E141,1)="G",_xlfn.XLOOKUP(G141,Data!$D$14:$L$14,Data!$D$9:$L$9,"",-1,1),_xlfn.XLOOKUP(G141,Data!$D$7:$L$7,Data!$D$2:$L$2,"",-1,1)))</f>
        <v/>
      </c>
      <c r="L141" s="160" t="str" cm="1">
        <f t="array" ref="L141">IFERROR(_xlfn.IFNA(
                      _xlfn.IFS(
                      G141="", "",
                      AND(E141="U12B",G141&gt;=Data!$M$7), "U12 Boys record",
                      AND(E141="U12G",G141&gt;=Data!$M$14), "U12 Girls record"
                       ),""), "")</f>
        <v/>
      </c>
      <c r="M141" s="18" cm="1">
        <f t="array" ref="M141">_xlfn.IFS($G141="",0, AND(NOT(ISNUMBER($G141)),LOWER(LEFT($G141,1))&lt;&gt;"n"),"Not a valid distance",OR(LOWER(LEFT($G141,1))="n",$G141&lt;ScoringTable!$O$161),1,RIGHT($E141,1)="B",_xlfn.XLOOKUP($G141,ScoringTable!$O$2:$O$161,ScoringTable!$L$2:$L$161,,-1),TRUE,_xlfn.XLOOKUP($G141,ScoringTable!$U$2:$U$161,ScoringTable!$R$2:$R$161,,-1))</f>
        <v>0</v>
      </c>
    </row>
    <row r="142" spans="1:13" s="7" customFormat="1" ht="16.05" customHeight="1">
      <c r="A142" s="113" t="s">
        <v>99</v>
      </c>
      <c r="B142" s="114" t="str">
        <f>IF(ISNA(VLOOKUP($F142,Declarations!B$6:C$185,2,FALSE)),"",IF(VLOOKUP($F142,Declarations!B$6:C$185,2,FALSE)="","NOT DECLARED",IF(ISNA(_xlfn.TEXTBEFORE(VLOOKUP($F142,Declarations!B$6:C$185,2,FALSE)," ")),VLOOKUP($F142,Declarations!B$6:C$185,2,FALSE),_xlfn.TEXTBEFORE(VLOOKUP($F142,Declarations!B$6:C$185,2,FALSE)," "))))</f>
        <v/>
      </c>
      <c r="C142" s="114" t="str">
        <f>IF(ISNA(VLOOKUP($F142,Declarations!B$6:C$185,2,FALSE)),"",IF(VLOOKUP($F142,Declarations!B$6:C$185,2,FALSE)="","NOT DECLARED",IF(ISNA(_xlfn.TEXTAFTER(VLOOKUP($F142,Declarations!B$6:C$185,2,FALSE)," ")),VLOOKUP($F142,Declarations!B$6:C$185,2,FALSE),_xlfn.TEXTAFTER(VLOOKUP($F142,Declarations!B$6:C$185,2,FALSE)," "))))</f>
        <v/>
      </c>
      <c r="D142" s="114" t="str">
        <f>IF(ISNA(VLOOKUP($F142,Declarations!$B$6:$F$185,5,FALSE)),"",IF(VLOOKUP($F142,Declarations!$B$6:$F$185,5,FALSE)="","NOT DECLARED",VLOOKUP($F142,Declarations!$B$6:$F$185,5,FALSE)))</f>
        <v/>
      </c>
      <c r="E142" s="112" t="str">
        <f>IF(ISNA(VLOOKUP($F142,Declarations!$B$6:$D$185,3,FALSE)),"",IF(VLOOKUP($F142,Declarations!$B$6:$D$185,3,FALSE)="","NOT DECLARED",VLOOKUP($F142,Declarations!$B$6:$D$185,3,FALSE)&amp;LEFT(VLOOKUP($F142,Declarations!$B$6:$E$185,4,FALSE))))</f>
        <v/>
      </c>
      <c r="F142" s="58"/>
      <c r="G142" s="121"/>
      <c r="H142" s="121"/>
      <c r="I142" s="114" t="str">
        <f>IF(ISNA(VLOOKUP(F142,Declarations!B$6:C$185,2,FALSE)),"",IF(VLOOKUP(F142,Declarations!B$6:C$185,2,FALSE)="","NOT DECLARED",VLOOKUP(F142,Declarations!B$6:C$185,2,FALSE)))</f>
        <v/>
      </c>
      <c r="J142" s="112">
        <f>IF(LOWER(LEFT(G142,1))="n",1,VLOOKUP(G142,ScoringTable!D$2:I$95,6))</f>
        <v>0</v>
      </c>
      <c r="K142" s="112" t="str">
        <f>IF(OR(E142="",G142=""),"",IF(RIGHT(E142,1)="G",_xlfn.XLOOKUP(G142,Data!$D$14:$L$14,Data!$D$9:$L$9,"",-1,1),_xlfn.XLOOKUP(G142,Data!$D$7:$L$7,Data!$D$2:$L$2,"",-1,1)))</f>
        <v/>
      </c>
      <c r="L142" s="160" t="str" cm="1">
        <f t="array" ref="L142">IFERROR(_xlfn.IFNA(
                      _xlfn.IFS(
                      G142="", "",
                      AND(E142="U12B",G142&gt;=Data!$M$7), "U12 Boys record",
                      AND(E142="U12G",G142&gt;=Data!$M$14), "U12 Girls record"
                       ),""), "")</f>
        <v/>
      </c>
      <c r="M142" s="18" cm="1">
        <f t="array" ref="M142">_xlfn.IFS($G142="",0, AND(NOT(ISNUMBER($G142)),LOWER(LEFT($G142,1))&lt;&gt;"n"),"Not a valid distance",OR(LOWER(LEFT($G142,1))="n",$G142&lt;ScoringTable!$O$161),1,RIGHT($E142,1)="B",_xlfn.XLOOKUP($G142,ScoringTable!$O$2:$O$161,ScoringTable!$L$2:$L$161,,-1),TRUE,_xlfn.XLOOKUP($G142,ScoringTable!$U$2:$U$161,ScoringTable!$R$2:$R$161,,-1))</f>
        <v>0</v>
      </c>
    </row>
    <row r="143" spans="1:13" s="7" customFormat="1" ht="16.05" customHeight="1">
      <c r="A143" s="113" t="s">
        <v>99</v>
      </c>
      <c r="B143" s="114" t="str">
        <f>IF(ISNA(VLOOKUP($F143,Declarations!B$6:C$185,2,FALSE)),"",IF(VLOOKUP($F143,Declarations!B$6:C$185,2,FALSE)="","NOT DECLARED",IF(ISNA(_xlfn.TEXTBEFORE(VLOOKUP($F143,Declarations!B$6:C$185,2,FALSE)," ")),VLOOKUP($F143,Declarations!B$6:C$185,2,FALSE),_xlfn.TEXTBEFORE(VLOOKUP($F143,Declarations!B$6:C$185,2,FALSE)," "))))</f>
        <v/>
      </c>
      <c r="C143" s="114" t="str">
        <f>IF(ISNA(VLOOKUP($F143,Declarations!B$6:C$185,2,FALSE)),"",IF(VLOOKUP($F143,Declarations!B$6:C$185,2,FALSE)="","NOT DECLARED",IF(ISNA(_xlfn.TEXTAFTER(VLOOKUP($F143,Declarations!B$6:C$185,2,FALSE)," ")),VLOOKUP($F143,Declarations!B$6:C$185,2,FALSE),_xlfn.TEXTAFTER(VLOOKUP($F143,Declarations!B$6:C$185,2,FALSE)," "))))</f>
        <v/>
      </c>
      <c r="D143" s="114" t="str">
        <f>IF(ISNA(VLOOKUP($F143,Declarations!$B$6:$F$185,5,FALSE)),"",IF(VLOOKUP($F143,Declarations!$B$6:$F$185,5,FALSE)="","NOT DECLARED",VLOOKUP($F143,Declarations!$B$6:$F$185,5,FALSE)))</f>
        <v/>
      </c>
      <c r="E143" s="112" t="str">
        <f>IF(ISNA(VLOOKUP($F143,Declarations!$B$6:$D$185,3,FALSE)),"",IF(VLOOKUP($F143,Declarations!$B$6:$D$185,3,FALSE)="","NOT DECLARED",VLOOKUP($F143,Declarations!$B$6:$D$185,3,FALSE)&amp;LEFT(VLOOKUP($F143,Declarations!$B$6:$E$185,4,FALSE))))</f>
        <v/>
      </c>
      <c r="F143" s="58"/>
      <c r="G143" s="121"/>
      <c r="H143" s="121"/>
      <c r="I143" s="114" t="str">
        <f>IF(ISNA(VLOOKUP(F143,Declarations!B$6:C$185,2,FALSE)),"",IF(VLOOKUP(F143,Declarations!B$6:C$185,2,FALSE)="","NOT DECLARED",VLOOKUP(F143,Declarations!B$6:C$185,2,FALSE)))</f>
        <v/>
      </c>
      <c r="J143" s="112">
        <f>IF(LOWER(LEFT(G143,1))="n",1,VLOOKUP(G143,ScoringTable!D$2:I$95,6))</f>
        <v>0</v>
      </c>
      <c r="K143" s="112" t="str">
        <f>IF(OR(E143="",G143=""),"",IF(RIGHT(E143,1)="G",_xlfn.XLOOKUP(G143,Data!$D$14:$L$14,Data!$D$9:$L$9,"",-1,1),_xlfn.XLOOKUP(G143,Data!$D$7:$L$7,Data!$D$2:$L$2,"",-1,1)))</f>
        <v/>
      </c>
      <c r="L143" s="160" t="str" cm="1">
        <f t="array" ref="L143">IFERROR(_xlfn.IFNA(
                      _xlfn.IFS(
                      G143="", "",
                      AND(E143="U12B",G143&gt;=Data!$M$7), "U12 Boys record",
                      AND(E143="U12G",G143&gt;=Data!$M$14), "U12 Girls record"
                       ),""), "")</f>
        <v/>
      </c>
      <c r="M143" s="18" cm="1">
        <f t="array" ref="M143">_xlfn.IFS($G143="",0, AND(NOT(ISNUMBER($G143)),LOWER(LEFT($G143,1))&lt;&gt;"n"),"Not a valid distance",OR(LOWER(LEFT($G143,1))="n",$G143&lt;ScoringTable!$O$161),1,RIGHT($E143,1)="B",_xlfn.XLOOKUP($G143,ScoringTable!$O$2:$O$161,ScoringTable!$L$2:$L$161,,-1),TRUE,_xlfn.XLOOKUP($G143,ScoringTable!$U$2:$U$161,ScoringTable!$R$2:$R$161,,-1))</f>
        <v>0</v>
      </c>
    </row>
    <row r="144" spans="1:13" s="7" customFormat="1" ht="16.05" customHeight="1">
      <c r="A144" s="113" t="s">
        <v>99</v>
      </c>
      <c r="B144" s="114" t="str">
        <f>IF(ISNA(VLOOKUP($F144,Declarations!B$6:C$185,2,FALSE)),"",IF(VLOOKUP($F144,Declarations!B$6:C$185,2,FALSE)="","NOT DECLARED",IF(ISNA(_xlfn.TEXTBEFORE(VLOOKUP($F144,Declarations!B$6:C$185,2,FALSE)," ")),VLOOKUP($F144,Declarations!B$6:C$185,2,FALSE),_xlfn.TEXTBEFORE(VLOOKUP($F144,Declarations!B$6:C$185,2,FALSE)," "))))</f>
        <v/>
      </c>
      <c r="C144" s="114" t="str">
        <f>IF(ISNA(VLOOKUP($F144,Declarations!B$6:C$185,2,FALSE)),"",IF(VLOOKUP($F144,Declarations!B$6:C$185,2,FALSE)="","NOT DECLARED",IF(ISNA(_xlfn.TEXTAFTER(VLOOKUP($F144,Declarations!B$6:C$185,2,FALSE)," ")),VLOOKUP($F144,Declarations!B$6:C$185,2,FALSE),_xlfn.TEXTAFTER(VLOOKUP($F144,Declarations!B$6:C$185,2,FALSE)," "))))</f>
        <v/>
      </c>
      <c r="D144" s="114" t="str">
        <f>IF(ISNA(VLOOKUP($F144,Declarations!$B$6:$F$185,5,FALSE)),"",IF(VLOOKUP($F144,Declarations!$B$6:$F$185,5,FALSE)="","NOT DECLARED",VLOOKUP($F144,Declarations!$B$6:$F$185,5,FALSE)))</f>
        <v/>
      </c>
      <c r="E144" s="112" t="str">
        <f>IF(ISNA(VLOOKUP($F144,Declarations!$B$6:$D$185,3,FALSE)),"",IF(VLOOKUP($F144,Declarations!$B$6:$D$185,3,FALSE)="","NOT DECLARED",VLOOKUP($F144,Declarations!$B$6:$D$185,3,FALSE)&amp;LEFT(VLOOKUP($F144,Declarations!$B$6:$E$185,4,FALSE))))</f>
        <v/>
      </c>
      <c r="F144" s="58"/>
      <c r="G144" s="121"/>
      <c r="H144" s="121"/>
      <c r="I144" s="114" t="str">
        <f>IF(ISNA(VLOOKUP(F144,Declarations!B$6:C$185,2,FALSE)),"",IF(VLOOKUP(F144,Declarations!B$6:C$185,2,FALSE)="","NOT DECLARED",VLOOKUP(F144,Declarations!B$6:C$185,2,FALSE)))</f>
        <v/>
      </c>
      <c r="J144" s="112">
        <f>IF(LOWER(LEFT(G144,1))="n",1,VLOOKUP(G144,ScoringTable!D$2:I$95,6))</f>
        <v>0</v>
      </c>
      <c r="K144" s="112" t="str">
        <f>IF(OR(E144="",G144=""),"",IF(RIGHT(E144,1)="G",_xlfn.XLOOKUP(G144,Data!$D$14:$L$14,Data!$D$9:$L$9,"",-1,1),_xlfn.XLOOKUP(G144,Data!$D$7:$L$7,Data!$D$2:$L$2,"",-1,1)))</f>
        <v/>
      </c>
      <c r="L144" s="160" t="str" cm="1">
        <f t="array" ref="L144">IFERROR(_xlfn.IFNA(
                      _xlfn.IFS(
                      G144="", "",
                      AND(E144="U12B",G144&gt;=Data!$M$7), "U12 Boys record",
                      AND(E144="U12G",G144&gt;=Data!$M$14), "U12 Girls record"
                       ),""), "")</f>
        <v/>
      </c>
      <c r="M144" s="18" cm="1">
        <f t="array" ref="M144">_xlfn.IFS($G144="",0, AND(NOT(ISNUMBER($G144)),LOWER(LEFT($G144,1))&lt;&gt;"n"),"Not a valid distance",OR(LOWER(LEFT($G144,1))="n",$G144&lt;ScoringTable!$O$161),1,RIGHT($E144,1)="B",_xlfn.XLOOKUP($G144,ScoringTable!$O$2:$O$161,ScoringTable!$L$2:$L$161,,-1),TRUE,_xlfn.XLOOKUP($G144,ScoringTable!$U$2:$U$161,ScoringTable!$R$2:$R$161,,-1))</f>
        <v>0</v>
      </c>
    </row>
    <row r="145" spans="1:13" s="7" customFormat="1" ht="16.05" customHeight="1">
      <c r="A145" s="113" t="s">
        <v>99</v>
      </c>
      <c r="B145" s="114" t="str">
        <f>IF(ISNA(VLOOKUP($F145,Declarations!B$6:C$185,2,FALSE)),"",IF(VLOOKUP($F145,Declarations!B$6:C$185,2,FALSE)="","NOT DECLARED",IF(ISNA(_xlfn.TEXTBEFORE(VLOOKUP($F145,Declarations!B$6:C$185,2,FALSE)," ")),VLOOKUP($F145,Declarations!B$6:C$185,2,FALSE),_xlfn.TEXTBEFORE(VLOOKUP($F145,Declarations!B$6:C$185,2,FALSE)," "))))</f>
        <v/>
      </c>
      <c r="C145" s="114" t="str">
        <f>IF(ISNA(VLOOKUP($F145,Declarations!B$6:C$185,2,FALSE)),"",IF(VLOOKUP($F145,Declarations!B$6:C$185,2,FALSE)="","NOT DECLARED",IF(ISNA(_xlfn.TEXTAFTER(VLOOKUP($F145,Declarations!B$6:C$185,2,FALSE)," ")),VLOOKUP($F145,Declarations!B$6:C$185,2,FALSE),_xlfn.TEXTAFTER(VLOOKUP($F145,Declarations!B$6:C$185,2,FALSE)," "))))</f>
        <v/>
      </c>
      <c r="D145" s="114" t="str">
        <f>IF(ISNA(VLOOKUP($F145,Declarations!$B$6:$F$185,5,FALSE)),"",IF(VLOOKUP($F145,Declarations!$B$6:$F$185,5,FALSE)="","NOT DECLARED",VLOOKUP($F145,Declarations!$B$6:$F$185,5,FALSE)))</f>
        <v/>
      </c>
      <c r="E145" s="112" t="str">
        <f>IF(ISNA(VLOOKUP($F145,Declarations!$B$6:$D$185,3,FALSE)),"",IF(VLOOKUP($F145,Declarations!$B$6:$D$185,3,FALSE)="","NOT DECLARED",VLOOKUP($F145,Declarations!$B$6:$D$185,3,FALSE)&amp;LEFT(VLOOKUP($F145,Declarations!$B$6:$E$185,4,FALSE))))</f>
        <v/>
      </c>
      <c r="F145" s="58"/>
      <c r="G145" s="121"/>
      <c r="H145" s="121"/>
      <c r="I145" s="114" t="str">
        <f>IF(ISNA(VLOOKUP(F145,Declarations!B$6:C$185,2,FALSE)),"",IF(VLOOKUP(F145,Declarations!B$6:C$185,2,FALSE)="","NOT DECLARED",VLOOKUP(F145,Declarations!B$6:C$185,2,FALSE)))</f>
        <v/>
      </c>
      <c r="J145" s="112">
        <f>IF(LOWER(LEFT(G145,1))="n",1,VLOOKUP(G145,ScoringTable!D$2:I$95,6))</f>
        <v>0</v>
      </c>
      <c r="K145" s="112" t="str">
        <f>IF(OR(E145="",G145=""),"",IF(RIGHT(E145,1)="G",_xlfn.XLOOKUP(G145,Data!$D$14:$L$14,Data!$D$9:$L$9,"",-1,1),_xlfn.XLOOKUP(G145,Data!$D$7:$L$7,Data!$D$2:$L$2,"",-1,1)))</f>
        <v/>
      </c>
      <c r="L145" s="160" t="str" cm="1">
        <f t="array" ref="L145">IFERROR(_xlfn.IFNA(
                      _xlfn.IFS(
                      G145="", "",
                      AND(E145="U12B",G145&gt;=Data!$M$7), "U12 Boys record",
                      AND(E145="U12G",G145&gt;=Data!$M$14), "U12 Girls record"
                       ),""), "")</f>
        <v/>
      </c>
      <c r="M145" s="18" cm="1">
        <f t="array" ref="M145">_xlfn.IFS($G145="",0, AND(NOT(ISNUMBER($G145)),LOWER(LEFT($G145,1))&lt;&gt;"n"),"Not a valid distance",OR(LOWER(LEFT($G145,1))="n",$G145&lt;ScoringTable!$O$161),1,RIGHT($E145,1)="B",_xlfn.XLOOKUP($G145,ScoringTable!$O$2:$O$161,ScoringTable!$L$2:$L$161,,-1),TRUE,_xlfn.XLOOKUP($G145,ScoringTable!$U$2:$U$161,ScoringTable!$R$2:$R$161,,-1))</f>
        <v>0</v>
      </c>
    </row>
    <row r="146" spans="1:13" s="7" customFormat="1" ht="16.05" customHeight="1">
      <c r="A146" s="113" t="s">
        <v>99</v>
      </c>
      <c r="B146" s="114" t="str">
        <f>IF(ISNA(VLOOKUP($F146,Declarations!B$6:C$185,2,FALSE)),"",IF(VLOOKUP($F146,Declarations!B$6:C$185,2,FALSE)="","NOT DECLARED",IF(ISNA(_xlfn.TEXTBEFORE(VLOOKUP($F146,Declarations!B$6:C$185,2,FALSE)," ")),VLOOKUP($F146,Declarations!B$6:C$185,2,FALSE),_xlfn.TEXTBEFORE(VLOOKUP($F146,Declarations!B$6:C$185,2,FALSE)," "))))</f>
        <v/>
      </c>
      <c r="C146" s="114" t="str">
        <f>IF(ISNA(VLOOKUP($F146,Declarations!B$6:C$185,2,FALSE)),"",IF(VLOOKUP($F146,Declarations!B$6:C$185,2,FALSE)="","NOT DECLARED",IF(ISNA(_xlfn.TEXTAFTER(VLOOKUP($F146,Declarations!B$6:C$185,2,FALSE)," ")),VLOOKUP($F146,Declarations!B$6:C$185,2,FALSE),_xlfn.TEXTAFTER(VLOOKUP($F146,Declarations!B$6:C$185,2,FALSE)," "))))</f>
        <v/>
      </c>
      <c r="D146" s="114" t="str">
        <f>IF(ISNA(VLOOKUP($F146,Declarations!$B$6:$F$185,5,FALSE)),"",IF(VLOOKUP($F146,Declarations!$B$6:$F$185,5,FALSE)="","NOT DECLARED",VLOOKUP($F146,Declarations!$B$6:$F$185,5,FALSE)))</f>
        <v/>
      </c>
      <c r="E146" s="112" t="str">
        <f>IF(ISNA(VLOOKUP($F146,Declarations!$B$6:$D$185,3,FALSE)),"",IF(VLOOKUP($F146,Declarations!$B$6:$D$185,3,FALSE)="","NOT DECLARED",VLOOKUP($F146,Declarations!$B$6:$D$185,3,FALSE)&amp;LEFT(VLOOKUP($F146,Declarations!$B$6:$E$185,4,FALSE))))</f>
        <v/>
      </c>
      <c r="F146" s="58"/>
      <c r="G146" s="121"/>
      <c r="H146" s="121"/>
      <c r="I146" s="114" t="str">
        <f>IF(ISNA(VLOOKUP(F146,Declarations!B$6:C$185,2,FALSE)),"",IF(VLOOKUP(F146,Declarations!B$6:C$185,2,FALSE)="","NOT DECLARED",VLOOKUP(F146,Declarations!B$6:C$185,2,FALSE)))</f>
        <v/>
      </c>
      <c r="J146" s="112">
        <f>IF(LOWER(LEFT(G146,1))="n",1,VLOOKUP(G146,ScoringTable!D$2:I$95,6))</f>
        <v>0</v>
      </c>
      <c r="K146" s="112" t="str">
        <f>IF(OR(E146="",G146=""),"",IF(RIGHT(E146,1)="G",_xlfn.XLOOKUP(G146,Data!$D$14:$L$14,Data!$D$9:$L$9,"",-1,1),_xlfn.XLOOKUP(G146,Data!$D$7:$L$7,Data!$D$2:$L$2,"",-1,1)))</f>
        <v/>
      </c>
      <c r="L146" s="160" t="str" cm="1">
        <f t="array" ref="L146">IFERROR(_xlfn.IFNA(
                      _xlfn.IFS(
                      G146="", "",
                      AND(E146="U12B",G146&gt;=Data!$M$7), "U12 Boys record",
                      AND(E146="U12G",G146&gt;=Data!$M$14), "U12 Girls record"
                       ),""), "")</f>
        <v/>
      </c>
      <c r="M146" s="18" cm="1">
        <f t="array" ref="M146">_xlfn.IFS($G146="",0, AND(NOT(ISNUMBER($G146)),LOWER(LEFT($G146,1))&lt;&gt;"n"),"Not a valid distance",OR(LOWER(LEFT($G146,1))="n",$G146&lt;ScoringTable!$O$161),1,RIGHT($E146,1)="B",_xlfn.XLOOKUP($G146,ScoringTable!$O$2:$O$161,ScoringTable!$L$2:$L$161,,-1),TRUE,_xlfn.XLOOKUP($G146,ScoringTable!$U$2:$U$161,ScoringTable!$R$2:$R$161,,-1))</f>
        <v>0</v>
      </c>
    </row>
    <row r="147" spans="1:13" s="7" customFormat="1" ht="16.05" customHeight="1">
      <c r="A147" s="113" t="s">
        <v>99</v>
      </c>
      <c r="B147" s="114" t="str">
        <f>IF(ISNA(VLOOKUP($F147,Declarations!B$6:C$185,2,FALSE)),"",IF(VLOOKUP($F147,Declarations!B$6:C$185,2,FALSE)="","NOT DECLARED",IF(ISNA(_xlfn.TEXTBEFORE(VLOOKUP($F147,Declarations!B$6:C$185,2,FALSE)," ")),VLOOKUP($F147,Declarations!B$6:C$185,2,FALSE),_xlfn.TEXTBEFORE(VLOOKUP($F147,Declarations!B$6:C$185,2,FALSE)," "))))</f>
        <v/>
      </c>
      <c r="C147" s="114" t="str">
        <f>IF(ISNA(VLOOKUP($F147,Declarations!B$6:C$185,2,FALSE)),"",IF(VLOOKUP($F147,Declarations!B$6:C$185,2,FALSE)="","NOT DECLARED",IF(ISNA(_xlfn.TEXTAFTER(VLOOKUP($F147,Declarations!B$6:C$185,2,FALSE)," ")),VLOOKUP($F147,Declarations!B$6:C$185,2,FALSE),_xlfn.TEXTAFTER(VLOOKUP($F147,Declarations!B$6:C$185,2,FALSE)," "))))</f>
        <v/>
      </c>
      <c r="D147" s="114" t="str">
        <f>IF(ISNA(VLOOKUP($F147,Declarations!$B$6:$F$185,5,FALSE)),"",IF(VLOOKUP($F147,Declarations!$B$6:$F$185,5,FALSE)="","NOT DECLARED",VLOOKUP($F147,Declarations!$B$6:$F$185,5,FALSE)))</f>
        <v/>
      </c>
      <c r="E147" s="112" t="str">
        <f>IF(ISNA(VLOOKUP($F147,Declarations!$B$6:$D$185,3,FALSE)),"",IF(VLOOKUP($F147,Declarations!$B$6:$D$185,3,FALSE)="","NOT DECLARED",VLOOKUP($F147,Declarations!$B$6:$D$185,3,FALSE)&amp;LEFT(VLOOKUP($F147,Declarations!$B$6:$E$185,4,FALSE))))</f>
        <v/>
      </c>
      <c r="F147" s="58"/>
      <c r="G147" s="121"/>
      <c r="H147" s="121"/>
      <c r="I147" s="114" t="str">
        <f>IF(ISNA(VLOOKUP(F147,Declarations!B$6:C$185,2,FALSE)),"",IF(VLOOKUP(F147,Declarations!B$6:C$185,2,FALSE)="","NOT DECLARED",VLOOKUP(F147,Declarations!B$6:C$185,2,FALSE)))</f>
        <v/>
      </c>
      <c r="J147" s="112">
        <f>IF(LOWER(LEFT(G147,1))="n",1,VLOOKUP(G147,ScoringTable!D$2:I$95,6))</f>
        <v>0</v>
      </c>
      <c r="K147" s="112" t="str">
        <f>IF(OR(E147="",G147=""),"",IF(RIGHT(E147,1)="G",_xlfn.XLOOKUP(G147,Data!$D$14:$L$14,Data!$D$9:$L$9,"",-1,1),_xlfn.XLOOKUP(G147,Data!$D$7:$L$7,Data!$D$2:$L$2,"",-1,1)))</f>
        <v/>
      </c>
      <c r="L147" s="160" t="str" cm="1">
        <f t="array" ref="L147">IFERROR(_xlfn.IFNA(
                      _xlfn.IFS(
                      G147="", "",
                      AND(E147="U12B",G147&gt;=Data!$M$7), "U12 Boys record",
                      AND(E147="U12G",G147&gt;=Data!$M$14), "U12 Girls record"
                       ),""), "")</f>
        <v/>
      </c>
      <c r="M147" s="18" cm="1">
        <f t="array" ref="M147">_xlfn.IFS($G147="",0, AND(NOT(ISNUMBER($G147)),LOWER(LEFT($G147,1))&lt;&gt;"n"),"Not a valid distance",OR(LOWER(LEFT($G147,1))="n",$G147&lt;ScoringTable!$O$161),1,RIGHT($E147,1)="B",_xlfn.XLOOKUP($G147,ScoringTable!$O$2:$O$161,ScoringTable!$L$2:$L$161,,-1),TRUE,_xlfn.XLOOKUP($G147,ScoringTable!$U$2:$U$161,ScoringTable!$R$2:$R$161,,-1))</f>
        <v>0</v>
      </c>
    </row>
    <row r="148" spans="1:13" s="7" customFormat="1" ht="16.05" customHeight="1">
      <c r="A148" s="113" t="s">
        <v>99</v>
      </c>
      <c r="B148" s="114" t="str">
        <f>IF(ISNA(VLOOKUP($F148,Declarations!B$6:C$185,2,FALSE)),"",IF(VLOOKUP($F148,Declarations!B$6:C$185,2,FALSE)="","NOT DECLARED",IF(ISNA(_xlfn.TEXTBEFORE(VLOOKUP($F148,Declarations!B$6:C$185,2,FALSE)," ")),VLOOKUP($F148,Declarations!B$6:C$185,2,FALSE),_xlfn.TEXTBEFORE(VLOOKUP($F148,Declarations!B$6:C$185,2,FALSE)," "))))</f>
        <v/>
      </c>
      <c r="C148" s="114" t="str">
        <f>IF(ISNA(VLOOKUP($F148,Declarations!B$6:C$185,2,FALSE)),"",IF(VLOOKUP($F148,Declarations!B$6:C$185,2,FALSE)="","NOT DECLARED",IF(ISNA(_xlfn.TEXTAFTER(VLOOKUP($F148,Declarations!B$6:C$185,2,FALSE)," ")),VLOOKUP($F148,Declarations!B$6:C$185,2,FALSE),_xlfn.TEXTAFTER(VLOOKUP($F148,Declarations!B$6:C$185,2,FALSE)," "))))</f>
        <v/>
      </c>
      <c r="D148" s="114" t="str">
        <f>IF(ISNA(VLOOKUP($F148,Declarations!$B$6:$F$185,5,FALSE)),"",IF(VLOOKUP($F148,Declarations!$B$6:$F$185,5,FALSE)="","NOT DECLARED",VLOOKUP($F148,Declarations!$B$6:$F$185,5,FALSE)))</f>
        <v/>
      </c>
      <c r="E148" s="112" t="str">
        <f>IF(ISNA(VLOOKUP($F148,Declarations!$B$6:$D$185,3,FALSE)),"",IF(VLOOKUP($F148,Declarations!$B$6:$D$185,3,FALSE)="","NOT DECLARED",VLOOKUP($F148,Declarations!$B$6:$D$185,3,FALSE)&amp;LEFT(VLOOKUP($F148,Declarations!$B$6:$E$185,4,FALSE))))</f>
        <v/>
      </c>
      <c r="F148" s="58"/>
      <c r="G148" s="121"/>
      <c r="H148" s="121"/>
      <c r="I148" s="114" t="str">
        <f>IF(ISNA(VLOOKUP(F148,Declarations!B$6:C$185,2,FALSE)),"",IF(VLOOKUP(F148,Declarations!B$6:C$185,2,FALSE)="","NOT DECLARED",VLOOKUP(F148,Declarations!B$6:C$185,2,FALSE)))</f>
        <v/>
      </c>
      <c r="J148" s="112">
        <f>IF(LOWER(LEFT(G148,1))="n",1,VLOOKUP(G148,ScoringTable!D$2:I$95,6))</f>
        <v>0</v>
      </c>
      <c r="K148" s="112" t="str">
        <f>IF(OR(E148="",G148=""),"",IF(RIGHT(E148,1)="G",_xlfn.XLOOKUP(G148,Data!$D$14:$L$14,Data!$D$9:$L$9,"",-1,1),_xlfn.XLOOKUP(G148,Data!$D$7:$L$7,Data!$D$2:$L$2,"",-1,1)))</f>
        <v/>
      </c>
      <c r="L148" s="160" t="str" cm="1">
        <f t="array" ref="L148">IFERROR(_xlfn.IFNA(
                      _xlfn.IFS(
                      G148="", "",
                      AND(E148="U12B",G148&gt;=Data!$M$7), "U12 Boys record",
                      AND(E148="U12G",G148&gt;=Data!$M$14), "U12 Girls record"
                       ),""), "")</f>
        <v/>
      </c>
      <c r="M148" s="18" cm="1">
        <f t="array" ref="M148">_xlfn.IFS($G148="",0, AND(NOT(ISNUMBER($G148)),LOWER(LEFT($G148,1))&lt;&gt;"n"),"Not a valid distance",OR(LOWER(LEFT($G148,1))="n",$G148&lt;ScoringTable!$O$161),1,RIGHT($E148,1)="B",_xlfn.XLOOKUP($G148,ScoringTable!$O$2:$O$161,ScoringTable!$L$2:$L$161,,-1),TRUE,_xlfn.XLOOKUP($G148,ScoringTable!$U$2:$U$161,ScoringTable!$R$2:$R$161,,-1))</f>
        <v>0</v>
      </c>
    </row>
    <row r="149" spans="1:13" s="7" customFormat="1" ht="16.05" customHeight="1">
      <c r="A149" s="113" t="s">
        <v>99</v>
      </c>
      <c r="B149" s="114" t="str">
        <f>IF(ISNA(VLOOKUP($F149,Declarations!B$6:C$185,2,FALSE)),"",IF(VLOOKUP($F149,Declarations!B$6:C$185,2,FALSE)="","NOT DECLARED",IF(ISNA(_xlfn.TEXTBEFORE(VLOOKUP($F149,Declarations!B$6:C$185,2,FALSE)," ")),VLOOKUP($F149,Declarations!B$6:C$185,2,FALSE),_xlfn.TEXTBEFORE(VLOOKUP($F149,Declarations!B$6:C$185,2,FALSE)," "))))</f>
        <v/>
      </c>
      <c r="C149" s="114" t="str">
        <f>IF(ISNA(VLOOKUP($F149,Declarations!B$6:C$185,2,FALSE)),"",IF(VLOOKUP($F149,Declarations!B$6:C$185,2,FALSE)="","NOT DECLARED",IF(ISNA(_xlfn.TEXTAFTER(VLOOKUP($F149,Declarations!B$6:C$185,2,FALSE)," ")),VLOOKUP($F149,Declarations!B$6:C$185,2,FALSE),_xlfn.TEXTAFTER(VLOOKUP($F149,Declarations!B$6:C$185,2,FALSE)," "))))</f>
        <v/>
      </c>
      <c r="D149" s="114" t="str">
        <f>IF(ISNA(VLOOKUP($F149,Declarations!$B$6:$F$185,5,FALSE)),"",IF(VLOOKUP($F149,Declarations!$B$6:$F$185,5,FALSE)="","NOT DECLARED",VLOOKUP($F149,Declarations!$B$6:$F$185,5,FALSE)))</f>
        <v/>
      </c>
      <c r="E149" s="112" t="str">
        <f>IF(ISNA(VLOOKUP($F149,Declarations!$B$6:$D$185,3,FALSE)),"",IF(VLOOKUP($F149,Declarations!$B$6:$D$185,3,FALSE)="","NOT DECLARED",VLOOKUP($F149,Declarations!$B$6:$D$185,3,FALSE)&amp;LEFT(VLOOKUP($F149,Declarations!$B$6:$E$185,4,FALSE))))</f>
        <v/>
      </c>
      <c r="F149" s="58"/>
      <c r="G149" s="121"/>
      <c r="H149" s="121"/>
      <c r="I149" s="114" t="str">
        <f>IF(ISNA(VLOOKUP(F149,Declarations!B$6:C$185,2,FALSE)),"",IF(VLOOKUP(F149,Declarations!B$6:C$185,2,FALSE)="","NOT DECLARED",VLOOKUP(F149,Declarations!B$6:C$185,2,FALSE)))</f>
        <v/>
      </c>
      <c r="J149" s="112">
        <f>IF(LOWER(LEFT(G149,1))="n",1,VLOOKUP(G149,ScoringTable!D$2:I$95,6))</f>
        <v>0</v>
      </c>
      <c r="K149" s="112" t="str">
        <f>IF(OR(E149="",G149=""),"",IF(RIGHT(E149,1)="G",_xlfn.XLOOKUP(G149,Data!$D$14:$L$14,Data!$D$9:$L$9,"",-1,1),_xlfn.XLOOKUP(G149,Data!$D$7:$L$7,Data!$D$2:$L$2,"",-1,1)))</f>
        <v/>
      </c>
      <c r="L149" s="160" t="str" cm="1">
        <f t="array" ref="L149">IFERROR(_xlfn.IFNA(
                      _xlfn.IFS(
                      G149="", "",
                      AND(E149="U12B",G149&gt;=Data!$M$7), "U12 Boys record",
                      AND(E149="U12G",G149&gt;=Data!$M$14), "U12 Girls record"
                       ),""), "")</f>
        <v/>
      </c>
      <c r="M149" s="18" cm="1">
        <f t="array" ref="M149">_xlfn.IFS($G149="",0, AND(NOT(ISNUMBER($G149)),LOWER(LEFT($G149,1))&lt;&gt;"n"),"Not a valid distance",OR(LOWER(LEFT($G149,1))="n",$G149&lt;ScoringTable!$O$161),1,RIGHT($E149,1)="B",_xlfn.XLOOKUP($G149,ScoringTable!$O$2:$O$161,ScoringTable!$L$2:$L$161,,-1),TRUE,_xlfn.XLOOKUP($G149,ScoringTable!$U$2:$U$161,ScoringTable!$R$2:$R$161,,-1))</f>
        <v>0</v>
      </c>
    </row>
    <row r="150" spans="1:13" s="7" customFormat="1" ht="16.05" customHeight="1">
      <c r="A150" s="113" t="s">
        <v>99</v>
      </c>
      <c r="B150" s="114" t="str">
        <f>IF(ISNA(VLOOKUP($F150,Declarations!B$6:C$185,2,FALSE)),"",IF(VLOOKUP($F150,Declarations!B$6:C$185,2,FALSE)="","NOT DECLARED",IF(ISNA(_xlfn.TEXTBEFORE(VLOOKUP($F150,Declarations!B$6:C$185,2,FALSE)," ")),VLOOKUP($F150,Declarations!B$6:C$185,2,FALSE),_xlfn.TEXTBEFORE(VLOOKUP($F150,Declarations!B$6:C$185,2,FALSE)," "))))</f>
        <v/>
      </c>
      <c r="C150" s="114" t="str">
        <f>IF(ISNA(VLOOKUP($F150,Declarations!B$6:C$185,2,FALSE)),"",IF(VLOOKUP($F150,Declarations!B$6:C$185,2,FALSE)="","NOT DECLARED",IF(ISNA(_xlfn.TEXTAFTER(VLOOKUP($F150,Declarations!B$6:C$185,2,FALSE)," ")),VLOOKUP($F150,Declarations!B$6:C$185,2,FALSE),_xlfn.TEXTAFTER(VLOOKUP($F150,Declarations!B$6:C$185,2,FALSE)," "))))</f>
        <v/>
      </c>
      <c r="D150" s="114" t="str">
        <f>IF(ISNA(VLOOKUP($F150,Declarations!$B$6:$F$185,5,FALSE)),"",IF(VLOOKUP($F150,Declarations!$B$6:$F$185,5,FALSE)="","NOT DECLARED",VLOOKUP($F150,Declarations!$B$6:$F$185,5,FALSE)))</f>
        <v/>
      </c>
      <c r="E150" s="112" t="str">
        <f>IF(ISNA(VLOOKUP($F150,Declarations!$B$6:$D$185,3,FALSE)),"",IF(VLOOKUP($F150,Declarations!$B$6:$D$185,3,FALSE)="","NOT DECLARED",VLOOKUP($F150,Declarations!$B$6:$D$185,3,FALSE)&amp;LEFT(VLOOKUP($F150,Declarations!$B$6:$E$185,4,FALSE))))</f>
        <v/>
      </c>
      <c r="F150" s="58"/>
      <c r="G150" s="121"/>
      <c r="H150" s="121"/>
      <c r="I150" s="114" t="str">
        <f>IF(ISNA(VLOOKUP(F150,Declarations!B$6:C$185,2,FALSE)),"",IF(VLOOKUP(F150,Declarations!B$6:C$185,2,FALSE)="","NOT DECLARED",VLOOKUP(F150,Declarations!B$6:C$185,2,FALSE)))</f>
        <v/>
      </c>
      <c r="J150" s="112">
        <f>IF(LOWER(LEFT(G150,1))="n",1,VLOOKUP(G150,ScoringTable!D$2:I$95,6))</f>
        <v>0</v>
      </c>
      <c r="K150" s="112" t="str">
        <f>IF(OR(E150="",G150=""),"",IF(RIGHT(E150,1)="G",_xlfn.XLOOKUP(G150,Data!$D$14:$L$14,Data!$D$9:$L$9,"",-1,1),_xlfn.XLOOKUP(G150,Data!$D$7:$L$7,Data!$D$2:$L$2,"",-1,1)))</f>
        <v/>
      </c>
      <c r="L150" s="160" t="str" cm="1">
        <f t="array" ref="L150">IFERROR(_xlfn.IFNA(
                      _xlfn.IFS(
                      G150="", "",
                      AND(E150="U12B",G150&gt;=Data!$M$7), "U12 Boys record",
                      AND(E150="U12G",G150&gt;=Data!$M$14), "U12 Girls record"
                       ),""), "")</f>
        <v/>
      </c>
      <c r="M150" s="18" cm="1">
        <f t="array" ref="M150">_xlfn.IFS($G150="",0, AND(NOT(ISNUMBER($G150)),LOWER(LEFT($G150,1))&lt;&gt;"n"),"Not a valid distance",OR(LOWER(LEFT($G150,1))="n",$G150&lt;ScoringTable!$O$161),1,RIGHT($E150,1)="B",_xlfn.XLOOKUP($G150,ScoringTable!$O$2:$O$161,ScoringTable!$L$2:$L$161,,-1),TRUE,_xlfn.XLOOKUP($G150,ScoringTable!$U$2:$U$161,ScoringTable!$R$2:$R$161,,-1))</f>
        <v>0</v>
      </c>
    </row>
    <row r="151" spans="1:13" s="7" customFormat="1" ht="16.05" customHeight="1">
      <c r="A151" s="113" t="s">
        <v>99</v>
      </c>
      <c r="B151" s="114" t="str">
        <f>IF(ISNA(VLOOKUP($F151,Declarations!B$6:C$185,2,FALSE)),"",IF(VLOOKUP($F151,Declarations!B$6:C$185,2,FALSE)="","NOT DECLARED",IF(ISNA(_xlfn.TEXTBEFORE(VLOOKUP($F151,Declarations!B$6:C$185,2,FALSE)," ")),VLOOKUP($F151,Declarations!B$6:C$185,2,FALSE),_xlfn.TEXTBEFORE(VLOOKUP($F151,Declarations!B$6:C$185,2,FALSE)," "))))</f>
        <v/>
      </c>
      <c r="C151" s="114" t="str">
        <f>IF(ISNA(VLOOKUP($F151,Declarations!B$6:C$185,2,FALSE)),"",IF(VLOOKUP($F151,Declarations!B$6:C$185,2,FALSE)="","NOT DECLARED",IF(ISNA(_xlfn.TEXTAFTER(VLOOKUP($F151,Declarations!B$6:C$185,2,FALSE)," ")),VLOOKUP($F151,Declarations!B$6:C$185,2,FALSE),_xlfn.TEXTAFTER(VLOOKUP($F151,Declarations!B$6:C$185,2,FALSE)," "))))</f>
        <v/>
      </c>
      <c r="D151" s="114" t="str">
        <f>IF(ISNA(VLOOKUP($F151,Declarations!$B$6:$F$185,5,FALSE)),"",IF(VLOOKUP($F151,Declarations!$B$6:$F$185,5,FALSE)="","NOT DECLARED",VLOOKUP($F151,Declarations!$B$6:$F$185,5,FALSE)))</f>
        <v/>
      </c>
      <c r="E151" s="112" t="str">
        <f>IF(ISNA(VLOOKUP($F151,Declarations!$B$6:$D$185,3,FALSE)),"",IF(VLOOKUP($F151,Declarations!$B$6:$D$185,3,FALSE)="","NOT DECLARED",VLOOKUP($F151,Declarations!$B$6:$D$185,3,FALSE)&amp;LEFT(VLOOKUP($F151,Declarations!$B$6:$E$185,4,FALSE))))</f>
        <v/>
      </c>
      <c r="F151" s="58"/>
      <c r="G151" s="121"/>
      <c r="H151" s="121"/>
      <c r="I151" s="114" t="str">
        <f>IF(ISNA(VLOOKUP(F151,Declarations!B$6:C$185,2,FALSE)),"",IF(VLOOKUP(F151,Declarations!B$6:C$185,2,FALSE)="","NOT DECLARED",VLOOKUP(F151,Declarations!B$6:C$185,2,FALSE)))</f>
        <v/>
      </c>
      <c r="J151" s="112">
        <f>IF(LOWER(LEFT(G151,1))="n",1,VLOOKUP(G151,ScoringTable!D$2:I$95,6))</f>
        <v>0</v>
      </c>
      <c r="K151" s="112" t="str">
        <f>IF(OR(E151="",G151=""),"",IF(RIGHT(E151,1)="G",_xlfn.XLOOKUP(G151,Data!$D$14:$L$14,Data!$D$9:$L$9,"",-1,1),_xlfn.XLOOKUP(G151,Data!$D$7:$L$7,Data!$D$2:$L$2,"",-1,1)))</f>
        <v/>
      </c>
      <c r="L151" s="160" t="str" cm="1">
        <f t="array" ref="L151">IFERROR(_xlfn.IFNA(
                      _xlfn.IFS(
                      G151="", "",
                      AND(E151="U12B",G151&gt;=Data!$M$7), "U12 Boys record",
                      AND(E151="U12G",G151&gt;=Data!$M$14), "U12 Girls record"
                       ),""), "")</f>
        <v/>
      </c>
      <c r="M151" s="18" cm="1">
        <f t="array" ref="M151">_xlfn.IFS($G151="",0, AND(NOT(ISNUMBER($G151)),LOWER(LEFT($G151,1))&lt;&gt;"n"),"Not a valid distance",OR(LOWER(LEFT($G151,1))="n",$G151&lt;ScoringTable!$O$161),1,RIGHT($E151,1)="B",_xlfn.XLOOKUP($G151,ScoringTable!$O$2:$O$161,ScoringTable!$L$2:$L$161,,-1),TRUE,_xlfn.XLOOKUP($G151,ScoringTable!$U$2:$U$161,ScoringTable!$R$2:$R$161,,-1))</f>
        <v>0</v>
      </c>
    </row>
    <row r="152" spans="1:13" s="7" customFormat="1" ht="16.05" customHeight="1">
      <c r="A152" s="113" t="s">
        <v>99</v>
      </c>
      <c r="B152" s="114" t="str">
        <f>IF(ISNA(VLOOKUP($F152,Declarations!B$6:C$185,2,FALSE)),"",IF(VLOOKUP($F152,Declarations!B$6:C$185,2,FALSE)="","NOT DECLARED",IF(ISNA(_xlfn.TEXTBEFORE(VLOOKUP($F152,Declarations!B$6:C$185,2,FALSE)," ")),VLOOKUP($F152,Declarations!B$6:C$185,2,FALSE),_xlfn.TEXTBEFORE(VLOOKUP($F152,Declarations!B$6:C$185,2,FALSE)," "))))</f>
        <v/>
      </c>
      <c r="C152" s="114" t="str">
        <f>IF(ISNA(VLOOKUP($F152,Declarations!B$6:C$185,2,FALSE)),"",IF(VLOOKUP($F152,Declarations!B$6:C$185,2,FALSE)="","NOT DECLARED",IF(ISNA(_xlfn.TEXTAFTER(VLOOKUP($F152,Declarations!B$6:C$185,2,FALSE)," ")),VLOOKUP($F152,Declarations!B$6:C$185,2,FALSE),_xlfn.TEXTAFTER(VLOOKUP($F152,Declarations!B$6:C$185,2,FALSE)," "))))</f>
        <v/>
      </c>
      <c r="D152" s="114" t="str">
        <f>IF(ISNA(VLOOKUP($F152,Declarations!$B$6:$F$185,5,FALSE)),"",IF(VLOOKUP($F152,Declarations!$B$6:$F$185,5,FALSE)="","NOT DECLARED",VLOOKUP($F152,Declarations!$B$6:$F$185,5,FALSE)))</f>
        <v/>
      </c>
      <c r="E152" s="112" t="str">
        <f>IF(ISNA(VLOOKUP($F152,Declarations!$B$6:$D$185,3,FALSE)),"",IF(VLOOKUP($F152,Declarations!$B$6:$D$185,3,FALSE)="","NOT DECLARED",VLOOKUP($F152,Declarations!$B$6:$D$185,3,FALSE)&amp;LEFT(VLOOKUP($F152,Declarations!$B$6:$E$185,4,FALSE))))</f>
        <v/>
      </c>
      <c r="F152" s="58"/>
      <c r="G152" s="121"/>
      <c r="H152" s="121"/>
      <c r="I152" s="114" t="str">
        <f>IF(ISNA(VLOOKUP(F152,Declarations!B$6:C$185,2,FALSE)),"",IF(VLOOKUP(F152,Declarations!B$6:C$185,2,FALSE)="","NOT DECLARED",VLOOKUP(F152,Declarations!B$6:C$185,2,FALSE)))</f>
        <v/>
      </c>
      <c r="J152" s="112">
        <f>IF(LOWER(LEFT(G152,1))="n",1,VLOOKUP(G152,ScoringTable!D$2:I$95,6))</f>
        <v>0</v>
      </c>
      <c r="K152" s="112" t="str">
        <f>IF(OR(E152="",G152=""),"",IF(RIGHT(E152,1)="G",_xlfn.XLOOKUP(G152,Data!$D$14:$L$14,Data!$D$9:$L$9,"",-1,1),_xlfn.XLOOKUP(G152,Data!$D$7:$L$7,Data!$D$2:$L$2,"",-1,1)))</f>
        <v/>
      </c>
      <c r="L152" s="160" t="str" cm="1">
        <f t="array" ref="L152">IFERROR(_xlfn.IFNA(
                      _xlfn.IFS(
                      G152="", "",
                      AND(E152="U12B",G152&gt;=Data!$M$7), "U12 Boys record",
                      AND(E152="U12G",G152&gt;=Data!$M$14), "U12 Girls record"
                       ),""), "")</f>
        <v/>
      </c>
      <c r="M152" s="18" cm="1">
        <f t="array" ref="M152">_xlfn.IFS($G152="",0, AND(NOT(ISNUMBER($G152)),LOWER(LEFT($G152,1))&lt;&gt;"n"),"Not a valid distance",OR(LOWER(LEFT($G152,1))="n",$G152&lt;ScoringTable!$O$161),1,RIGHT($E152,1)="B",_xlfn.XLOOKUP($G152,ScoringTable!$O$2:$O$161,ScoringTable!$L$2:$L$161,,-1),TRUE,_xlfn.XLOOKUP($G152,ScoringTable!$U$2:$U$161,ScoringTable!$R$2:$R$161,,-1))</f>
        <v>0</v>
      </c>
    </row>
    <row r="153" spans="1:13" s="7" customFormat="1" ht="16.05" customHeight="1">
      <c r="A153" s="113" t="s">
        <v>99</v>
      </c>
      <c r="B153" s="114" t="str">
        <f>IF(ISNA(VLOOKUP($F153,Declarations!B$6:C$185,2,FALSE)),"",IF(VLOOKUP($F153,Declarations!B$6:C$185,2,FALSE)="","NOT DECLARED",IF(ISNA(_xlfn.TEXTBEFORE(VLOOKUP($F153,Declarations!B$6:C$185,2,FALSE)," ")),VLOOKUP($F153,Declarations!B$6:C$185,2,FALSE),_xlfn.TEXTBEFORE(VLOOKUP($F153,Declarations!B$6:C$185,2,FALSE)," "))))</f>
        <v/>
      </c>
      <c r="C153" s="114" t="str">
        <f>IF(ISNA(VLOOKUP($F153,Declarations!B$6:C$185,2,FALSE)),"",IF(VLOOKUP($F153,Declarations!B$6:C$185,2,FALSE)="","NOT DECLARED",IF(ISNA(_xlfn.TEXTAFTER(VLOOKUP($F153,Declarations!B$6:C$185,2,FALSE)," ")),VLOOKUP($F153,Declarations!B$6:C$185,2,FALSE),_xlfn.TEXTAFTER(VLOOKUP($F153,Declarations!B$6:C$185,2,FALSE)," "))))</f>
        <v/>
      </c>
      <c r="D153" s="114" t="str">
        <f>IF(ISNA(VLOOKUP($F153,Declarations!$B$6:$F$185,5,FALSE)),"",IF(VLOOKUP($F153,Declarations!$B$6:$F$185,5,FALSE)="","NOT DECLARED",VLOOKUP($F153,Declarations!$B$6:$F$185,5,FALSE)))</f>
        <v/>
      </c>
      <c r="E153" s="112" t="str">
        <f>IF(ISNA(VLOOKUP($F153,Declarations!$B$6:$D$185,3,FALSE)),"",IF(VLOOKUP($F153,Declarations!$B$6:$D$185,3,FALSE)="","NOT DECLARED",VLOOKUP($F153,Declarations!$B$6:$D$185,3,FALSE)&amp;LEFT(VLOOKUP($F153,Declarations!$B$6:$E$185,4,FALSE))))</f>
        <v/>
      </c>
      <c r="F153" s="58"/>
      <c r="G153" s="121"/>
      <c r="H153" s="121"/>
      <c r="I153" s="114" t="str">
        <f>IF(ISNA(VLOOKUP(F153,Declarations!B$6:C$185,2,FALSE)),"",IF(VLOOKUP(F153,Declarations!B$6:C$185,2,FALSE)="","NOT DECLARED",VLOOKUP(F153,Declarations!B$6:C$185,2,FALSE)))</f>
        <v/>
      </c>
      <c r="J153" s="112">
        <f>IF(LOWER(LEFT(G153,1))="n",1,VLOOKUP(G153,ScoringTable!D$2:I$95,6))</f>
        <v>0</v>
      </c>
      <c r="K153" s="112" t="str">
        <f>IF(OR(E153="",G153=""),"",IF(RIGHT(E153,1)="G",_xlfn.XLOOKUP(G153,Data!$D$14:$L$14,Data!$D$9:$L$9,"",-1,1),_xlfn.XLOOKUP(G153,Data!$D$7:$L$7,Data!$D$2:$L$2,"",-1,1)))</f>
        <v/>
      </c>
      <c r="L153" s="160" t="str" cm="1">
        <f t="array" ref="L153">IFERROR(_xlfn.IFNA(
                      _xlfn.IFS(
                      G153="", "",
                      AND(E153="U12B",G153&gt;=Data!$M$7), "U12 Boys record",
                      AND(E153="U12G",G153&gt;=Data!$M$14), "U12 Girls record"
                       ),""), "")</f>
        <v/>
      </c>
      <c r="M153" s="18" cm="1">
        <f t="array" ref="M153">_xlfn.IFS($G153="",0, AND(NOT(ISNUMBER($G153)),LOWER(LEFT($G153,1))&lt;&gt;"n"),"Not a valid distance",OR(LOWER(LEFT($G153,1))="n",$G153&lt;ScoringTable!$O$161),1,RIGHT($E153,1)="B",_xlfn.XLOOKUP($G153,ScoringTable!$O$2:$O$161,ScoringTable!$L$2:$L$161,,-1),TRUE,_xlfn.XLOOKUP($G153,ScoringTable!$U$2:$U$161,ScoringTable!$R$2:$R$161,,-1))</f>
        <v>0</v>
      </c>
    </row>
    <row r="154" spans="1:13" s="7" customFormat="1" ht="16.05" customHeight="1">
      <c r="A154" s="113" t="s">
        <v>99</v>
      </c>
      <c r="B154" s="114" t="str">
        <f>IF(ISNA(VLOOKUP($F154,Declarations!B$6:C$185,2,FALSE)),"",IF(VLOOKUP($F154,Declarations!B$6:C$185,2,FALSE)="","NOT DECLARED",IF(ISNA(_xlfn.TEXTBEFORE(VLOOKUP($F154,Declarations!B$6:C$185,2,FALSE)," ")),VLOOKUP($F154,Declarations!B$6:C$185,2,FALSE),_xlfn.TEXTBEFORE(VLOOKUP($F154,Declarations!B$6:C$185,2,FALSE)," "))))</f>
        <v/>
      </c>
      <c r="C154" s="114" t="str">
        <f>IF(ISNA(VLOOKUP($F154,Declarations!B$6:C$185,2,FALSE)),"",IF(VLOOKUP($F154,Declarations!B$6:C$185,2,FALSE)="","NOT DECLARED",IF(ISNA(_xlfn.TEXTAFTER(VLOOKUP($F154,Declarations!B$6:C$185,2,FALSE)," ")),VLOOKUP($F154,Declarations!B$6:C$185,2,FALSE),_xlfn.TEXTAFTER(VLOOKUP($F154,Declarations!B$6:C$185,2,FALSE)," "))))</f>
        <v/>
      </c>
      <c r="D154" s="114" t="str">
        <f>IF(ISNA(VLOOKUP($F154,Declarations!$B$6:$F$185,5,FALSE)),"",IF(VLOOKUP($F154,Declarations!$B$6:$F$185,5,FALSE)="","NOT DECLARED",VLOOKUP($F154,Declarations!$B$6:$F$185,5,FALSE)))</f>
        <v/>
      </c>
      <c r="E154" s="112" t="str">
        <f>IF(ISNA(VLOOKUP($F154,Declarations!$B$6:$D$185,3,FALSE)),"",IF(VLOOKUP($F154,Declarations!$B$6:$D$185,3,FALSE)="","NOT DECLARED",VLOOKUP($F154,Declarations!$B$6:$D$185,3,FALSE)&amp;LEFT(VLOOKUP($F154,Declarations!$B$6:$E$185,4,FALSE))))</f>
        <v/>
      </c>
      <c r="F154" s="58"/>
      <c r="G154" s="121"/>
      <c r="H154" s="121"/>
      <c r="I154" s="114" t="str">
        <f>IF(ISNA(VLOOKUP(F154,Declarations!B$6:C$185,2,FALSE)),"",IF(VLOOKUP(F154,Declarations!B$6:C$185,2,FALSE)="","NOT DECLARED",VLOOKUP(F154,Declarations!B$6:C$185,2,FALSE)))</f>
        <v/>
      </c>
      <c r="J154" s="112">
        <f>IF(LOWER(LEFT(G154,1))="n",1,VLOOKUP(G154,ScoringTable!D$2:I$95,6))</f>
        <v>0</v>
      </c>
      <c r="K154" s="112" t="str">
        <f>IF(OR(E154="",G154=""),"",IF(RIGHT(E154,1)="G",_xlfn.XLOOKUP(G154,Data!$D$14:$L$14,Data!$D$9:$L$9,"",-1,1),_xlfn.XLOOKUP(G154,Data!$D$7:$L$7,Data!$D$2:$L$2,"",-1,1)))</f>
        <v/>
      </c>
      <c r="L154" s="160" t="str" cm="1">
        <f t="array" ref="L154">IFERROR(_xlfn.IFNA(
                      _xlfn.IFS(
                      G154="", "",
                      AND(E154="U12B",G154&gt;=Data!$M$7), "U12 Boys record",
                      AND(E154="U12G",G154&gt;=Data!$M$14), "U12 Girls record"
                       ),""), "")</f>
        <v/>
      </c>
      <c r="M154" s="18" cm="1">
        <f t="array" ref="M154">_xlfn.IFS($G154="",0, AND(NOT(ISNUMBER($G154)),LOWER(LEFT($G154,1))&lt;&gt;"n"),"Not a valid distance",OR(LOWER(LEFT($G154,1))="n",$G154&lt;ScoringTable!$O$161),1,RIGHT($E154,1)="B",_xlfn.XLOOKUP($G154,ScoringTable!$O$2:$O$161,ScoringTable!$L$2:$L$161,,-1),TRUE,_xlfn.XLOOKUP($G154,ScoringTable!$U$2:$U$161,ScoringTable!$R$2:$R$161,,-1))</f>
        <v>0</v>
      </c>
    </row>
    <row r="155" spans="1:13" s="7" customFormat="1" ht="16.05" customHeight="1">
      <c r="A155" s="113" t="s">
        <v>99</v>
      </c>
      <c r="B155" s="114" t="str">
        <f>IF(ISNA(VLOOKUP($F155,Declarations!B$6:C$185,2,FALSE)),"",IF(VLOOKUP($F155,Declarations!B$6:C$185,2,FALSE)="","NOT DECLARED",IF(ISNA(_xlfn.TEXTBEFORE(VLOOKUP($F155,Declarations!B$6:C$185,2,FALSE)," ")),VLOOKUP($F155,Declarations!B$6:C$185,2,FALSE),_xlfn.TEXTBEFORE(VLOOKUP($F155,Declarations!B$6:C$185,2,FALSE)," "))))</f>
        <v/>
      </c>
      <c r="C155" s="114" t="str">
        <f>IF(ISNA(VLOOKUP($F155,Declarations!B$6:C$185,2,FALSE)),"",IF(VLOOKUP($F155,Declarations!B$6:C$185,2,FALSE)="","NOT DECLARED",IF(ISNA(_xlfn.TEXTAFTER(VLOOKUP($F155,Declarations!B$6:C$185,2,FALSE)," ")),VLOOKUP($F155,Declarations!B$6:C$185,2,FALSE),_xlfn.TEXTAFTER(VLOOKUP($F155,Declarations!B$6:C$185,2,FALSE)," "))))</f>
        <v/>
      </c>
      <c r="D155" s="114" t="str">
        <f>IF(ISNA(VLOOKUP($F155,Declarations!$B$6:$F$185,5,FALSE)),"",IF(VLOOKUP($F155,Declarations!$B$6:$F$185,5,FALSE)="","NOT DECLARED",VLOOKUP($F155,Declarations!$B$6:$F$185,5,FALSE)))</f>
        <v/>
      </c>
      <c r="E155" s="112" t="str">
        <f>IF(ISNA(VLOOKUP($F155,Declarations!$B$6:$D$185,3,FALSE)),"",IF(VLOOKUP($F155,Declarations!$B$6:$D$185,3,FALSE)="","NOT DECLARED",VLOOKUP($F155,Declarations!$B$6:$D$185,3,FALSE)&amp;LEFT(VLOOKUP($F155,Declarations!$B$6:$E$185,4,FALSE))))</f>
        <v/>
      </c>
      <c r="F155" s="58"/>
      <c r="G155" s="121"/>
      <c r="H155" s="121"/>
      <c r="I155" s="114" t="str">
        <f>IF(ISNA(VLOOKUP(F155,Declarations!B$6:C$185,2,FALSE)),"",IF(VLOOKUP(F155,Declarations!B$6:C$185,2,FALSE)="","NOT DECLARED",VLOOKUP(F155,Declarations!B$6:C$185,2,FALSE)))</f>
        <v/>
      </c>
      <c r="J155" s="112">
        <f>IF(LOWER(LEFT(G155,1))="n",1,VLOOKUP(G155,ScoringTable!D$2:I$95,6))</f>
        <v>0</v>
      </c>
      <c r="K155" s="112" t="str">
        <f>IF(OR(E155="",G155=""),"",IF(RIGHT(E155,1)="G",_xlfn.XLOOKUP(G155,Data!$D$14:$L$14,Data!$D$9:$L$9,"",-1,1),_xlfn.XLOOKUP(G155,Data!$D$7:$L$7,Data!$D$2:$L$2,"",-1,1)))</f>
        <v/>
      </c>
      <c r="L155" s="160" t="str" cm="1">
        <f t="array" ref="L155">IFERROR(_xlfn.IFNA(
                      _xlfn.IFS(
                      G155="", "",
                      AND(E155="U12B",G155&gt;=Data!$M$7), "U12 Boys record",
                      AND(E155="U12G",G155&gt;=Data!$M$14), "U12 Girls record"
                       ),""), "")</f>
        <v/>
      </c>
      <c r="M155" s="18" cm="1">
        <f t="array" ref="M155">_xlfn.IFS($G155="",0, AND(NOT(ISNUMBER($G155)),LOWER(LEFT($G155,1))&lt;&gt;"n"),"Not a valid distance",OR(LOWER(LEFT($G155,1))="n",$G155&lt;ScoringTable!$O$161),1,RIGHT($E155,1)="B",_xlfn.XLOOKUP($G155,ScoringTable!$O$2:$O$161,ScoringTable!$L$2:$L$161,,-1),TRUE,_xlfn.XLOOKUP($G155,ScoringTable!$U$2:$U$161,ScoringTable!$R$2:$R$161,,-1))</f>
        <v>0</v>
      </c>
    </row>
    <row r="156" spans="1:13" s="7" customFormat="1" ht="16.05" customHeight="1">
      <c r="A156" s="113" t="s">
        <v>99</v>
      </c>
      <c r="B156" s="114" t="str">
        <f>IF(ISNA(VLOOKUP($F156,Declarations!B$6:C$185,2,FALSE)),"",IF(VLOOKUP($F156,Declarations!B$6:C$185,2,FALSE)="","NOT DECLARED",IF(ISNA(_xlfn.TEXTBEFORE(VLOOKUP($F156,Declarations!B$6:C$185,2,FALSE)," ")),VLOOKUP($F156,Declarations!B$6:C$185,2,FALSE),_xlfn.TEXTBEFORE(VLOOKUP($F156,Declarations!B$6:C$185,2,FALSE)," "))))</f>
        <v/>
      </c>
      <c r="C156" s="114" t="str">
        <f>IF(ISNA(VLOOKUP($F156,Declarations!B$6:C$185,2,FALSE)),"",IF(VLOOKUP($F156,Declarations!B$6:C$185,2,FALSE)="","NOT DECLARED",IF(ISNA(_xlfn.TEXTAFTER(VLOOKUP($F156,Declarations!B$6:C$185,2,FALSE)," ")),VLOOKUP($F156,Declarations!B$6:C$185,2,FALSE),_xlfn.TEXTAFTER(VLOOKUP($F156,Declarations!B$6:C$185,2,FALSE)," "))))</f>
        <v/>
      </c>
      <c r="D156" s="114" t="str">
        <f>IF(ISNA(VLOOKUP($F156,Declarations!$B$6:$F$185,5,FALSE)),"",IF(VLOOKUP($F156,Declarations!$B$6:$F$185,5,FALSE)="","NOT DECLARED",VLOOKUP($F156,Declarations!$B$6:$F$185,5,FALSE)))</f>
        <v/>
      </c>
      <c r="E156" s="112" t="str">
        <f>IF(ISNA(VLOOKUP($F156,Declarations!$B$6:$D$185,3,FALSE)),"",IF(VLOOKUP($F156,Declarations!$B$6:$D$185,3,FALSE)="","NOT DECLARED",VLOOKUP($F156,Declarations!$B$6:$D$185,3,FALSE)&amp;LEFT(VLOOKUP($F156,Declarations!$B$6:$E$185,4,FALSE))))</f>
        <v/>
      </c>
      <c r="F156" s="58"/>
      <c r="G156" s="121"/>
      <c r="H156" s="121"/>
      <c r="I156" s="114" t="str">
        <f>IF(ISNA(VLOOKUP(F156,Declarations!B$6:C$185,2,FALSE)),"",IF(VLOOKUP(F156,Declarations!B$6:C$185,2,FALSE)="","NOT DECLARED",VLOOKUP(F156,Declarations!B$6:C$185,2,FALSE)))</f>
        <v/>
      </c>
      <c r="J156" s="112">
        <f>IF(LOWER(LEFT(G156,1))="n",1,VLOOKUP(G156,ScoringTable!D$2:I$95,6))</f>
        <v>0</v>
      </c>
      <c r="K156" s="112" t="str">
        <f>IF(OR(E156="",G156=""),"",IF(RIGHT(E156,1)="G",_xlfn.XLOOKUP(G156,Data!$D$14:$L$14,Data!$D$9:$L$9,"",-1,1),_xlfn.XLOOKUP(G156,Data!$D$7:$L$7,Data!$D$2:$L$2,"",-1,1)))</f>
        <v/>
      </c>
      <c r="L156" s="160" t="str" cm="1">
        <f t="array" ref="L156">IFERROR(_xlfn.IFNA(
                      _xlfn.IFS(
                      G156="", "",
                      AND(E156="U12B",G156&gt;=Data!$M$7), "U12 Boys record",
                      AND(E156="U12G",G156&gt;=Data!$M$14), "U12 Girls record"
                       ),""), "")</f>
        <v/>
      </c>
      <c r="M156" s="18" cm="1">
        <f t="array" ref="M156">_xlfn.IFS($G156="",0, AND(NOT(ISNUMBER($G156)),LOWER(LEFT($G156,1))&lt;&gt;"n"),"Not a valid distance",OR(LOWER(LEFT($G156,1))="n",$G156&lt;ScoringTable!$O$161),1,RIGHT($E156,1)="B",_xlfn.XLOOKUP($G156,ScoringTable!$O$2:$O$161,ScoringTable!$L$2:$L$161,,-1),TRUE,_xlfn.XLOOKUP($G156,ScoringTable!$U$2:$U$161,ScoringTable!$R$2:$R$161,,-1))</f>
        <v>0</v>
      </c>
    </row>
    <row r="157" spans="1:13" s="7" customFormat="1" ht="16.05" customHeight="1">
      <c r="A157" s="113" t="s">
        <v>99</v>
      </c>
      <c r="B157" s="114" t="str">
        <f>IF(ISNA(VLOOKUP($F157,Declarations!B$6:C$185,2,FALSE)),"",IF(VLOOKUP($F157,Declarations!B$6:C$185,2,FALSE)="","NOT DECLARED",IF(ISNA(_xlfn.TEXTBEFORE(VLOOKUP($F157,Declarations!B$6:C$185,2,FALSE)," ")),VLOOKUP($F157,Declarations!B$6:C$185,2,FALSE),_xlfn.TEXTBEFORE(VLOOKUP($F157,Declarations!B$6:C$185,2,FALSE)," "))))</f>
        <v/>
      </c>
      <c r="C157" s="114" t="str">
        <f>IF(ISNA(VLOOKUP($F157,Declarations!B$6:C$185,2,FALSE)),"",IF(VLOOKUP($F157,Declarations!B$6:C$185,2,FALSE)="","NOT DECLARED",IF(ISNA(_xlfn.TEXTAFTER(VLOOKUP($F157,Declarations!B$6:C$185,2,FALSE)," ")),VLOOKUP($F157,Declarations!B$6:C$185,2,FALSE),_xlfn.TEXTAFTER(VLOOKUP($F157,Declarations!B$6:C$185,2,FALSE)," "))))</f>
        <v/>
      </c>
      <c r="D157" s="114" t="str">
        <f>IF(ISNA(VLOOKUP($F157,Declarations!$B$6:$F$185,5,FALSE)),"",IF(VLOOKUP($F157,Declarations!$B$6:$F$185,5,FALSE)="","NOT DECLARED",VLOOKUP($F157,Declarations!$B$6:$F$185,5,FALSE)))</f>
        <v/>
      </c>
      <c r="E157" s="112" t="str">
        <f>IF(ISNA(VLOOKUP($F157,Declarations!$B$6:$D$185,3,FALSE)),"",IF(VLOOKUP($F157,Declarations!$B$6:$D$185,3,FALSE)="","NOT DECLARED",VLOOKUP($F157,Declarations!$B$6:$D$185,3,FALSE)&amp;LEFT(VLOOKUP($F157,Declarations!$B$6:$E$185,4,FALSE))))</f>
        <v/>
      </c>
      <c r="F157" s="58"/>
      <c r="G157" s="121"/>
      <c r="H157" s="121"/>
      <c r="I157" s="114" t="str">
        <f>IF(ISNA(VLOOKUP(F157,Declarations!B$6:C$185,2,FALSE)),"",IF(VLOOKUP(F157,Declarations!B$6:C$185,2,FALSE)="","NOT DECLARED",VLOOKUP(F157,Declarations!B$6:C$185,2,FALSE)))</f>
        <v/>
      </c>
      <c r="J157" s="112">
        <f>IF(LOWER(LEFT(G157,1))="n",1,VLOOKUP(G157,ScoringTable!D$2:I$95,6))</f>
        <v>0</v>
      </c>
      <c r="K157" s="112" t="str">
        <f>IF(OR(E157="",G157=""),"",IF(RIGHT(E157,1)="G",_xlfn.XLOOKUP(G157,Data!$D$14:$L$14,Data!$D$9:$L$9,"",-1,1),_xlfn.XLOOKUP(G157,Data!$D$7:$L$7,Data!$D$2:$L$2,"",-1,1)))</f>
        <v/>
      </c>
      <c r="L157" s="160" t="str" cm="1">
        <f t="array" ref="L157">IFERROR(_xlfn.IFNA(
                      _xlfn.IFS(
                      G157="", "",
                      AND(E157="U12B",G157&gt;=Data!$M$7), "U12 Boys record",
                      AND(E157="U12G",G157&gt;=Data!$M$14), "U12 Girls record"
                       ),""), "")</f>
        <v/>
      </c>
      <c r="M157" s="18" cm="1">
        <f t="array" ref="M157">_xlfn.IFS($G157="",0, AND(NOT(ISNUMBER($G157)),LOWER(LEFT($G157,1))&lt;&gt;"n"),"Not a valid distance",OR(LOWER(LEFT($G157,1))="n",$G157&lt;ScoringTable!$O$161),1,RIGHT($E157,1)="B",_xlfn.XLOOKUP($G157,ScoringTable!$O$2:$O$161,ScoringTable!$L$2:$L$161,,-1),TRUE,_xlfn.XLOOKUP($G157,ScoringTable!$U$2:$U$161,ScoringTable!$R$2:$R$161,,-1))</f>
        <v>0</v>
      </c>
    </row>
    <row r="158" spans="1:13" s="7" customFormat="1" ht="16.05" customHeight="1">
      <c r="A158" s="113" t="s">
        <v>99</v>
      </c>
      <c r="B158" s="114" t="str">
        <f>IF(ISNA(VLOOKUP($F158,Declarations!B$6:C$185,2,FALSE)),"",IF(VLOOKUP($F158,Declarations!B$6:C$185,2,FALSE)="","NOT DECLARED",IF(ISNA(_xlfn.TEXTBEFORE(VLOOKUP($F158,Declarations!B$6:C$185,2,FALSE)," ")),VLOOKUP($F158,Declarations!B$6:C$185,2,FALSE),_xlfn.TEXTBEFORE(VLOOKUP($F158,Declarations!B$6:C$185,2,FALSE)," "))))</f>
        <v/>
      </c>
      <c r="C158" s="114" t="str">
        <f>IF(ISNA(VLOOKUP($F158,Declarations!B$6:C$185,2,FALSE)),"",IF(VLOOKUP($F158,Declarations!B$6:C$185,2,FALSE)="","NOT DECLARED",IF(ISNA(_xlfn.TEXTAFTER(VLOOKUP($F158,Declarations!B$6:C$185,2,FALSE)," ")),VLOOKUP($F158,Declarations!B$6:C$185,2,FALSE),_xlfn.TEXTAFTER(VLOOKUP($F158,Declarations!B$6:C$185,2,FALSE)," "))))</f>
        <v/>
      </c>
      <c r="D158" s="114" t="str">
        <f>IF(ISNA(VLOOKUP($F158,Declarations!$B$6:$F$185,5,FALSE)),"",IF(VLOOKUP($F158,Declarations!$B$6:$F$185,5,FALSE)="","NOT DECLARED",VLOOKUP($F158,Declarations!$B$6:$F$185,5,FALSE)))</f>
        <v/>
      </c>
      <c r="E158" s="112" t="str">
        <f>IF(ISNA(VLOOKUP($F158,Declarations!$B$6:$D$185,3,FALSE)),"",IF(VLOOKUP($F158,Declarations!$B$6:$D$185,3,FALSE)="","NOT DECLARED",VLOOKUP($F158,Declarations!$B$6:$D$185,3,FALSE)&amp;LEFT(VLOOKUP($F158,Declarations!$B$6:$E$185,4,FALSE))))</f>
        <v/>
      </c>
      <c r="F158" s="58"/>
      <c r="G158" s="121"/>
      <c r="H158" s="121"/>
      <c r="I158" s="114" t="str">
        <f>IF(ISNA(VLOOKUP(F158,Declarations!B$6:C$185,2,FALSE)),"",IF(VLOOKUP(F158,Declarations!B$6:C$185,2,FALSE)="","NOT DECLARED",VLOOKUP(F158,Declarations!B$6:C$185,2,FALSE)))</f>
        <v/>
      </c>
      <c r="J158" s="112">
        <f>IF(LOWER(LEFT(G158,1))="n",1,VLOOKUP(G158,ScoringTable!D$2:I$95,6))</f>
        <v>0</v>
      </c>
      <c r="K158" s="112" t="str">
        <f>IF(OR(E158="",G158=""),"",IF(RIGHT(E158,1)="G",_xlfn.XLOOKUP(G158,Data!$D$14:$L$14,Data!$D$9:$L$9,"",-1,1),_xlfn.XLOOKUP(G158,Data!$D$7:$L$7,Data!$D$2:$L$2,"",-1,1)))</f>
        <v/>
      </c>
      <c r="L158" s="160" t="str" cm="1">
        <f t="array" ref="L158">IFERROR(_xlfn.IFNA(
                      _xlfn.IFS(
                      G158="", "",
                      AND(E158="U12B",G158&gt;=Data!$M$7), "U12 Boys record",
                      AND(E158="U12G",G158&gt;=Data!$M$14), "U12 Girls record"
                       ),""), "")</f>
        <v/>
      </c>
      <c r="M158" s="18" cm="1">
        <f t="array" ref="M158">_xlfn.IFS($G158="",0, AND(NOT(ISNUMBER($G158)),LOWER(LEFT($G158,1))&lt;&gt;"n"),"Not a valid distance",OR(LOWER(LEFT($G158,1))="n",$G158&lt;ScoringTable!$O$161),1,RIGHT($E158,1)="B",_xlfn.XLOOKUP($G158,ScoringTable!$O$2:$O$161,ScoringTable!$L$2:$L$161,,-1),TRUE,_xlfn.XLOOKUP($G158,ScoringTable!$U$2:$U$161,ScoringTable!$R$2:$R$161,,-1))</f>
        <v>0</v>
      </c>
    </row>
    <row r="159" spans="1:13" s="7" customFormat="1" ht="16.05" customHeight="1">
      <c r="A159" s="113" t="s">
        <v>99</v>
      </c>
      <c r="B159" s="114" t="str">
        <f>IF(ISNA(VLOOKUP($F159,Declarations!B$6:C$185,2,FALSE)),"",IF(VLOOKUP($F159,Declarations!B$6:C$185,2,FALSE)="","NOT DECLARED",IF(ISNA(_xlfn.TEXTBEFORE(VLOOKUP($F159,Declarations!B$6:C$185,2,FALSE)," ")),VLOOKUP($F159,Declarations!B$6:C$185,2,FALSE),_xlfn.TEXTBEFORE(VLOOKUP($F159,Declarations!B$6:C$185,2,FALSE)," "))))</f>
        <v/>
      </c>
      <c r="C159" s="114" t="str">
        <f>IF(ISNA(VLOOKUP($F159,Declarations!B$6:C$185,2,FALSE)),"",IF(VLOOKUP($F159,Declarations!B$6:C$185,2,FALSE)="","NOT DECLARED",IF(ISNA(_xlfn.TEXTAFTER(VLOOKUP($F159,Declarations!B$6:C$185,2,FALSE)," ")),VLOOKUP($F159,Declarations!B$6:C$185,2,FALSE),_xlfn.TEXTAFTER(VLOOKUP($F159,Declarations!B$6:C$185,2,FALSE)," "))))</f>
        <v/>
      </c>
      <c r="D159" s="114" t="str">
        <f>IF(ISNA(VLOOKUP($F159,Declarations!$B$6:$F$185,5,FALSE)),"",IF(VLOOKUP($F159,Declarations!$B$6:$F$185,5,FALSE)="","NOT DECLARED",VLOOKUP($F159,Declarations!$B$6:$F$185,5,FALSE)))</f>
        <v/>
      </c>
      <c r="E159" s="112" t="str">
        <f>IF(ISNA(VLOOKUP($F159,Declarations!$B$6:$D$185,3,FALSE)),"",IF(VLOOKUP($F159,Declarations!$B$6:$D$185,3,FALSE)="","NOT DECLARED",VLOOKUP($F159,Declarations!$B$6:$D$185,3,FALSE)&amp;LEFT(VLOOKUP($F159,Declarations!$B$6:$E$185,4,FALSE))))</f>
        <v/>
      </c>
      <c r="F159" s="58"/>
      <c r="G159" s="121"/>
      <c r="H159" s="121"/>
      <c r="I159" s="114" t="str">
        <f>IF(ISNA(VLOOKUP(F159,Declarations!B$6:C$185,2,FALSE)),"",IF(VLOOKUP(F159,Declarations!B$6:C$185,2,FALSE)="","NOT DECLARED",VLOOKUP(F159,Declarations!B$6:C$185,2,FALSE)))</f>
        <v/>
      </c>
      <c r="J159" s="112">
        <f>IF(LOWER(LEFT(G159,1))="n",1,VLOOKUP(G159,ScoringTable!D$2:I$95,6))</f>
        <v>0</v>
      </c>
      <c r="K159" s="112" t="str">
        <f>IF(OR(E159="",G159=""),"",IF(RIGHT(E159,1)="G",_xlfn.XLOOKUP(G159,Data!$D$14:$L$14,Data!$D$9:$L$9,"",-1,1),_xlfn.XLOOKUP(G159,Data!$D$7:$L$7,Data!$D$2:$L$2,"",-1,1)))</f>
        <v/>
      </c>
      <c r="L159" s="160" t="str" cm="1">
        <f t="array" ref="L159">IFERROR(_xlfn.IFNA(
                      _xlfn.IFS(
                      G159="", "",
                      AND(E159="U12B",G159&gt;=Data!$M$7), "U12 Boys record",
                      AND(E159="U12G",G159&gt;=Data!$M$14), "U12 Girls record"
                       ),""), "")</f>
        <v/>
      </c>
      <c r="M159" s="18" cm="1">
        <f t="array" ref="M159">_xlfn.IFS($G159="",0, AND(NOT(ISNUMBER($G159)),LOWER(LEFT($G159,1))&lt;&gt;"n"),"Not a valid distance",OR(LOWER(LEFT($G159,1))="n",$G159&lt;ScoringTable!$O$161),1,RIGHT($E159,1)="B",_xlfn.XLOOKUP($G159,ScoringTable!$O$2:$O$161,ScoringTable!$L$2:$L$161,,-1),TRUE,_xlfn.XLOOKUP($G159,ScoringTable!$U$2:$U$161,ScoringTable!$R$2:$R$161,,-1))</f>
        <v>0</v>
      </c>
    </row>
    <row r="160" spans="1:13" s="7" customFormat="1" ht="16.05" customHeight="1">
      <c r="A160" s="113" t="s">
        <v>99</v>
      </c>
      <c r="B160" s="114" t="str">
        <f>IF(ISNA(VLOOKUP($F160,Declarations!B$6:C$185,2,FALSE)),"",IF(VLOOKUP($F160,Declarations!B$6:C$185,2,FALSE)="","NOT DECLARED",IF(ISNA(_xlfn.TEXTBEFORE(VLOOKUP($F160,Declarations!B$6:C$185,2,FALSE)," ")),VLOOKUP($F160,Declarations!B$6:C$185,2,FALSE),_xlfn.TEXTBEFORE(VLOOKUP($F160,Declarations!B$6:C$185,2,FALSE)," "))))</f>
        <v/>
      </c>
      <c r="C160" s="114" t="str">
        <f>IF(ISNA(VLOOKUP($F160,Declarations!B$6:C$185,2,FALSE)),"",IF(VLOOKUP($F160,Declarations!B$6:C$185,2,FALSE)="","NOT DECLARED",IF(ISNA(_xlfn.TEXTAFTER(VLOOKUP($F160,Declarations!B$6:C$185,2,FALSE)," ")),VLOOKUP($F160,Declarations!B$6:C$185,2,FALSE),_xlfn.TEXTAFTER(VLOOKUP($F160,Declarations!B$6:C$185,2,FALSE)," "))))</f>
        <v/>
      </c>
      <c r="D160" s="114" t="str">
        <f>IF(ISNA(VLOOKUP($F160,Declarations!$B$6:$F$185,5,FALSE)),"",IF(VLOOKUP($F160,Declarations!$B$6:$F$185,5,FALSE)="","NOT DECLARED",VLOOKUP($F160,Declarations!$B$6:$F$185,5,FALSE)))</f>
        <v/>
      </c>
      <c r="E160" s="112" t="str">
        <f>IF(ISNA(VLOOKUP($F160,Declarations!$B$6:$D$185,3,FALSE)),"",IF(VLOOKUP($F160,Declarations!$B$6:$D$185,3,FALSE)="","NOT DECLARED",VLOOKUP($F160,Declarations!$B$6:$D$185,3,FALSE)&amp;LEFT(VLOOKUP($F160,Declarations!$B$6:$E$185,4,FALSE))))</f>
        <v/>
      </c>
      <c r="F160" s="58"/>
      <c r="G160" s="121"/>
      <c r="H160" s="121"/>
      <c r="I160" s="114" t="str">
        <f>IF(ISNA(VLOOKUP(F160,Declarations!B$6:C$185,2,FALSE)),"",IF(VLOOKUP(F160,Declarations!B$6:C$185,2,FALSE)="","NOT DECLARED",VLOOKUP(F160,Declarations!B$6:C$185,2,FALSE)))</f>
        <v/>
      </c>
      <c r="J160" s="112">
        <f>IF(LOWER(LEFT(G160,1))="n",1,VLOOKUP(G160,ScoringTable!D$2:I$95,6))</f>
        <v>0</v>
      </c>
      <c r="K160" s="112" t="str">
        <f>IF(OR(E160="",G160=""),"",IF(RIGHT(E160,1)="G",_xlfn.XLOOKUP(G160,Data!$D$14:$L$14,Data!$D$9:$L$9,"",-1,1),_xlfn.XLOOKUP(G160,Data!$D$7:$L$7,Data!$D$2:$L$2,"",-1,1)))</f>
        <v/>
      </c>
      <c r="L160" s="160" t="str" cm="1">
        <f t="array" ref="L160">IFERROR(_xlfn.IFNA(
                      _xlfn.IFS(
                      G160="", "",
                      AND(E160="U12B",G160&gt;=Data!$M$7), "U12 Boys record",
                      AND(E160="U12G",G160&gt;=Data!$M$14), "U12 Girls record"
                       ),""), "")</f>
        <v/>
      </c>
      <c r="M160" s="18" cm="1">
        <f t="array" ref="M160">_xlfn.IFS($G160="",0, AND(NOT(ISNUMBER($G160)),LOWER(LEFT($G160,1))&lt;&gt;"n"),"Not a valid distance",OR(LOWER(LEFT($G160,1))="n",$G160&lt;ScoringTable!$O$161),1,RIGHT($E160,1)="B",_xlfn.XLOOKUP($G160,ScoringTable!$O$2:$O$161,ScoringTable!$L$2:$L$161,,-1),TRUE,_xlfn.XLOOKUP($G160,ScoringTable!$U$2:$U$161,ScoringTable!$R$2:$R$161,,-1))</f>
        <v>0</v>
      </c>
    </row>
    <row r="161" spans="1:13" s="7" customFormat="1" ht="16.05" customHeight="1">
      <c r="A161" s="113" t="s">
        <v>99</v>
      </c>
      <c r="B161" s="114" t="str">
        <f>IF(ISNA(VLOOKUP($F161,Declarations!B$6:C$185,2,FALSE)),"",IF(VLOOKUP($F161,Declarations!B$6:C$185,2,FALSE)="","NOT DECLARED",IF(ISNA(_xlfn.TEXTBEFORE(VLOOKUP($F161,Declarations!B$6:C$185,2,FALSE)," ")),VLOOKUP($F161,Declarations!B$6:C$185,2,FALSE),_xlfn.TEXTBEFORE(VLOOKUP($F161,Declarations!B$6:C$185,2,FALSE)," "))))</f>
        <v/>
      </c>
      <c r="C161" s="114" t="str">
        <f>IF(ISNA(VLOOKUP($F161,Declarations!B$6:C$185,2,FALSE)),"",IF(VLOOKUP($F161,Declarations!B$6:C$185,2,FALSE)="","NOT DECLARED",IF(ISNA(_xlfn.TEXTAFTER(VLOOKUP($F161,Declarations!B$6:C$185,2,FALSE)," ")),VLOOKUP($F161,Declarations!B$6:C$185,2,FALSE),_xlfn.TEXTAFTER(VLOOKUP($F161,Declarations!B$6:C$185,2,FALSE)," "))))</f>
        <v/>
      </c>
      <c r="D161" s="114" t="str">
        <f>IF(ISNA(VLOOKUP($F161,Declarations!$B$6:$F$185,5,FALSE)),"",IF(VLOOKUP($F161,Declarations!$B$6:$F$185,5,FALSE)="","NOT DECLARED",VLOOKUP($F161,Declarations!$B$6:$F$185,5,FALSE)))</f>
        <v/>
      </c>
      <c r="E161" s="112" t="str">
        <f>IF(ISNA(VLOOKUP($F161,Declarations!$B$6:$D$185,3,FALSE)),"",IF(VLOOKUP($F161,Declarations!$B$6:$D$185,3,FALSE)="","NOT DECLARED",VLOOKUP($F161,Declarations!$B$6:$D$185,3,FALSE)&amp;LEFT(VLOOKUP($F161,Declarations!$B$6:$E$185,4,FALSE))))</f>
        <v/>
      </c>
      <c r="F161" s="58"/>
      <c r="G161" s="121"/>
      <c r="H161" s="121"/>
      <c r="I161" s="114" t="str">
        <f>IF(ISNA(VLOOKUP(F161,Declarations!B$6:C$185,2,FALSE)),"",IF(VLOOKUP(F161,Declarations!B$6:C$185,2,FALSE)="","NOT DECLARED",VLOOKUP(F161,Declarations!B$6:C$185,2,FALSE)))</f>
        <v/>
      </c>
      <c r="J161" s="112">
        <f>IF(LOWER(LEFT(G161,1))="n",1,VLOOKUP(G161,ScoringTable!D$2:I$95,6))</f>
        <v>0</v>
      </c>
      <c r="K161" s="112" t="str">
        <f>IF(OR(E161="",G161=""),"",IF(RIGHT(E161,1)="G",_xlfn.XLOOKUP(G161,Data!$D$14:$L$14,Data!$D$9:$L$9,"",-1,1),_xlfn.XLOOKUP(G161,Data!$D$7:$L$7,Data!$D$2:$L$2,"",-1,1)))</f>
        <v/>
      </c>
      <c r="L161" s="160" t="str" cm="1">
        <f t="array" ref="L161">IFERROR(_xlfn.IFNA(
                      _xlfn.IFS(
                      G161="", "",
                      AND(E161="U12B",G161&gt;=Data!$M$7), "U12 Boys record",
                      AND(E161="U12G",G161&gt;=Data!$M$14), "U12 Girls record"
                       ),""), "")</f>
        <v/>
      </c>
      <c r="M161" s="18" cm="1">
        <f t="array" ref="M161">_xlfn.IFS($G161="",0, AND(NOT(ISNUMBER($G161)),LOWER(LEFT($G161,1))&lt;&gt;"n"),"Not a valid distance",OR(LOWER(LEFT($G161,1))="n",$G161&lt;ScoringTable!$O$161),1,RIGHT($E161,1)="B",_xlfn.XLOOKUP($G161,ScoringTable!$O$2:$O$161,ScoringTable!$L$2:$L$161,,-1),TRUE,_xlfn.XLOOKUP($G161,ScoringTable!$U$2:$U$161,ScoringTable!$R$2:$R$161,,-1))</f>
        <v>0</v>
      </c>
    </row>
    <row r="162" spans="1:13" s="7" customFormat="1" ht="16.05" customHeight="1">
      <c r="A162" s="113" t="s">
        <v>99</v>
      </c>
      <c r="B162" s="114" t="str">
        <f>IF(ISNA(VLOOKUP($F162,Declarations!B$6:C$185,2,FALSE)),"",IF(VLOOKUP($F162,Declarations!B$6:C$185,2,FALSE)="","NOT DECLARED",IF(ISNA(_xlfn.TEXTBEFORE(VLOOKUP($F162,Declarations!B$6:C$185,2,FALSE)," ")),VLOOKUP($F162,Declarations!B$6:C$185,2,FALSE),_xlfn.TEXTBEFORE(VLOOKUP($F162,Declarations!B$6:C$185,2,FALSE)," "))))</f>
        <v/>
      </c>
      <c r="C162" s="114" t="str">
        <f>IF(ISNA(VLOOKUP($F162,Declarations!B$6:C$185,2,FALSE)),"",IF(VLOOKUP($F162,Declarations!B$6:C$185,2,FALSE)="","NOT DECLARED",IF(ISNA(_xlfn.TEXTAFTER(VLOOKUP($F162,Declarations!B$6:C$185,2,FALSE)," ")),VLOOKUP($F162,Declarations!B$6:C$185,2,FALSE),_xlfn.TEXTAFTER(VLOOKUP($F162,Declarations!B$6:C$185,2,FALSE)," "))))</f>
        <v/>
      </c>
      <c r="D162" s="114" t="str">
        <f>IF(ISNA(VLOOKUP($F162,Declarations!$B$6:$F$185,5,FALSE)),"",IF(VLOOKUP($F162,Declarations!$B$6:$F$185,5,FALSE)="","NOT DECLARED",VLOOKUP($F162,Declarations!$B$6:$F$185,5,FALSE)))</f>
        <v/>
      </c>
      <c r="E162" s="112" t="str">
        <f>IF(ISNA(VLOOKUP($F162,Declarations!$B$6:$D$185,3,FALSE)),"",IF(VLOOKUP($F162,Declarations!$B$6:$D$185,3,FALSE)="","NOT DECLARED",VLOOKUP($F162,Declarations!$B$6:$D$185,3,FALSE)&amp;LEFT(VLOOKUP($F162,Declarations!$B$6:$E$185,4,FALSE))))</f>
        <v/>
      </c>
      <c r="F162" s="58"/>
      <c r="G162" s="121"/>
      <c r="H162" s="121"/>
      <c r="I162" s="114" t="str">
        <f>IF(ISNA(VLOOKUP(F162,Declarations!B$6:C$185,2,FALSE)),"",IF(VLOOKUP(F162,Declarations!B$6:C$185,2,FALSE)="","NOT DECLARED",VLOOKUP(F162,Declarations!B$6:C$185,2,FALSE)))</f>
        <v/>
      </c>
      <c r="J162" s="112">
        <f>IF(LOWER(LEFT(G162,1))="n",1,VLOOKUP(G162,ScoringTable!D$2:I$95,6))</f>
        <v>0</v>
      </c>
      <c r="K162" s="112" t="str">
        <f>IF(OR(E162="",G162=""),"",IF(RIGHT(E162,1)="G",_xlfn.XLOOKUP(G162,Data!$D$14:$L$14,Data!$D$9:$L$9,"",-1,1),_xlfn.XLOOKUP(G162,Data!$D$7:$L$7,Data!$D$2:$L$2,"",-1,1)))</f>
        <v/>
      </c>
      <c r="L162" s="160" t="str" cm="1">
        <f t="array" ref="L162">IFERROR(_xlfn.IFNA(
                      _xlfn.IFS(
                      G162="", "",
                      AND(E162="U12B",G162&gt;=Data!$M$7), "U12 Boys record",
                      AND(E162="U12G",G162&gt;=Data!$M$14), "U12 Girls record"
                       ),""), "")</f>
        <v/>
      </c>
      <c r="M162" s="18" cm="1">
        <f t="array" ref="M162">_xlfn.IFS($G162="",0, AND(NOT(ISNUMBER($G162)),LOWER(LEFT($G162,1))&lt;&gt;"n"),"Not a valid distance",OR(LOWER(LEFT($G162,1))="n",$G162&lt;ScoringTable!$O$161),1,RIGHT($E162,1)="B",_xlfn.XLOOKUP($G162,ScoringTable!$O$2:$O$161,ScoringTable!$L$2:$L$161,,-1),TRUE,_xlfn.XLOOKUP($G162,ScoringTable!$U$2:$U$161,ScoringTable!$R$2:$R$161,,-1))</f>
        <v>0</v>
      </c>
    </row>
    <row r="163" spans="1:13" s="7" customFormat="1" ht="16.05" customHeight="1">
      <c r="A163" s="113" t="s">
        <v>99</v>
      </c>
      <c r="B163" s="114" t="str">
        <f>IF(ISNA(VLOOKUP($F163,Declarations!B$6:C$185,2,FALSE)),"",IF(VLOOKUP($F163,Declarations!B$6:C$185,2,FALSE)="","NOT DECLARED",IF(ISNA(_xlfn.TEXTBEFORE(VLOOKUP($F163,Declarations!B$6:C$185,2,FALSE)," ")),VLOOKUP($F163,Declarations!B$6:C$185,2,FALSE),_xlfn.TEXTBEFORE(VLOOKUP($F163,Declarations!B$6:C$185,2,FALSE)," "))))</f>
        <v/>
      </c>
      <c r="C163" s="114" t="str">
        <f>IF(ISNA(VLOOKUP($F163,Declarations!B$6:C$185,2,FALSE)),"",IF(VLOOKUP($F163,Declarations!B$6:C$185,2,FALSE)="","NOT DECLARED",IF(ISNA(_xlfn.TEXTAFTER(VLOOKUP($F163,Declarations!B$6:C$185,2,FALSE)," ")),VLOOKUP($F163,Declarations!B$6:C$185,2,FALSE),_xlfn.TEXTAFTER(VLOOKUP($F163,Declarations!B$6:C$185,2,FALSE)," "))))</f>
        <v/>
      </c>
      <c r="D163" s="114" t="str">
        <f>IF(ISNA(VLOOKUP($F163,Declarations!$B$6:$F$185,5,FALSE)),"",IF(VLOOKUP($F163,Declarations!$B$6:$F$185,5,FALSE)="","NOT DECLARED",VLOOKUP($F163,Declarations!$B$6:$F$185,5,FALSE)))</f>
        <v/>
      </c>
      <c r="E163" s="112" t="str">
        <f>IF(ISNA(VLOOKUP($F163,Declarations!$B$6:$D$185,3,FALSE)),"",IF(VLOOKUP($F163,Declarations!$B$6:$D$185,3,FALSE)="","NOT DECLARED",VLOOKUP($F163,Declarations!$B$6:$D$185,3,FALSE)&amp;LEFT(VLOOKUP($F163,Declarations!$B$6:$E$185,4,FALSE))))</f>
        <v/>
      </c>
      <c r="F163" s="58"/>
      <c r="G163" s="121"/>
      <c r="H163" s="121"/>
      <c r="I163" s="114" t="str">
        <f>IF(ISNA(VLOOKUP(F163,Declarations!B$6:C$185,2,FALSE)),"",IF(VLOOKUP(F163,Declarations!B$6:C$185,2,FALSE)="","NOT DECLARED",VLOOKUP(F163,Declarations!B$6:C$185,2,FALSE)))</f>
        <v/>
      </c>
      <c r="J163" s="112">
        <f>IF(LOWER(LEFT(G163,1))="n",1,VLOOKUP(G163,ScoringTable!D$2:I$95,6))</f>
        <v>0</v>
      </c>
      <c r="K163" s="112" t="str">
        <f>IF(OR(E163="",G163=""),"",IF(RIGHT(E163,1)="G",_xlfn.XLOOKUP(G163,Data!$D$14:$L$14,Data!$D$9:$L$9,"",-1,1),_xlfn.XLOOKUP(G163,Data!$D$7:$L$7,Data!$D$2:$L$2,"",-1,1)))</f>
        <v/>
      </c>
      <c r="L163" s="160" t="str" cm="1">
        <f t="array" ref="L163">IFERROR(_xlfn.IFNA(
                      _xlfn.IFS(
                      G163="", "",
                      AND(E163="U12B",G163&gt;=Data!$M$7), "U12 Boys record",
                      AND(E163="U12G",G163&gt;=Data!$M$14), "U12 Girls record"
                       ),""), "")</f>
        <v/>
      </c>
      <c r="M163" s="18" cm="1">
        <f t="array" ref="M163">_xlfn.IFS($G163="",0, AND(NOT(ISNUMBER($G163)),LOWER(LEFT($G163,1))&lt;&gt;"n"),"Not a valid distance",OR(LOWER(LEFT($G163,1))="n",$G163&lt;ScoringTable!$O$161),1,RIGHT($E163,1)="B",_xlfn.XLOOKUP($G163,ScoringTable!$O$2:$O$161,ScoringTable!$L$2:$L$161,,-1),TRUE,_xlfn.XLOOKUP($G163,ScoringTable!$U$2:$U$161,ScoringTable!$R$2:$R$161,,-1))</f>
        <v>0</v>
      </c>
    </row>
    <row r="164" spans="1:13" s="7" customFormat="1" ht="16.05" customHeight="1">
      <c r="A164" s="113" t="s">
        <v>99</v>
      </c>
      <c r="B164" s="114" t="str">
        <f>IF(ISNA(VLOOKUP($F164,Declarations!B$6:C$185,2,FALSE)),"",IF(VLOOKUP($F164,Declarations!B$6:C$185,2,FALSE)="","NOT DECLARED",IF(ISNA(_xlfn.TEXTBEFORE(VLOOKUP($F164,Declarations!B$6:C$185,2,FALSE)," ")),VLOOKUP($F164,Declarations!B$6:C$185,2,FALSE),_xlfn.TEXTBEFORE(VLOOKUP($F164,Declarations!B$6:C$185,2,FALSE)," "))))</f>
        <v/>
      </c>
      <c r="C164" s="114" t="str">
        <f>IF(ISNA(VLOOKUP($F164,Declarations!B$6:C$185,2,FALSE)),"",IF(VLOOKUP($F164,Declarations!B$6:C$185,2,FALSE)="","NOT DECLARED",IF(ISNA(_xlfn.TEXTAFTER(VLOOKUP($F164,Declarations!B$6:C$185,2,FALSE)," ")),VLOOKUP($F164,Declarations!B$6:C$185,2,FALSE),_xlfn.TEXTAFTER(VLOOKUP($F164,Declarations!B$6:C$185,2,FALSE)," "))))</f>
        <v/>
      </c>
      <c r="D164" s="114" t="str">
        <f>IF(ISNA(VLOOKUP($F164,Declarations!$B$6:$F$185,5,FALSE)),"",IF(VLOOKUP($F164,Declarations!$B$6:$F$185,5,FALSE)="","NOT DECLARED",VLOOKUP($F164,Declarations!$B$6:$F$185,5,FALSE)))</f>
        <v/>
      </c>
      <c r="E164" s="112" t="str">
        <f>IF(ISNA(VLOOKUP($F164,Declarations!$B$6:$D$185,3,FALSE)),"",IF(VLOOKUP($F164,Declarations!$B$6:$D$185,3,FALSE)="","NOT DECLARED",VLOOKUP($F164,Declarations!$B$6:$D$185,3,FALSE)&amp;LEFT(VLOOKUP($F164,Declarations!$B$6:$E$185,4,FALSE))))</f>
        <v/>
      </c>
      <c r="F164" s="58"/>
      <c r="G164" s="121"/>
      <c r="H164" s="121"/>
      <c r="I164" s="114" t="str">
        <f>IF(ISNA(VLOOKUP(F164,Declarations!B$6:C$185,2,FALSE)),"",IF(VLOOKUP(F164,Declarations!B$6:C$185,2,FALSE)="","NOT DECLARED",VLOOKUP(F164,Declarations!B$6:C$185,2,FALSE)))</f>
        <v/>
      </c>
      <c r="J164" s="112">
        <f>IF(LOWER(LEFT(G164,1))="n",1,VLOOKUP(G164,ScoringTable!D$2:I$95,6))</f>
        <v>0</v>
      </c>
      <c r="K164" s="112" t="str">
        <f>IF(OR(E164="",G164=""),"",IF(RIGHT(E164,1)="G",_xlfn.XLOOKUP(G164,Data!$D$14:$L$14,Data!$D$9:$L$9,"",-1,1),_xlfn.XLOOKUP(G164,Data!$D$7:$L$7,Data!$D$2:$L$2,"",-1,1)))</f>
        <v/>
      </c>
      <c r="L164" s="160" t="str" cm="1">
        <f t="array" ref="L164">IFERROR(_xlfn.IFNA(
                      _xlfn.IFS(
                      G164="", "",
                      AND(E164="U12B",G164&gt;=Data!$M$7), "U12 Boys record",
                      AND(E164="U12G",G164&gt;=Data!$M$14), "U12 Girls record"
                       ),""), "")</f>
        <v/>
      </c>
      <c r="M164" s="18" cm="1">
        <f t="array" ref="M164">_xlfn.IFS($G164="",0, AND(NOT(ISNUMBER($G164)),LOWER(LEFT($G164,1))&lt;&gt;"n"),"Not a valid distance",OR(LOWER(LEFT($G164,1))="n",$G164&lt;ScoringTable!$O$161),1,RIGHT($E164,1)="B",_xlfn.XLOOKUP($G164,ScoringTable!$O$2:$O$161,ScoringTable!$L$2:$L$161,,-1),TRUE,_xlfn.XLOOKUP($G164,ScoringTable!$U$2:$U$161,ScoringTable!$R$2:$R$161,,-1))</f>
        <v>0</v>
      </c>
    </row>
    <row r="165" spans="1:13" s="7" customFormat="1" ht="16.05" customHeight="1">
      <c r="A165" s="113" t="s">
        <v>99</v>
      </c>
      <c r="B165" s="114" t="str">
        <f>IF(ISNA(VLOOKUP($F165,Declarations!B$6:C$185,2,FALSE)),"",IF(VLOOKUP($F165,Declarations!B$6:C$185,2,FALSE)="","NOT DECLARED",IF(ISNA(_xlfn.TEXTBEFORE(VLOOKUP($F165,Declarations!B$6:C$185,2,FALSE)," ")),VLOOKUP($F165,Declarations!B$6:C$185,2,FALSE),_xlfn.TEXTBEFORE(VLOOKUP($F165,Declarations!B$6:C$185,2,FALSE)," "))))</f>
        <v/>
      </c>
      <c r="C165" s="114" t="str">
        <f>IF(ISNA(VLOOKUP($F165,Declarations!B$6:C$185,2,FALSE)),"",IF(VLOOKUP($F165,Declarations!B$6:C$185,2,FALSE)="","NOT DECLARED",IF(ISNA(_xlfn.TEXTAFTER(VLOOKUP($F165,Declarations!B$6:C$185,2,FALSE)," ")),VLOOKUP($F165,Declarations!B$6:C$185,2,FALSE),_xlfn.TEXTAFTER(VLOOKUP($F165,Declarations!B$6:C$185,2,FALSE)," "))))</f>
        <v/>
      </c>
      <c r="D165" s="114" t="str">
        <f>IF(ISNA(VLOOKUP($F165,Declarations!$B$6:$F$185,5,FALSE)),"",IF(VLOOKUP($F165,Declarations!$B$6:$F$185,5,FALSE)="","NOT DECLARED",VLOOKUP($F165,Declarations!$B$6:$F$185,5,FALSE)))</f>
        <v/>
      </c>
      <c r="E165" s="112" t="str">
        <f>IF(ISNA(VLOOKUP($F165,Declarations!$B$6:$D$185,3,FALSE)),"",IF(VLOOKUP($F165,Declarations!$B$6:$D$185,3,FALSE)="","NOT DECLARED",VLOOKUP($F165,Declarations!$B$6:$D$185,3,FALSE)&amp;LEFT(VLOOKUP($F165,Declarations!$B$6:$E$185,4,FALSE))))</f>
        <v/>
      </c>
      <c r="F165" s="58"/>
      <c r="G165" s="121"/>
      <c r="H165" s="121"/>
      <c r="I165" s="114" t="str">
        <f>IF(ISNA(VLOOKUP(F165,Declarations!B$6:C$185,2,FALSE)),"",IF(VLOOKUP(F165,Declarations!B$6:C$185,2,FALSE)="","NOT DECLARED",VLOOKUP(F165,Declarations!B$6:C$185,2,FALSE)))</f>
        <v/>
      </c>
      <c r="J165" s="112">
        <f>IF(LOWER(LEFT(G165,1))="n",1,VLOOKUP(G165,ScoringTable!D$2:I$95,6))</f>
        <v>0</v>
      </c>
      <c r="K165" s="112" t="str">
        <f>IF(OR(E165="",G165=""),"",IF(RIGHT(E165,1)="G",_xlfn.XLOOKUP(G165,Data!$D$14:$L$14,Data!$D$9:$L$9,"",-1,1),_xlfn.XLOOKUP(G165,Data!$D$7:$L$7,Data!$D$2:$L$2,"",-1,1)))</f>
        <v/>
      </c>
      <c r="L165" s="160" t="str" cm="1">
        <f t="array" ref="L165">IFERROR(_xlfn.IFNA(
                      _xlfn.IFS(
                      G165="", "",
                      AND(E165="U12B",G165&gt;=Data!$M$7), "U12 Boys record",
                      AND(E165="U12G",G165&gt;=Data!$M$14), "U12 Girls record"
                       ),""), "")</f>
        <v/>
      </c>
      <c r="M165" s="18" cm="1">
        <f t="array" ref="M165">_xlfn.IFS($G165="",0, AND(NOT(ISNUMBER($G165)),LOWER(LEFT($G165,1))&lt;&gt;"n"),"Not a valid distance",OR(LOWER(LEFT($G165,1))="n",$G165&lt;ScoringTable!$O$161),1,RIGHT($E165,1)="B",_xlfn.XLOOKUP($G165,ScoringTable!$O$2:$O$161,ScoringTable!$L$2:$L$161,,-1),TRUE,_xlfn.XLOOKUP($G165,ScoringTable!$U$2:$U$161,ScoringTable!$R$2:$R$161,,-1))</f>
        <v>0</v>
      </c>
    </row>
    <row r="166" spans="1:13" s="7" customFormat="1" ht="16.05" customHeight="1">
      <c r="A166" s="113" t="s">
        <v>99</v>
      </c>
      <c r="B166" s="114" t="str">
        <f>IF(ISNA(VLOOKUP($F166,Declarations!B$6:C$185,2,FALSE)),"",IF(VLOOKUP($F166,Declarations!B$6:C$185,2,FALSE)="","NOT DECLARED",IF(ISNA(_xlfn.TEXTBEFORE(VLOOKUP($F166,Declarations!B$6:C$185,2,FALSE)," ")),VLOOKUP($F166,Declarations!B$6:C$185,2,FALSE),_xlfn.TEXTBEFORE(VLOOKUP($F166,Declarations!B$6:C$185,2,FALSE)," "))))</f>
        <v/>
      </c>
      <c r="C166" s="114" t="str">
        <f>IF(ISNA(VLOOKUP($F166,Declarations!B$6:C$185,2,FALSE)),"",IF(VLOOKUP($F166,Declarations!B$6:C$185,2,FALSE)="","NOT DECLARED",IF(ISNA(_xlfn.TEXTAFTER(VLOOKUP($F166,Declarations!B$6:C$185,2,FALSE)," ")),VLOOKUP($F166,Declarations!B$6:C$185,2,FALSE),_xlfn.TEXTAFTER(VLOOKUP($F166,Declarations!B$6:C$185,2,FALSE)," "))))</f>
        <v/>
      </c>
      <c r="D166" s="114" t="str">
        <f>IF(ISNA(VLOOKUP($F166,Declarations!$B$6:$F$185,5,FALSE)),"",IF(VLOOKUP($F166,Declarations!$B$6:$F$185,5,FALSE)="","NOT DECLARED",VLOOKUP($F166,Declarations!$B$6:$F$185,5,FALSE)))</f>
        <v/>
      </c>
      <c r="E166" s="112" t="str">
        <f>IF(ISNA(VLOOKUP($F166,Declarations!$B$6:$D$185,3,FALSE)),"",IF(VLOOKUP($F166,Declarations!$B$6:$D$185,3,FALSE)="","NOT DECLARED",VLOOKUP($F166,Declarations!$B$6:$D$185,3,FALSE)&amp;LEFT(VLOOKUP($F166,Declarations!$B$6:$E$185,4,FALSE))))</f>
        <v/>
      </c>
      <c r="F166" s="58"/>
      <c r="G166" s="121"/>
      <c r="H166" s="121"/>
      <c r="I166" s="114" t="str">
        <f>IF(ISNA(VLOOKUP(F166,Declarations!B$6:C$185,2,FALSE)),"",IF(VLOOKUP(F166,Declarations!B$6:C$185,2,FALSE)="","NOT DECLARED",VLOOKUP(F166,Declarations!B$6:C$185,2,FALSE)))</f>
        <v/>
      </c>
      <c r="J166" s="112">
        <f>IF(LOWER(LEFT(G166,1))="n",1,VLOOKUP(G166,ScoringTable!D$2:I$95,6))</f>
        <v>0</v>
      </c>
      <c r="K166" s="112" t="str">
        <f>IF(OR(E166="",G166=""),"",IF(RIGHT(E166,1)="G",_xlfn.XLOOKUP(G166,Data!$D$14:$L$14,Data!$D$9:$L$9,"",-1,1),_xlfn.XLOOKUP(G166,Data!$D$7:$L$7,Data!$D$2:$L$2,"",-1,1)))</f>
        <v/>
      </c>
      <c r="L166" s="160" t="str" cm="1">
        <f t="array" ref="L166">IFERROR(_xlfn.IFNA(
                      _xlfn.IFS(
                      G166="", "",
                      AND(E166="U12B",G166&gt;=Data!$M$7), "U12 Boys record",
                      AND(E166="U12G",G166&gt;=Data!$M$14), "U12 Girls record"
                       ),""), "")</f>
        <v/>
      </c>
      <c r="M166" s="18" cm="1">
        <f t="array" ref="M166">_xlfn.IFS($G166="",0, AND(NOT(ISNUMBER($G166)),LOWER(LEFT($G166,1))&lt;&gt;"n"),"Not a valid distance",OR(LOWER(LEFT($G166,1))="n",$G166&lt;ScoringTable!$O$161),1,RIGHT($E166,1)="B",_xlfn.XLOOKUP($G166,ScoringTable!$O$2:$O$161,ScoringTable!$L$2:$L$161,,-1),TRUE,_xlfn.XLOOKUP($G166,ScoringTable!$U$2:$U$161,ScoringTable!$R$2:$R$161,,-1))</f>
        <v>0</v>
      </c>
    </row>
    <row r="167" spans="1:13" s="7" customFormat="1" ht="16.05" customHeight="1">
      <c r="A167" s="113" t="s">
        <v>99</v>
      </c>
      <c r="B167" s="114" t="str">
        <f>IF(ISNA(VLOOKUP($F167,Declarations!B$6:C$185,2,FALSE)),"",IF(VLOOKUP($F167,Declarations!B$6:C$185,2,FALSE)="","NOT DECLARED",IF(ISNA(_xlfn.TEXTBEFORE(VLOOKUP($F167,Declarations!B$6:C$185,2,FALSE)," ")),VLOOKUP($F167,Declarations!B$6:C$185,2,FALSE),_xlfn.TEXTBEFORE(VLOOKUP($F167,Declarations!B$6:C$185,2,FALSE)," "))))</f>
        <v/>
      </c>
      <c r="C167" s="114" t="str">
        <f>IF(ISNA(VLOOKUP($F167,Declarations!B$6:C$185,2,FALSE)),"",IF(VLOOKUP($F167,Declarations!B$6:C$185,2,FALSE)="","NOT DECLARED",IF(ISNA(_xlfn.TEXTAFTER(VLOOKUP($F167,Declarations!B$6:C$185,2,FALSE)," ")),VLOOKUP($F167,Declarations!B$6:C$185,2,FALSE),_xlfn.TEXTAFTER(VLOOKUP($F167,Declarations!B$6:C$185,2,FALSE)," "))))</f>
        <v/>
      </c>
      <c r="D167" s="114" t="str">
        <f>IF(ISNA(VLOOKUP($F167,Declarations!$B$6:$F$185,5,FALSE)),"",IF(VLOOKUP($F167,Declarations!$B$6:$F$185,5,FALSE)="","NOT DECLARED",VLOOKUP($F167,Declarations!$B$6:$F$185,5,FALSE)))</f>
        <v/>
      </c>
      <c r="E167" s="112" t="str">
        <f>IF(ISNA(VLOOKUP($F167,Declarations!$B$6:$D$185,3,FALSE)),"",IF(VLOOKUP($F167,Declarations!$B$6:$D$185,3,FALSE)="","NOT DECLARED",VLOOKUP($F167,Declarations!$B$6:$D$185,3,FALSE)&amp;LEFT(VLOOKUP($F167,Declarations!$B$6:$E$185,4,FALSE))))</f>
        <v/>
      </c>
      <c r="F167" s="58"/>
      <c r="G167" s="121"/>
      <c r="H167" s="121"/>
      <c r="I167" s="114" t="str">
        <f>IF(ISNA(VLOOKUP(F167,Declarations!B$6:C$185,2,FALSE)),"",IF(VLOOKUP(F167,Declarations!B$6:C$185,2,FALSE)="","NOT DECLARED",VLOOKUP(F167,Declarations!B$6:C$185,2,FALSE)))</f>
        <v/>
      </c>
      <c r="J167" s="112">
        <f>IF(LOWER(LEFT(G167,1))="n",1,VLOOKUP(G167,ScoringTable!D$2:I$95,6))</f>
        <v>0</v>
      </c>
      <c r="K167" s="112" t="str">
        <f>IF(OR(E167="",G167=""),"",IF(RIGHT(E167,1)="G",_xlfn.XLOOKUP(G167,Data!$D$14:$L$14,Data!$D$9:$L$9,"",-1,1),_xlfn.XLOOKUP(G167,Data!$D$7:$L$7,Data!$D$2:$L$2,"",-1,1)))</f>
        <v/>
      </c>
      <c r="L167" s="160" t="str" cm="1">
        <f t="array" ref="L167">IFERROR(_xlfn.IFNA(
                      _xlfn.IFS(
                      G167="", "",
                      AND(E167="U12B",G167&gt;=Data!$M$7), "U12 Boys record",
                      AND(E167="U12G",G167&gt;=Data!$M$14), "U12 Girls record"
                       ),""), "")</f>
        <v/>
      </c>
      <c r="M167" s="18" cm="1">
        <f t="array" ref="M167">_xlfn.IFS($G167="",0, AND(NOT(ISNUMBER($G167)),LOWER(LEFT($G167,1))&lt;&gt;"n"),"Not a valid distance",OR(LOWER(LEFT($G167,1))="n",$G167&lt;ScoringTable!$O$161),1,RIGHT($E167,1)="B",_xlfn.XLOOKUP($G167,ScoringTable!$O$2:$O$161,ScoringTable!$L$2:$L$161,,-1),TRUE,_xlfn.XLOOKUP($G167,ScoringTable!$U$2:$U$161,ScoringTable!$R$2:$R$161,,-1))</f>
        <v>0</v>
      </c>
    </row>
    <row r="168" spans="1:13" s="7" customFormat="1" ht="16.05" customHeight="1">
      <c r="A168" s="113" t="s">
        <v>99</v>
      </c>
      <c r="B168" s="114" t="str">
        <f>IF(ISNA(VLOOKUP($F168,Declarations!B$6:C$185,2,FALSE)),"",IF(VLOOKUP($F168,Declarations!B$6:C$185,2,FALSE)="","NOT DECLARED",IF(ISNA(_xlfn.TEXTBEFORE(VLOOKUP($F168,Declarations!B$6:C$185,2,FALSE)," ")),VLOOKUP($F168,Declarations!B$6:C$185,2,FALSE),_xlfn.TEXTBEFORE(VLOOKUP($F168,Declarations!B$6:C$185,2,FALSE)," "))))</f>
        <v/>
      </c>
      <c r="C168" s="114" t="str">
        <f>IF(ISNA(VLOOKUP($F168,Declarations!B$6:C$185,2,FALSE)),"",IF(VLOOKUP($F168,Declarations!B$6:C$185,2,FALSE)="","NOT DECLARED",IF(ISNA(_xlfn.TEXTAFTER(VLOOKUP($F168,Declarations!B$6:C$185,2,FALSE)," ")),VLOOKUP($F168,Declarations!B$6:C$185,2,FALSE),_xlfn.TEXTAFTER(VLOOKUP($F168,Declarations!B$6:C$185,2,FALSE)," "))))</f>
        <v/>
      </c>
      <c r="D168" s="114" t="str">
        <f>IF(ISNA(VLOOKUP($F168,Declarations!$B$6:$F$185,5,FALSE)),"",IF(VLOOKUP($F168,Declarations!$B$6:$F$185,5,FALSE)="","NOT DECLARED",VLOOKUP($F168,Declarations!$B$6:$F$185,5,FALSE)))</f>
        <v/>
      </c>
      <c r="E168" s="112" t="str">
        <f>IF(ISNA(VLOOKUP($F168,Declarations!$B$6:$D$185,3,FALSE)),"",IF(VLOOKUP($F168,Declarations!$B$6:$D$185,3,FALSE)="","NOT DECLARED",VLOOKUP($F168,Declarations!$B$6:$D$185,3,FALSE)&amp;LEFT(VLOOKUP($F168,Declarations!$B$6:$E$185,4,FALSE))))</f>
        <v/>
      </c>
      <c r="F168" s="58"/>
      <c r="G168" s="121"/>
      <c r="H168" s="121"/>
      <c r="I168" s="114" t="str">
        <f>IF(ISNA(VLOOKUP(F168,Declarations!B$6:C$185,2,FALSE)),"",IF(VLOOKUP(F168,Declarations!B$6:C$185,2,FALSE)="","NOT DECLARED",VLOOKUP(F168,Declarations!B$6:C$185,2,FALSE)))</f>
        <v/>
      </c>
      <c r="J168" s="112">
        <f>IF(LOWER(LEFT(G168,1))="n",1,VLOOKUP(G168,ScoringTable!D$2:I$95,6))</f>
        <v>0</v>
      </c>
      <c r="K168" s="112" t="str">
        <f>IF(OR(E168="",G168=""),"",IF(RIGHT(E168,1)="G",_xlfn.XLOOKUP(G168,Data!$D$14:$L$14,Data!$D$9:$L$9,"",-1,1),_xlfn.XLOOKUP(G168,Data!$D$7:$L$7,Data!$D$2:$L$2,"",-1,1)))</f>
        <v/>
      </c>
      <c r="L168" s="160" t="str" cm="1">
        <f t="array" ref="L168">IFERROR(_xlfn.IFNA(
                      _xlfn.IFS(
                      G168="", "",
                      AND(E168="U12B",G168&gt;=Data!$M$7), "U12 Boys record",
                      AND(E168="U12G",G168&gt;=Data!$M$14), "U12 Girls record"
                       ),""), "")</f>
        <v/>
      </c>
      <c r="M168" s="18" cm="1">
        <f t="array" ref="M168">_xlfn.IFS($G168="",0, AND(NOT(ISNUMBER($G168)),LOWER(LEFT($G168,1))&lt;&gt;"n"),"Not a valid distance",OR(LOWER(LEFT($G168,1))="n",$G168&lt;ScoringTable!$O$161),1,RIGHT($E168,1)="B",_xlfn.XLOOKUP($G168,ScoringTable!$O$2:$O$161,ScoringTable!$L$2:$L$161,,-1),TRUE,_xlfn.XLOOKUP($G168,ScoringTable!$U$2:$U$161,ScoringTable!$R$2:$R$161,,-1))</f>
        <v>0</v>
      </c>
    </row>
    <row r="169" spans="1:13" s="7" customFormat="1" ht="16.05" customHeight="1">
      <c r="A169" s="113" t="s">
        <v>99</v>
      </c>
      <c r="B169" s="114" t="str">
        <f>IF(ISNA(VLOOKUP($F169,Declarations!B$6:C$185,2,FALSE)),"",IF(VLOOKUP($F169,Declarations!B$6:C$185,2,FALSE)="","NOT DECLARED",IF(ISNA(_xlfn.TEXTBEFORE(VLOOKUP($F169,Declarations!B$6:C$185,2,FALSE)," ")),VLOOKUP($F169,Declarations!B$6:C$185,2,FALSE),_xlfn.TEXTBEFORE(VLOOKUP($F169,Declarations!B$6:C$185,2,FALSE)," "))))</f>
        <v/>
      </c>
      <c r="C169" s="114" t="str">
        <f>IF(ISNA(VLOOKUP($F169,Declarations!B$6:C$185,2,FALSE)),"",IF(VLOOKUP($F169,Declarations!B$6:C$185,2,FALSE)="","NOT DECLARED",IF(ISNA(_xlfn.TEXTAFTER(VLOOKUP($F169,Declarations!B$6:C$185,2,FALSE)," ")),VLOOKUP($F169,Declarations!B$6:C$185,2,FALSE),_xlfn.TEXTAFTER(VLOOKUP($F169,Declarations!B$6:C$185,2,FALSE)," "))))</f>
        <v/>
      </c>
      <c r="D169" s="114" t="str">
        <f>IF(ISNA(VLOOKUP($F169,Declarations!$B$6:$F$185,5,FALSE)),"",IF(VLOOKUP($F169,Declarations!$B$6:$F$185,5,FALSE)="","NOT DECLARED",VLOOKUP($F169,Declarations!$B$6:$F$185,5,FALSE)))</f>
        <v/>
      </c>
      <c r="E169" s="112" t="str">
        <f>IF(ISNA(VLOOKUP($F169,Declarations!$B$6:$D$185,3,FALSE)),"",IF(VLOOKUP($F169,Declarations!$B$6:$D$185,3,FALSE)="","NOT DECLARED",VLOOKUP($F169,Declarations!$B$6:$D$185,3,FALSE)&amp;LEFT(VLOOKUP($F169,Declarations!$B$6:$E$185,4,FALSE))))</f>
        <v/>
      </c>
      <c r="F169" s="58"/>
      <c r="G169" s="121"/>
      <c r="H169" s="121"/>
      <c r="I169" s="114" t="str">
        <f>IF(ISNA(VLOOKUP(F169,Declarations!B$6:C$185,2,FALSE)),"",IF(VLOOKUP(F169,Declarations!B$6:C$185,2,FALSE)="","NOT DECLARED",VLOOKUP(F169,Declarations!B$6:C$185,2,FALSE)))</f>
        <v/>
      </c>
      <c r="J169" s="112">
        <f>IF(LOWER(LEFT(G169,1))="n",1,VLOOKUP(G169,ScoringTable!D$2:I$95,6))</f>
        <v>0</v>
      </c>
      <c r="K169" s="112" t="str">
        <f>IF(OR(E169="",G169=""),"",IF(RIGHT(E169,1)="G",_xlfn.XLOOKUP(G169,Data!$D$14:$L$14,Data!$D$9:$L$9,"",-1,1),_xlfn.XLOOKUP(G169,Data!$D$7:$L$7,Data!$D$2:$L$2,"",-1,1)))</f>
        <v/>
      </c>
      <c r="L169" s="160" t="str" cm="1">
        <f t="array" ref="L169">IFERROR(_xlfn.IFNA(
                      _xlfn.IFS(
                      G169="", "",
                      AND(E169="U12B",G169&gt;=Data!$M$7), "U12 Boys record",
                      AND(E169="U12G",G169&gt;=Data!$M$14), "U12 Girls record"
                       ),""), "")</f>
        <v/>
      </c>
      <c r="M169" s="18" cm="1">
        <f t="array" ref="M169">_xlfn.IFS($G169="",0, AND(NOT(ISNUMBER($G169)),LOWER(LEFT($G169,1))&lt;&gt;"n"),"Not a valid distance",OR(LOWER(LEFT($G169,1))="n",$G169&lt;ScoringTable!$O$161),1,RIGHT($E169,1)="B",_xlfn.XLOOKUP($G169,ScoringTable!$O$2:$O$161,ScoringTable!$L$2:$L$161,,-1),TRUE,_xlfn.XLOOKUP($G169,ScoringTable!$U$2:$U$161,ScoringTable!$R$2:$R$161,,-1))</f>
        <v>0</v>
      </c>
    </row>
    <row r="170" spans="1:13" s="7" customFormat="1" ht="16.05" customHeight="1">
      <c r="A170" s="113" t="s">
        <v>99</v>
      </c>
      <c r="B170" s="114" t="str">
        <f>IF(ISNA(VLOOKUP($F170,Declarations!B$6:C$185,2,FALSE)),"",IF(VLOOKUP($F170,Declarations!B$6:C$185,2,FALSE)="","NOT DECLARED",IF(ISNA(_xlfn.TEXTBEFORE(VLOOKUP($F170,Declarations!B$6:C$185,2,FALSE)," ")),VLOOKUP($F170,Declarations!B$6:C$185,2,FALSE),_xlfn.TEXTBEFORE(VLOOKUP($F170,Declarations!B$6:C$185,2,FALSE)," "))))</f>
        <v/>
      </c>
      <c r="C170" s="114" t="str">
        <f>IF(ISNA(VLOOKUP($F170,Declarations!B$6:C$185,2,FALSE)),"",IF(VLOOKUP($F170,Declarations!B$6:C$185,2,FALSE)="","NOT DECLARED",IF(ISNA(_xlfn.TEXTAFTER(VLOOKUP($F170,Declarations!B$6:C$185,2,FALSE)," ")),VLOOKUP($F170,Declarations!B$6:C$185,2,FALSE),_xlfn.TEXTAFTER(VLOOKUP($F170,Declarations!B$6:C$185,2,FALSE)," "))))</f>
        <v/>
      </c>
      <c r="D170" s="114" t="str">
        <f>IF(ISNA(VLOOKUP($F170,Declarations!$B$6:$F$185,5,FALSE)),"",IF(VLOOKUP($F170,Declarations!$B$6:$F$185,5,FALSE)="","NOT DECLARED",VLOOKUP($F170,Declarations!$B$6:$F$185,5,FALSE)))</f>
        <v/>
      </c>
      <c r="E170" s="112" t="str">
        <f>IF(ISNA(VLOOKUP($F170,Declarations!$B$6:$D$185,3,FALSE)),"",IF(VLOOKUP($F170,Declarations!$B$6:$D$185,3,FALSE)="","NOT DECLARED",VLOOKUP($F170,Declarations!$B$6:$D$185,3,FALSE)&amp;LEFT(VLOOKUP($F170,Declarations!$B$6:$E$185,4,FALSE))))</f>
        <v/>
      </c>
      <c r="F170" s="58"/>
      <c r="G170" s="121"/>
      <c r="H170" s="121"/>
      <c r="I170" s="114" t="str">
        <f>IF(ISNA(VLOOKUP(F170,Declarations!B$6:C$185,2,FALSE)),"",IF(VLOOKUP(F170,Declarations!B$6:C$185,2,FALSE)="","NOT DECLARED",VLOOKUP(F170,Declarations!B$6:C$185,2,FALSE)))</f>
        <v/>
      </c>
      <c r="J170" s="112">
        <f>IF(LOWER(LEFT(G170,1))="n",1,VLOOKUP(G170,ScoringTable!D$2:I$95,6))</f>
        <v>0</v>
      </c>
      <c r="K170" s="112" t="str">
        <f>IF(OR(E170="",G170=""),"",IF(RIGHT(E170,1)="G",_xlfn.XLOOKUP(G170,Data!$D$14:$L$14,Data!$D$9:$L$9,"",-1,1),_xlfn.XLOOKUP(G170,Data!$D$7:$L$7,Data!$D$2:$L$2,"",-1,1)))</f>
        <v/>
      </c>
      <c r="L170" s="160" t="str" cm="1">
        <f t="array" ref="L170">IFERROR(_xlfn.IFNA(
                      _xlfn.IFS(
                      G170="", "",
                      AND(E170="U12B",G170&gt;=Data!$M$7), "U12 Boys record",
                      AND(E170="U12G",G170&gt;=Data!$M$14), "U12 Girls record"
                       ),""), "")</f>
        <v/>
      </c>
      <c r="M170" s="18" cm="1">
        <f t="array" ref="M170">_xlfn.IFS($G170="",0, AND(NOT(ISNUMBER($G170)),LOWER(LEFT($G170,1))&lt;&gt;"n"),"Not a valid distance",OR(LOWER(LEFT($G170,1))="n",$G170&lt;ScoringTable!$O$161),1,RIGHT($E170,1)="B",_xlfn.XLOOKUP($G170,ScoringTable!$O$2:$O$161,ScoringTable!$L$2:$L$161,,-1),TRUE,_xlfn.XLOOKUP($G170,ScoringTable!$U$2:$U$161,ScoringTable!$R$2:$R$161,,-1))</f>
        <v>0</v>
      </c>
    </row>
    <row r="171" spans="1:13" s="7" customFormat="1" ht="16.05" customHeight="1">
      <c r="A171" s="113" t="s">
        <v>99</v>
      </c>
      <c r="B171" s="114" t="str">
        <f>IF(ISNA(VLOOKUP($F171,Declarations!B$6:C$185,2,FALSE)),"",IF(VLOOKUP($F171,Declarations!B$6:C$185,2,FALSE)="","NOT DECLARED",IF(ISNA(_xlfn.TEXTBEFORE(VLOOKUP($F171,Declarations!B$6:C$185,2,FALSE)," ")),VLOOKUP($F171,Declarations!B$6:C$185,2,FALSE),_xlfn.TEXTBEFORE(VLOOKUP($F171,Declarations!B$6:C$185,2,FALSE)," "))))</f>
        <v/>
      </c>
      <c r="C171" s="114" t="str">
        <f>IF(ISNA(VLOOKUP($F171,Declarations!B$6:C$185,2,FALSE)),"",IF(VLOOKUP($F171,Declarations!B$6:C$185,2,FALSE)="","NOT DECLARED",IF(ISNA(_xlfn.TEXTAFTER(VLOOKUP($F171,Declarations!B$6:C$185,2,FALSE)," ")),VLOOKUP($F171,Declarations!B$6:C$185,2,FALSE),_xlfn.TEXTAFTER(VLOOKUP($F171,Declarations!B$6:C$185,2,FALSE)," "))))</f>
        <v/>
      </c>
      <c r="D171" s="114" t="str">
        <f>IF(ISNA(VLOOKUP($F171,Declarations!$B$6:$F$185,5,FALSE)),"",IF(VLOOKUP($F171,Declarations!$B$6:$F$185,5,FALSE)="","NOT DECLARED",VLOOKUP($F171,Declarations!$B$6:$F$185,5,FALSE)))</f>
        <v/>
      </c>
      <c r="E171" s="112" t="str">
        <f>IF(ISNA(VLOOKUP($F171,Declarations!$B$6:$D$185,3,FALSE)),"",IF(VLOOKUP($F171,Declarations!$B$6:$D$185,3,FALSE)="","NOT DECLARED",VLOOKUP($F171,Declarations!$B$6:$D$185,3,FALSE)&amp;LEFT(VLOOKUP($F171,Declarations!$B$6:$E$185,4,FALSE))))</f>
        <v/>
      </c>
      <c r="F171" s="58"/>
      <c r="G171" s="121"/>
      <c r="H171" s="121"/>
      <c r="I171" s="114" t="str">
        <f>IF(ISNA(VLOOKUP(F171,Declarations!B$6:C$185,2,FALSE)),"",IF(VLOOKUP(F171,Declarations!B$6:C$185,2,FALSE)="","NOT DECLARED",VLOOKUP(F171,Declarations!B$6:C$185,2,FALSE)))</f>
        <v/>
      </c>
      <c r="J171" s="112">
        <f>IF(LOWER(LEFT(G171,1))="n",1,VLOOKUP(G171,ScoringTable!D$2:I$95,6))</f>
        <v>0</v>
      </c>
      <c r="K171" s="112" t="str">
        <f>IF(OR(E171="",G171=""),"",IF(RIGHT(E171,1)="G",_xlfn.XLOOKUP(G171,Data!$D$14:$L$14,Data!$D$9:$L$9,"",-1,1),_xlfn.XLOOKUP(G171,Data!$D$7:$L$7,Data!$D$2:$L$2,"",-1,1)))</f>
        <v/>
      </c>
      <c r="L171" s="160" t="str" cm="1">
        <f t="array" ref="L171">IFERROR(_xlfn.IFNA(
                      _xlfn.IFS(
                      G171="", "",
                      AND(E171="U12B",G171&gt;=Data!$M$7), "U12 Boys record",
                      AND(E171="U12G",G171&gt;=Data!$M$14), "U12 Girls record"
                       ),""), "")</f>
        <v/>
      </c>
      <c r="M171" s="18" cm="1">
        <f t="array" ref="M171">_xlfn.IFS($G171="",0, AND(NOT(ISNUMBER($G171)),LOWER(LEFT($G171,1))&lt;&gt;"n"),"Not a valid distance",OR(LOWER(LEFT($G171,1))="n",$G171&lt;ScoringTable!$O$161),1,RIGHT($E171,1)="B",_xlfn.XLOOKUP($G171,ScoringTable!$O$2:$O$161,ScoringTable!$L$2:$L$161,,-1),TRUE,_xlfn.XLOOKUP($G171,ScoringTable!$U$2:$U$161,ScoringTable!$R$2:$R$161,,-1))</f>
        <v>0</v>
      </c>
    </row>
    <row r="172" spans="1:13" s="7" customFormat="1" ht="16.05" customHeight="1">
      <c r="A172" s="113" t="s">
        <v>99</v>
      </c>
      <c r="B172" s="114" t="str">
        <f>IF(ISNA(VLOOKUP($F172,Declarations!B$6:C$185,2,FALSE)),"",IF(VLOOKUP($F172,Declarations!B$6:C$185,2,FALSE)="","NOT DECLARED",IF(ISNA(_xlfn.TEXTBEFORE(VLOOKUP($F172,Declarations!B$6:C$185,2,FALSE)," ")),VLOOKUP($F172,Declarations!B$6:C$185,2,FALSE),_xlfn.TEXTBEFORE(VLOOKUP($F172,Declarations!B$6:C$185,2,FALSE)," "))))</f>
        <v/>
      </c>
      <c r="C172" s="114" t="str">
        <f>IF(ISNA(VLOOKUP($F172,Declarations!B$6:C$185,2,FALSE)),"",IF(VLOOKUP($F172,Declarations!B$6:C$185,2,FALSE)="","NOT DECLARED",IF(ISNA(_xlfn.TEXTAFTER(VLOOKUP($F172,Declarations!B$6:C$185,2,FALSE)," ")),VLOOKUP($F172,Declarations!B$6:C$185,2,FALSE),_xlfn.TEXTAFTER(VLOOKUP($F172,Declarations!B$6:C$185,2,FALSE)," "))))</f>
        <v/>
      </c>
      <c r="D172" s="114" t="str">
        <f>IF(ISNA(VLOOKUP($F172,Declarations!$B$6:$F$185,5,FALSE)),"",IF(VLOOKUP($F172,Declarations!$B$6:$F$185,5,FALSE)="","NOT DECLARED",VLOOKUP($F172,Declarations!$B$6:$F$185,5,FALSE)))</f>
        <v/>
      </c>
      <c r="E172" s="112" t="str">
        <f>IF(ISNA(VLOOKUP($F172,Declarations!$B$6:$D$185,3,FALSE)),"",IF(VLOOKUP($F172,Declarations!$B$6:$D$185,3,FALSE)="","NOT DECLARED",VLOOKUP($F172,Declarations!$B$6:$D$185,3,FALSE)&amp;LEFT(VLOOKUP($F172,Declarations!$B$6:$E$185,4,FALSE))))</f>
        <v/>
      </c>
      <c r="F172" s="58"/>
      <c r="G172" s="121"/>
      <c r="H172" s="121"/>
      <c r="I172" s="114" t="str">
        <f>IF(ISNA(VLOOKUP(F172,Declarations!B$6:C$185,2,FALSE)),"",IF(VLOOKUP(F172,Declarations!B$6:C$185,2,FALSE)="","NOT DECLARED",VLOOKUP(F172,Declarations!B$6:C$185,2,FALSE)))</f>
        <v/>
      </c>
      <c r="J172" s="112">
        <f>IF(LOWER(LEFT(G172,1))="n",1,VLOOKUP(G172,ScoringTable!D$2:I$95,6))</f>
        <v>0</v>
      </c>
      <c r="K172" s="112" t="str">
        <f>IF(OR(E172="",G172=""),"",IF(RIGHT(E172,1)="G",_xlfn.XLOOKUP(G172,Data!$D$14:$L$14,Data!$D$9:$L$9,"",-1,1),_xlfn.XLOOKUP(G172,Data!$D$7:$L$7,Data!$D$2:$L$2,"",-1,1)))</f>
        <v/>
      </c>
      <c r="L172" s="160" t="str" cm="1">
        <f t="array" ref="L172">IFERROR(_xlfn.IFNA(
                      _xlfn.IFS(
                      G172="", "",
                      AND(E172="U12B",G172&gt;=Data!$M$7), "U12 Boys record",
                      AND(E172="U12G",G172&gt;=Data!$M$14), "U12 Girls record"
                       ),""), "")</f>
        <v/>
      </c>
      <c r="M172" s="18" cm="1">
        <f t="array" ref="M172">_xlfn.IFS($G172="",0, AND(NOT(ISNUMBER($G172)),LOWER(LEFT($G172,1))&lt;&gt;"n"),"Not a valid distance",OR(LOWER(LEFT($G172,1))="n",$G172&lt;ScoringTable!$O$161),1,RIGHT($E172,1)="B",_xlfn.XLOOKUP($G172,ScoringTable!$O$2:$O$161,ScoringTable!$L$2:$L$161,,-1),TRUE,_xlfn.XLOOKUP($G172,ScoringTable!$U$2:$U$161,ScoringTable!$R$2:$R$161,,-1))</f>
        <v>0</v>
      </c>
    </row>
    <row r="173" spans="1:13" s="7" customFormat="1" ht="16.05" customHeight="1">
      <c r="A173" s="113" t="s">
        <v>99</v>
      </c>
      <c r="B173" s="114" t="str">
        <f>IF(ISNA(VLOOKUP($F173,Declarations!B$6:C$185,2,FALSE)),"",IF(VLOOKUP($F173,Declarations!B$6:C$185,2,FALSE)="","NOT DECLARED",IF(ISNA(_xlfn.TEXTBEFORE(VLOOKUP($F173,Declarations!B$6:C$185,2,FALSE)," ")),VLOOKUP($F173,Declarations!B$6:C$185,2,FALSE),_xlfn.TEXTBEFORE(VLOOKUP($F173,Declarations!B$6:C$185,2,FALSE)," "))))</f>
        <v/>
      </c>
      <c r="C173" s="114" t="str">
        <f>IF(ISNA(VLOOKUP($F173,Declarations!B$6:C$185,2,FALSE)),"",IF(VLOOKUP($F173,Declarations!B$6:C$185,2,FALSE)="","NOT DECLARED",IF(ISNA(_xlfn.TEXTAFTER(VLOOKUP($F173,Declarations!B$6:C$185,2,FALSE)," ")),VLOOKUP($F173,Declarations!B$6:C$185,2,FALSE),_xlfn.TEXTAFTER(VLOOKUP($F173,Declarations!B$6:C$185,2,FALSE)," "))))</f>
        <v/>
      </c>
      <c r="D173" s="114" t="str">
        <f>IF(ISNA(VLOOKUP($F173,Declarations!$B$6:$F$185,5,FALSE)),"",IF(VLOOKUP($F173,Declarations!$B$6:$F$185,5,FALSE)="","NOT DECLARED",VLOOKUP($F173,Declarations!$B$6:$F$185,5,FALSE)))</f>
        <v/>
      </c>
      <c r="E173" s="112" t="str">
        <f>IF(ISNA(VLOOKUP($F173,Declarations!$B$6:$D$185,3,FALSE)),"",IF(VLOOKUP($F173,Declarations!$B$6:$D$185,3,FALSE)="","NOT DECLARED",VLOOKUP($F173,Declarations!$B$6:$D$185,3,FALSE)&amp;LEFT(VLOOKUP($F173,Declarations!$B$6:$E$185,4,FALSE))))</f>
        <v/>
      </c>
      <c r="F173" s="58"/>
      <c r="G173" s="121"/>
      <c r="H173" s="121"/>
      <c r="I173" s="114" t="str">
        <f>IF(ISNA(VLOOKUP(F173,Declarations!B$6:C$185,2,FALSE)),"",IF(VLOOKUP(F173,Declarations!B$6:C$185,2,FALSE)="","NOT DECLARED",VLOOKUP(F173,Declarations!B$6:C$185,2,FALSE)))</f>
        <v/>
      </c>
      <c r="J173" s="112">
        <f>IF(LOWER(LEFT(G173,1))="n",1,VLOOKUP(G173,ScoringTable!D$2:I$95,6))</f>
        <v>0</v>
      </c>
      <c r="K173" s="112" t="str">
        <f>IF(OR(E173="",G173=""),"",IF(RIGHT(E173,1)="G",_xlfn.XLOOKUP(G173,Data!$D$14:$L$14,Data!$D$9:$L$9,"",-1,1),_xlfn.XLOOKUP(G173,Data!$D$7:$L$7,Data!$D$2:$L$2,"",-1,1)))</f>
        <v/>
      </c>
      <c r="L173" s="160" t="str" cm="1">
        <f t="array" ref="L173">IFERROR(_xlfn.IFNA(
                      _xlfn.IFS(
                      G173="", "",
                      AND(E173="U12B",G173&gt;=Data!$M$7), "U12 Boys record",
                      AND(E173="U12G",G173&gt;=Data!$M$14), "U12 Girls record"
                       ),""), "")</f>
        <v/>
      </c>
      <c r="M173" s="18" cm="1">
        <f t="array" ref="M173">_xlfn.IFS($G173="",0, AND(NOT(ISNUMBER($G173)),LOWER(LEFT($G173,1))&lt;&gt;"n"),"Not a valid distance",OR(LOWER(LEFT($G173,1))="n",$G173&lt;ScoringTable!$O$161),1,RIGHT($E173,1)="B",_xlfn.XLOOKUP($G173,ScoringTable!$O$2:$O$161,ScoringTable!$L$2:$L$161,,-1),TRUE,_xlfn.XLOOKUP($G173,ScoringTable!$U$2:$U$161,ScoringTable!$R$2:$R$161,,-1))</f>
        <v>0</v>
      </c>
    </row>
    <row r="174" spans="1:13" s="7" customFormat="1" ht="16.05" customHeight="1">
      <c r="A174" s="113" t="s">
        <v>99</v>
      </c>
      <c r="B174" s="114" t="str">
        <f>IF(ISNA(VLOOKUP($F174,Declarations!B$6:C$185,2,FALSE)),"",IF(VLOOKUP($F174,Declarations!B$6:C$185,2,FALSE)="","NOT DECLARED",IF(ISNA(_xlfn.TEXTBEFORE(VLOOKUP($F174,Declarations!B$6:C$185,2,FALSE)," ")),VLOOKUP($F174,Declarations!B$6:C$185,2,FALSE),_xlfn.TEXTBEFORE(VLOOKUP($F174,Declarations!B$6:C$185,2,FALSE)," "))))</f>
        <v/>
      </c>
      <c r="C174" s="114" t="str">
        <f>IF(ISNA(VLOOKUP($F174,Declarations!B$6:C$185,2,FALSE)),"",IF(VLOOKUP($F174,Declarations!B$6:C$185,2,FALSE)="","NOT DECLARED",IF(ISNA(_xlfn.TEXTAFTER(VLOOKUP($F174,Declarations!B$6:C$185,2,FALSE)," ")),VLOOKUP($F174,Declarations!B$6:C$185,2,FALSE),_xlfn.TEXTAFTER(VLOOKUP($F174,Declarations!B$6:C$185,2,FALSE)," "))))</f>
        <v/>
      </c>
      <c r="D174" s="114" t="str">
        <f>IF(ISNA(VLOOKUP($F174,Declarations!$B$6:$F$185,5,FALSE)),"",IF(VLOOKUP($F174,Declarations!$B$6:$F$185,5,FALSE)="","NOT DECLARED",VLOOKUP($F174,Declarations!$B$6:$F$185,5,FALSE)))</f>
        <v/>
      </c>
      <c r="E174" s="112" t="str">
        <f>IF(ISNA(VLOOKUP($F174,Declarations!$B$6:$D$185,3,FALSE)),"",IF(VLOOKUP($F174,Declarations!$B$6:$D$185,3,FALSE)="","NOT DECLARED",VLOOKUP($F174,Declarations!$B$6:$D$185,3,FALSE)&amp;LEFT(VLOOKUP($F174,Declarations!$B$6:$E$185,4,FALSE))))</f>
        <v/>
      </c>
      <c r="F174" s="58"/>
      <c r="G174" s="121"/>
      <c r="H174" s="121"/>
      <c r="I174" s="114" t="str">
        <f>IF(ISNA(VLOOKUP(F174,Declarations!B$6:C$185,2,FALSE)),"",IF(VLOOKUP(F174,Declarations!B$6:C$185,2,FALSE)="","NOT DECLARED",VLOOKUP(F174,Declarations!B$6:C$185,2,FALSE)))</f>
        <v/>
      </c>
      <c r="J174" s="112">
        <f>IF(LOWER(LEFT(G174,1))="n",1,VLOOKUP(G174,ScoringTable!D$2:I$95,6))</f>
        <v>0</v>
      </c>
      <c r="K174" s="112" t="str">
        <f>IF(OR(E174="",G174=""),"",IF(RIGHT(E174,1)="G",_xlfn.XLOOKUP(G174,Data!$D$14:$L$14,Data!$D$9:$L$9,"",-1,1),_xlfn.XLOOKUP(G174,Data!$D$7:$L$7,Data!$D$2:$L$2,"",-1,1)))</f>
        <v/>
      </c>
      <c r="L174" s="160" t="str" cm="1">
        <f t="array" ref="L174">IFERROR(_xlfn.IFNA(
                      _xlfn.IFS(
                      G174="", "",
                      AND(E174="U12B",G174&gt;=Data!$M$7), "U12 Boys record",
                      AND(E174="U12G",G174&gt;=Data!$M$14), "U12 Girls record"
                       ),""), "")</f>
        <v/>
      </c>
      <c r="M174" s="18" cm="1">
        <f t="array" ref="M174">_xlfn.IFS($G174="",0, AND(NOT(ISNUMBER($G174)),LOWER(LEFT($G174,1))&lt;&gt;"n"),"Not a valid distance",OR(LOWER(LEFT($G174,1))="n",$G174&lt;ScoringTable!$O$161),1,RIGHT($E174,1)="B",_xlfn.XLOOKUP($G174,ScoringTable!$O$2:$O$161,ScoringTable!$L$2:$L$161,,-1),TRUE,_xlfn.XLOOKUP($G174,ScoringTable!$U$2:$U$161,ScoringTable!$R$2:$R$161,,-1))</f>
        <v>0</v>
      </c>
    </row>
    <row r="175" spans="1:13" s="7" customFormat="1" ht="16.05" customHeight="1">
      <c r="A175" s="113" t="s">
        <v>99</v>
      </c>
      <c r="B175" s="114" t="str">
        <f>IF(ISNA(VLOOKUP($F175,Declarations!B$6:C$185,2,FALSE)),"",IF(VLOOKUP($F175,Declarations!B$6:C$185,2,FALSE)="","NOT DECLARED",IF(ISNA(_xlfn.TEXTBEFORE(VLOOKUP($F175,Declarations!B$6:C$185,2,FALSE)," ")),VLOOKUP($F175,Declarations!B$6:C$185,2,FALSE),_xlfn.TEXTBEFORE(VLOOKUP($F175,Declarations!B$6:C$185,2,FALSE)," "))))</f>
        <v/>
      </c>
      <c r="C175" s="114" t="str">
        <f>IF(ISNA(VLOOKUP($F175,Declarations!B$6:C$185,2,FALSE)),"",IF(VLOOKUP($F175,Declarations!B$6:C$185,2,FALSE)="","NOT DECLARED",IF(ISNA(_xlfn.TEXTAFTER(VLOOKUP($F175,Declarations!B$6:C$185,2,FALSE)," ")),VLOOKUP($F175,Declarations!B$6:C$185,2,FALSE),_xlfn.TEXTAFTER(VLOOKUP($F175,Declarations!B$6:C$185,2,FALSE)," "))))</f>
        <v/>
      </c>
      <c r="D175" s="114" t="str">
        <f>IF(ISNA(VLOOKUP($F175,Declarations!$B$6:$F$185,5,FALSE)),"",IF(VLOOKUP($F175,Declarations!$B$6:$F$185,5,FALSE)="","NOT DECLARED",VLOOKUP($F175,Declarations!$B$6:$F$185,5,FALSE)))</f>
        <v/>
      </c>
      <c r="E175" s="112" t="str">
        <f>IF(ISNA(VLOOKUP($F175,Declarations!$B$6:$D$185,3,FALSE)),"",IF(VLOOKUP($F175,Declarations!$B$6:$D$185,3,FALSE)="","NOT DECLARED",VLOOKUP($F175,Declarations!$B$6:$D$185,3,FALSE)&amp;LEFT(VLOOKUP($F175,Declarations!$B$6:$E$185,4,FALSE))))</f>
        <v/>
      </c>
      <c r="F175" s="58"/>
      <c r="G175" s="121"/>
      <c r="H175" s="121"/>
      <c r="I175" s="114" t="str">
        <f>IF(ISNA(VLOOKUP(F175,Declarations!B$6:C$185,2,FALSE)),"",IF(VLOOKUP(F175,Declarations!B$6:C$185,2,FALSE)="","NOT DECLARED",VLOOKUP(F175,Declarations!B$6:C$185,2,FALSE)))</f>
        <v/>
      </c>
      <c r="J175" s="112">
        <f>IF(LOWER(LEFT(G175,1))="n",1,VLOOKUP(G175,ScoringTable!D$2:I$95,6))</f>
        <v>0</v>
      </c>
      <c r="K175" s="112" t="str">
        <f>IF(OR(E175="",G175=""),"",IF(RIGHT(E175,1)="G",_xlfn.XLOOKUP(G175,Data!$D$14:$L$14,Data!$D$9:$L$9,"",-1,1),_xlfn.XLOOKUP(G175,Data!$D$7:$L$7,Data!$D$2:$L$2,"",-1,1)))</f>
        <v/>
      </c>
      <c r="L175" s="160" t="str" cm="1">
        <f t="array" ref="L175">IFERROR(_xlfn.IFNA(
                      _xlfn.IFS(
                      G175="", "",
                      AND(E175="U12B",G175&gt;=Data!$M$7), "U12 Boys record",
                      AND(E175="U12G",G175&gt;=Data!$M$14), "U12 Girls record"
                       ),""), "")</f>
        <v/>
      </c>
      <c r="M175" s="18" cm="1">
        <f t="array" ref="M175">_xlfn.IFS($G175="",0, AND(NOT(ISNUMBER($G175)),LOWER(LEFT($G175,1))&lt;&gt;"n"),"Not a valid distance",OR(LOWER(LEFT($G175,1))="n",$G175&lt;ScoringTable!$O$161),1,RIGHT($E175,1)="B",_xlfn.XLOOKUP($G175,ScoringTable!$O$2:$O$161,ScoringTable!$L$2:$L$161,,-1),TRUE,_xlfn.XLOOKUP($G175,ScoringTable!$U$2:$U$161,ScoringTable!$R$2:$R$161,,-1))</f>
        <v>0</v>
      </c>
    </row>
    <row r="176" spans="1:13" s="7" customFormat="1" ht="16.05" customHeight="1">
      <c r="A176" s="113" t="s">
        <v>99</v>
      </c>
      <c r="B176" s="114" t="str">
        <f>IF(ISNA(VLOOKUP($F176,Declarations!B$6:C$185,2,FALSE)),"",IF(VLOOKUP($F176,Declarations!B$6:C$185,2,FALSE)="","NOT DECLARED",IF(ISNA(_xlfn.TEXTBEFORE(VLOOKUP($F176,Declarations!B$6:C$185,2,FALSE)," ")),VLOOKUP($F176,Declarations!B$6:C$185,2,FALSE),_xlfn.TEXTBEFORE(VLOOKUP($F176,Declarations!B$6:C$185,2,FALSE)," "))))</f>
        <v/>
      </c>
      <c r="C176" s="114" t="str">
        <f>IF(ISNA(VLOOKUP($F176,Declarations!B$6:C$185,2,FALSE)),"",IF(VLOOKUP($F176,Declarations!B$6:C$185,2,FALSE)="","NOT DECLARED",IF(ISNA(_xlfn.TEXTAFTER(VLOOKUP($F176,Declarations!B$6:C$185,2,FALSE)," ")),VLOOKUP($F176,Declarations!B$6:C$185,2,FALSE),_xlfn.TEXTAFTER(VLOOKUP($F176,Declarations!B$6:C$185,2,FALSE)," "))))</f>
        <v/>
      </c>
      <c r="D176" s="114" t="str">
        <f>IF(ISNA(VLOOKUP($F176,Declarations!$B$6:$F$185,5,FALSE)),"",IF(VLOOKUP($F176,Declarations!$B$6:$F$185,5,FALSE)="","NOT DECLARED",VLOOKUP($F176,Declarations!$B$6:$F$185,5,FALSE)))</f>
        <v/>
      </c>
      <c r="E176" s="112" t="str">
        <f>IF(ISNA(VLOOKUP($F176,Declarations!$B$6:$D$185,3,FALSE)),"",IF(VLOOKUP($F176,Declarations!$B$6:$D$185,3,FALSE)="","NOT DECLARED",VLOOKUP($F176,Declarations!$B$6:$D$185,3,FALSE)&amp;LEFT(VLOOKUP($F176,Declarations!$B$6:$E$185,4,FALSE))))</f>
        <v/>
      </c>
      <c r="F176" s="58"/>
      <c r="G176" s="121"/>
      <c r="H176" s="121"/>
      <c r="I176" s="114" t="str">
        <f>IF(ISNA(VLOOKUP(F176,Declarations!B$6:C$185,2,FALSE)),"",IF(VLOOKUP(F176,Declarations!B$6:C$185,2,FALSE)="","NOT DECLARED",VLOOKUP(F176,Declarations!B$6:C$185,2,FALSE)))</f>
        <v/>
      </c>
      <c r="J176" s="112">
        <f>IF(LOWER(LEFT(G176,1))="n",1,VLOOKUP(G176,ScoringTable!D$2:I$95,6))</f>
        <v>0</v>
      </c>
      <c r="K176" s="112" t="str">
        <f>IF(OR(E176="",G176=""),"",IF(RIGHT(E176,1)="G",_xlfn.XLOOKUP(G176,Data!$D$14:$L$14,Data!$D$9:$L$9,"",-1,1),_xlfn.XLOOKUP(G176,Data!$D$7:$L$7,Data!$D$2:$L$2,"",-1,1)))</f>
        <v/>
      </c>
      <c r="L176" s="160" t="str" cm="1">
        <f t="array" ref="L176">IFERROR(_xlfn.IFNA(
                      _xlfn.IFS(
                      G176="", "",
                      AND(E176="U12B",G176&gt;=Data!$M$7), "U12 Boys record",
                      AND(E176="U12G",G176&gt;=Data!$M$14), "U12 Girls record"
                       ),""), "")</f>
        <v/>
      </c>
      <c r="M176" s="18" cm="1">
        <f t="array" ref="M176">_xlfn.IFS($G176="",0, AND(NOT(ISNUMBER($G176)),LOWER(LEFT($G176,1))&lt;&gt;"n"),"Not a valid distance",OR(LOWER(LEFT($G176,1))="n",$G176&lt;ScoringTable!$O$161),1,RIGHT($E176,1)="B",_xlfn.XLOOKUP($G176,ScoringTable!$O$2:$O$161,ScoringTable!$L$2:$L$161,,-1),TRUE,_xlfn.XLOOKUP($G176,ScoringTable!$U$2:$U$161,ScoringTable!$R$2:$R$161,,-1))</f>
        <v>0</v>
      </c>
    </row>
    <row r="177" spans="1:13" s="7" customFormat="1" ht="16.05" customHeight="1">
      <c r="A177" s="113" t="s">
        <v>99</v>
      </c>
      <c r="B177" s="114" t="str">
        <f>IF(ISNA(VLOOKUP($F177,Declarations!B$6:C$185,2,FALSE)),"",IF(VLOOKUP($F177,Declarations!B$6:C$185,2,FALSE)="","NOT DECLARED",IF(ISNA(_xlfn.TEXTBEFORE(VLOOKUP($F177,Declarations!B$6:C$185,2,FALSE)," ")),VLOOKUP($F177,Declarations!B$6:C$185,2,FALSE),_xlfn.TEXTBEFORE(VLOOKUP($F177,Declarations!B$6:C$185,2,FALSE)," "))))</f>
        <v/>
      </c>
      <c r="C177" s="114" t="str">
        <f>IF(ISNA(VLOOKUP($F177,Declarations!B$6:C$185,2,FALSE)),"",IF(VLOOKUP($F177,Declarations!B$6:C$185,2,FALSE)="","NOT DECLARED",IF(ISNA(_xlfn.TEXTAFTER(VLOOKUP($F177,Declarations!B$6:C$185,2,FALSE)," ")),VLOOKUP($F177,Declarations!B$6:C$185,2,FALSE),_xlfn.TEXTAFTER(VLOOKUP($F177,Declarations!B$6:C$185,2,FALSE)," "))))</f>
        <v/>
      </c>
      <c r="D177" s="114" t="str">
        <f>IF(ISNA(VLOOKUP($F177,Declarations!$B$6:$F$185,5,FALSE)),"",IF(VLOOKUP($F177,Declarations!$B$6:$F$185,5,FALSE)="","NOT DECLARED",VLOOKUP($F177,Declarations!$B$6:$F$185,5,FALSE)))</f>
        <v/>
      </c>
      <c r="E177" s="112" t="str">
        <f>IF(ISNA(VLOOKUP($F177,Declarations!$B$6:$D$185,3,FALSE)),"",IF(VLOOKUP($F177,Declarations!$B$6:$D$185,3,FALSE)="","NOT DECLARED",VLOOKUP($F177,Declarations!$B$6:$D$185,3,FALSE)&amp;LEFT(VLOOKUP($F177,Declarations!$B$6:$E$185,4,FALSE))))</f>
        <v/>
      </c>
      <c r="F177" s="58"/>
      <c r="G177" s="121"/>
      <c r="H177" s="121"/>
      <c r="I177" s="114" t="str">
        <f>IF(ISNA(VLOOKUP(F177,Declarations!B$6:C$185,2,FALSE)),"",IF(VLOOKUP(F177,Declarations!B$6:C$185,2,FALSE)="","NOT DECLARED",VLOOKUP(F177,Declarations!B$6:C$185,2,FALSE)))</f>
        <v/>
      </c>
      <c r="J177" s="112">
        <f>IF(LOWER(LEFT(G177,1))="n",1,VLOOKUP(G177,ScoringTable!D$2:I$95,6))</f>
        <v>0</v>
      </c>
      <c r="K177" s="112" t="str">
        <f>IF(OR(E177="",G177=""),"",IF(RIGHT(E177,1)="G",_xlfn.XLOOKUP(G177,Data!$D$14:$L$14,Data!$D$9:$L$9,"",-1,1),_xlfn.XLOOKUP(G177,Data!$D$7:$L$7,Data!$D$2:$L$2,"",-1,1)))</f>
        <v/>
      </c>
      <c r="L177" s="160" t="str" cm="1">
        <f t="array" ref="L177">IFERROR(_xlfn.IFNA(
                      _xlfn.IFS(
                      G177="", "",
                      AND(E177="U12B",G177&gt;=Data!$M$7), "U12 Boys record",
                      AND(E177="U12G",G177&gt;=Data!$M$14), "U12 Girls record"
                       ),""), "")</f>
        <v/>
      </c>
      <c r="M177" s="18" cm="1">
        <f t="array" ref="M177">_xlfn.IFS($G177="",0, AND(NOT(ISNUMBER($G177)),LOWER(LEFT($G177,1))&lt;&gt;"n"),"Not a valid distance",OR(LOWER(LEFT($G177,1))="n",$G177&lt;ScoringTable!$O$161),1,RIGHT($E177,1)="B",_xlfn.XLOOKUP($G177,ScoringTable!$O$2:$O$161,ScoringTable!$L$2:$L$161,,-1),TRUE,_xlfn.XLOOKUP($G177,ScoringTable!$U$2:$U$161,ScoringTable!$R$2:$R$161,,-1))</f>
        <v>0</v>
      </c>
    </row>
    <row r="178" spans="1:13" s="7" customFormat="1" ht="16.05" customHeight="1">
      <c r="A178" s="113" t="s">
        <v>99</v>
      </c>
      <c r="B178" s="114" t="str">
        <f>IF(ISNA(VLOOKUP($F178,Declarations!B$6:C$185,2,FALSE)),"",IF(VLOOKUP($F178,Declarations!B$6:C$185,2,FALSE)="","NOT DECLARED",IF(ISNA(_xlfn.TEXTBEFORE(VLOOKUP($F178,Declarations!B$6:C$185,2,FALSE)," ")),VLOOKUP($F178,Declarations!B$6:C$185,2,FALSE),_xlfn.TEXTBEFORE(VLOOKUP($F178,Declarations!B$6:C$185,2,FALSE)," "))))</f>
        <v/>
      </c>
      <c r="C178" s="114" t="str">
        <f>IF(ISNA(VLOOKUP($F178,Declarations!B$6:C$185,2,FALSE)),"",IF(VLOOKUP($F178,Declarations!B$6:C$185,2,FALSE)="","NOT DECLARED",IF(ISNA(_xlfn.TEXTAFTER(VLOOKUP($F178,Declarations!B$6:C$185,2,FALSE)," ")),VLOOKUP($F178,Declarations!B$6:C$185,2,FALSE),_xlfn.TEXTAFTER(VLOOKUP($F178,Declarations!B$6:C$185,2,FALSE)," "))))</f>
        <v/>
      </c>
      <c r="D178" s="114" t="str">
        <f>IF(ISNA(VLOOKUP($F178,Declarations!$B$6:$F$185,5,FALSE)),"",IF(VLOOKUP($F178,Declarations!$B$6:$F$185,5,FALSE)="","NOT DECLARED",VLOOKUP($F178,Declarations!$B$6:$F$185,5,FALSE)))</f>
        <v/>
      </c>
      <c r="E178" s="112" t="str">
        <f>IF(ISNA(VLOOKUP($F178,Declarations!$B$6:$D$185,3,FALSE)),"",IF(VLOOKUP($F178,Declarations!$B$6:$D$185,3,FALSE)="","NOT DECLARED",VLOOKUP($F178,Declarations!$B$6:$D$185,3,FALSE)&amp;LEFT(VLOOKUP($F178,Declarations!$B$6:$E$185,4,FALSE))))</f>
        <v/>
      </c>
      <c r="F178" s="58"/>
      <c r="G178" s="121"/>
      <c r="H178" s="121"/>
      <c r="I178" s="114" t="str">
        <f>IF(ISNA(VLOOKUP(F178,Declarations!B$6:C$185,2,FALSE)),"",IF(VLOOKUP(F178,Declarations!B$6:C$185,2,FALSE)="","NOT DECLARED",VLOOKUP(F178,Declarations!B$6:C$185,2,FALSE)))</f>
        <v/>
      </c>
      <c r="J178" s="112">
        <f>IF(LOWER(LEFT(G178,1))="n",1,VLOOKUP(G178,ScoringTable!D$2:I$95,6))</f>
        <v>0</v>
      </c>
      <c r="K178" s="112" t="str">
        <f>IF(OR(E178="",G178=""),"",IF(RIGHT(E178,1)="G",_xlfn.XLOOKUP(G178,Data!$D$14:$L$14,Data!$D$9:$L$9,"",-1,1),_xlfn.XLOOKUP(G178,Data!$D$7:$L$7,Data!$D$2:$L$2,"",-1,1)))</f>
        <v/>
      </c>
      <c r="L178" s="160" t="str" cm="1">
        <f t="array" ref="L178">IFERROR(_xlfn.IFNA(
                      _xlfn.IFS(
                      G178="", "",
                      AND(E178="U12B",G178&gt;=Data!$M$7), "U12 Boys record",
                      AND(E178="U12G",G178&gt;=Data!$M$14), "U12 Girls record"
                       ),""), "")</f>
        <v/>
      </c>
      <c r="M178" s="18" cm="1">
        <f t="array" ref="M178">_xlfn.IFS($G178="",0, AND(NOT(ISNUMBER($G178)),LOWER(LEFT($G178,1))&lt;&gt;"n"),"Not a valid distance",OR(LOWER(LEFT($G178,1))="n",$G178&lt;ScoringTable!$O$161),1,RIGHT($E178,1)="B",_xlfn.XLOOKUP($G178,ScoringTable!$O$2:$O$161,ScoringTable!$L$2:$L$161,,-1),TRUE,_xlfn.XLOOKUP($G178,ScoringTable!$U$2:$U$161,ScoringTable!$R$2:$R$161,,-1))</f>
        <v>0</v>
      </c>
    </row>
    <row r="179" spans="1:13" s="7" customFormat="1" ht="16.05" customHeight="1">
      <c r="A179" s="113" t="s">
        <v>99</v>
      </c>
      <c r="B179" s="114" t="str">
        <f>IF(ISNA(VLOOKUP($F179,Declarations!B$6:C$185,2,FALSE)),"",IF(VLOOKUP($F179,Declarations!B$6:C$185,2,FALSE)="","NOT DECLARED",IF(ISNA(_xlfn.TEXTBEFORE(VLOOKUP($F179,Declarations!B$6:C$185,2,FALSE)," ")),VLOOKUP($F179,Declarations!B$6:C$185,2,FALSE),_xlfn.TEXTBEFORE(VLOOKUP($F179,Declarations!B$6:C$185,2,FALSE)," "))))</f>
        <v/>
      </c>
      <c r="C179" s="114" t="str">
        <f>IF(ISNA(VLOOKUP($F179,Declarations!B$6:C$185,2,FALSE)),"",IF(VLOOKUP($F179,Declarations!B$6:C$185,2,FALSE)="","NOT DECLARED",IF(ISNA(_xlfn.TEXTAFTER(VLOOKUP($F179,Declarations!B$6:C$185,2,FALSE)," ")),VLOOKUP($F179,Declarations!B$6:C$185,2,FALSE),_xlfn.TEXTAFTER(VLOOKUP($F179,Declarations!B$6:C$185,2,FALSE)," "))))</f>
        <v/>
      </c>
      <c r="D179" s="114" t="str">
        <f>IF(ISNA(VLOOKUP($F179,Declarations!$B$6:$F$185,5,FALSE)),"",IF(VLOOKUP($F179,Declarations!$B$6:$F$185,5,FALSE)="","NOT DECLARED",VLOOKUP($F179,Declarations!$B$6:$F$185,5,FALSE)))</f>
        <v/>
      </c>
      <c r="E179" s="112" t="str">
        <f>IF(ISNA(VLOOKUP($F179,Declarations!$B$6:$D$185,3,FALSE)),"",IF(VLOOKUP($F179,Declarations!$B$6:$D$185,3,FALSE)="","NOT DECLARED",VLOOKUP($F179,Declarations!$B$6:$D$185,3,FALSE)&amp;LEFT(VLOOKUP($F179,Declarations!$B$6:$E$185,4,FALSE))))</f>
        <v/>
      </c>
      <c r="F179" s="58"/>
      <c r="G179" s="121"/>
      <c r="H179" s="121"/>
      <c r="I179" s="114" t="str">
        <f>IF(ISNA(VLOOKUP(F179,Declarations!B$6:C$185,2,FALSE)),"",IF(VLOOKUP(F179,Declarations!B$6:C$185,2,FALSE)="","NOT DECLARED",VLOOKUP(F179,Declarations!B$6:C$185,2,FALSE)))</f>
        <v/>
      </c>
      <c r="J179" s="112">
        <f>IF(LOWER(LEFT(G179,1))="n",1,VLOOKUP(G179,ScoringTable!D$2:I$95,6))</f>
        <v>0</v>
      </c>
      <c r="K179" s="112" t="str">
        <f>IF(OR(E179="",G179=""),"",IF(RIGHT(E179,1)="G",_xlfn.XLOOKUP(G179,Data!$D$14:$L$14,Data!$D$9:$L$9,"",-1,1),_xlfn.XLOOKUP(G179,Data!$D$7:$L$7,Data!$D$2:$L$2,"",-1,1)))</f>
        <v/>
      </c>
      <c r="L179" s="160" t="str" cm="1">
        <f t="array" ref="L179">IFERROR(_xlfn.IFNA(
                      _xlfn.IFS(
                      G179="", "",
                      AND(E179="U12B",G179&gt;=Data!$M$7), "U12 Boys record",
                      AND(E179="U12G",G179&gt;=Data!$M$14), "U12 Girls record"
                       ),""), "")</f>
        <v/>
      </c>
      <c r="M179" s="18" cm="1">
        <f t="array" ref="M179">_xlfn.IFS($G179="",0, AND(NOT(ISNUMBER($G179)),LOWER(LEFT($G179,1))&lt;&gt;"n"),"Not a valid distance",OR(LOWER(LEFT($G179,1))="n",$G179&lt;ScoringTable!$O$161),1,RIGHT($E179,1)="B",_xlfn.XLOOKUP($G179,ScoringTable!$O$2:$O$161,ScoringTable!$L$2:$L$161,,-1),TRUE,_xlfn.XLOOKUP($G179,ScoringTable!$U$2:$U$161,ScoringTable!$R$2:$R$161,,-1))</f>
        <v>0</v>
      </c>
    </row>
    <row r="180" spans="1:13" s="7" customFormat="1" ht="16.05" customHeight="1">
      <c r="A180" s="113" t="s">
        <v>99</v>
      </c>
      <c r="B180" s="114" t="str">
        <f>IF(ISNA(VLOOKUP($F180,Declarations!B$6:C$185,2,FALSE)),"",IF(VLOOKUP($F180,Declarations!B$6:C$185,2,FALSE)="","NOT DECLARED",IF(ISNA(_xlfn.TEXTBEFORE(VLOOKUP($F180,Declarations!B$6:C$185,2,FALSE)," ")),VLOOKUP($F180,Declarations!B$6:C$185,2,FALSE),_xlfn.TEXTBEFORE(VLOOKUP($F180,Declarations!B$6:C$185,2,FALSE)," "))))</f>
        <v/>
      </c>
      <c r="C180" s="114" t="str">
        <f>IF(ISNA(VLOOKUP($F180,Declarations!B$6:C$185,2,FALSE)),"",IF(VLOOKUP($F180,Declarations!B$6:C$185,2,FALSE)="","NOT DECLARED",IF(ISNA(_xlfn.TEXTAFTER(VLOOKUP($F180,Declarations!B$6:C$185,2,FALSE)," ")),VLOOKUP($F180,Declarations!B$6:C$185,2,FALSE),_xlfn.TEXTAFTER(VLOOKUP($F180,Declarations!B$6:C$185,2,FALSE)," "))))</f>
        <v/>
      </c>
      <c r="D180" s="114" t="str">
        <f>IF(ISNA(VLOOKUP($F180,Declarations!$B$6:$F$185,5,FALSE)),"",IF(VLOOKUP($F180,Declarations!$B$6:$F$185,5,FALSE)="","NOT DECLARED",VLOOKUP($F180,Declarations!$B$6:$F$185,5,FALSE)))</f>
        <v/>
      </c>
      <c r="E180" s="112" t="str">
        <f>IF(ISNA(VLOOKUP($F180,Declarations!$B$6:$D$185,3,FALSE)),"",IF(VLOOKUP($F180,Declarations!$B$6:$D$185,3,FALSE)="","NOT DECLARED",VLOOKUP($F180,Declarations!$B$6:$D$185,3,FALSE)&amp;LEFT(VLOOKUP($F180,Declarations!$B$6:$E$185,4,FALSE))))</f>
        <v/>
      </c>
      <c r="F180" s="58"/>
      <c r="G180" s="121"/>
      <c r="H180" s="121"/>
      <c r="I180" s="114" t="str">
        <f>IF(ISNA(VLOOKUP(F180,Declarations!B$6:C$185,2,FALSE)),"",IF(VLOOKUP(F180,Declarations!B$6:C$185,2,FALSE)="","NOT DECLARED",VLOOKUP(F180,Declarations!B$6:C$185,2,FALSE)))</f>
        <v/>
      </c>
      <c r="J180" s="112">
        <f>IF(LOWER(LEFT(G180,1))="n",1,VLOOKUP(G180,ScoringTable!D$2:I$95,6))</f>
        <v>0</v>
      </c>
      <c r="K180" s="112" t="str">
        <f>IF(OR(E180="",G180=""),"",IF(RIGHT(E180,1)="G",_xlfn.XLOOKUP(G180,Data!$D$14:$L$14,Data!$D$9:$L$9,"",-1,1),_xlfn.XLOOKUP(G180,Data!$D$7:$L$7,Data!$D$2:$L$2,"",-1,1)))</f>
        <v/>
      </c>
      <c r="L180" s="160" t="str" cm="1">
        <f t="array" ref="L180">IFERROR(_xlfn.IFNA(
                      _xlfn.IFS(
                      G180="", "",
                      AND(E180="U12B",G180&gt;=Data!$M$7), "U12 Boys record",
                      AND(E180="U12G",G180&gt;=Data!$M$14), "U12 Girls record"
                       ),""), "")</f>
        <v/>
      </c>
      <c r="M180" s="18" cm="1">
        <f t="array" ref="M180">_xlfn.IFS($G180="",0, AND(NOT(ISNUMBER($G180)),LOWER(LEFT($G180,1))&lt;&gt;"n"),"Not a valid distance",OR(LOWER(LEFT($G180,1))="n",$G180&lt;ScoringTable!$O$161),1,RIGHT($E180,1)="B",_xlfn.XLOOKUP($G180,ScoringTable!$O$2:$O$161,ScoringTable!$L$2:$L$161,,-1),TRUE,_xlfn.XLOOKUP($G180,ScoringTable!$U$2:$U$161,ScoringTable!$R$2:$R$161,,-1))</f>
        <v>0</v>
      </c>
    </row>
    <row r="181" spans="1:13" s="7" customFormat="1" ht="16.05" customHeight="1">
      <c r="A181" s="113" t="s">
        <v>99</v>
      </c>
      <c r="B181" s="114" t="str">
        <f>IF(ISNA(VLOOKUP($F181,Declarations!B$6:C$185,2,FALSE)),"",IF(VLOOKUP($F181,Declarations!B$6:C$185,2,FALSE)="","NOT DECLARED",IF(ISNA(_xlfn.TEXTBEFORE(VLOOKUP($F181,Declarations!B$6:C$185,2,FALSE)," ")),VLOOKUP($F181,Declarations!B$6:C$185,2,FALSE),_xlfn.TEXTBEFORE(VLOOKUP($F181,Declarations!B$6:C$185,2,FALSE)," "))))</f>
        <v/>
      </c>
      <c r="C181" s="114" t="str">
        <f>IF(ISNA(VLOOKUP($F181,Declarations!B$6:C$185,2,FALSE)),"",IF(VLOOKUP($F181,Declarations!B$6:C$185,2,FALSE)="","NOT DECLARED",IF(ISNA(_xlfn.TEXTAFTER(VLOOKUP($F181,Declarations!B$6:C$185,2,FALSE)," ")),VLOOKUP($F181,Declarations!B$6:C$185,2,FALSE),_xlfn.TEXTAFTER(VLOOKUP($F181,Declarations!B$6:C$185,2,FALSE)," "))))</f>
        <v/>
      </c>
      <c r="D181" s="114" t="str">
        <f>IF(ISNA(VLOOKUP($F181,Declarations!$B$6:$F$185,5,FALSE)),"",IF(VLOOKUP($F181,Declarations!$B$6:$F$185,5,FALSE)="","NOT DECLARED",VLOOKUP($F181,Declarations!$B$6:$F$185,5,FALSE)))</f>
        <v/>
      </c>
      <c r="E181" s="112" t="str">
        <f>IF(ISNA(VLOOKUP($F181,Declarations!$B$6:$D$185,3,FALSE)),"",IF(VLOOKUP($F181,Declarations!$B$6:$D$185,3,FALSE)="","NOT DECLARED",VLOOKUP($F181,Declarations!$B$6:$D$185,3,FALSE)&amp;LEFT(VLOOKUP($F181,Declarations!$B$6:$E$185,4,FALSE))))</f>
        <v/>
      </c>
      <c r="F181" s="58"/>
      <c r="G181" s="121"/>
      <c r="H181" s="121"/>
      <c r="I181" s="114" t="str">
        <f>IF(ISNA(VLOOKUP(F181,Declarations!B$6:C$185,2,FALSE)),"",IF(VLOOKUP(F181,Declarations!B$6:C$185,2,FALSE)="","NOT DECLARED",VLOOKUP(F181,Declarations!B$6:C$185,2,FALSE)))</f>
        <v/>
      </c>
      <c r="J181" s="112">
        <f>IF(LOWER(LEFT(G181,1))="n",1,VLOOKUP(G181,ScoringTable!D$2:I$95,6))</f>
        <v>0</v>
      </c>
      <c r="K181" s="112" t="str">
        <f>IF(OR(E181="",G181=""),"",IF(RIGHT(E181,1)="G",_xlfn.XLOOKUP(G181,Data!$D$14:$L$14,Data!$D$9:$L$9,"",-1,1),_xlfn.XLOOKUP(G181,Data!$D$7:$L$7,Data!$D$2:$L$2,"",-1,1)))</f>
        <v/>
      </c>
      <c r="L181" s="160" t="str" cm="1">
        <f t="array" ref="L181">IFERROR(_xlfn.IFNA(
                      _xlfn.IFS(
                      G181="", "",
                      AND(E181="U12B",G181&gt;=Data!$M$7), "U12 Boys record",
                      AND(E181="U12G",G181&gt;=Data!$M$14), "U12 Girls record"
                       ),""), "")</f>
        <v/>
      </c>
      <c r="M181" s="18" cm="1">
        <f t="array" ref="M181">_xlfn.IFS($G181="",0, AND(NOT(ISNUMBER($G181)),LOWER(LEFT($G181,1))&lt;&gt;"n"),"Not a valid distance",OR(LOWER(LEFT($G181,1))="n",$G181&lt;ScoringTable!$O$161),1,RIGHT($E181,1)="B",_xlfn.XLOOKUP($G181,ScoringTable!$O$2:$O$161,ScoringTable!$L$2:$L$161,,-1),TRUE,_xlfn.XLOOKUP($G181,ScoringTable!$U$2:$U$161,ScoringTable!$R$2:$R$161,,-1))</f>
        <v>0</v>
      </c>
    </row>
    <row r="182" spans="1:13" s="7" customFormat="1" ht="16.05" customHeight="1">
      <c r="A182" s="113" t="s">
        <v>99</v>
      </c>
      <c r="B182" s="114" t="str">
        <f>IF(ISNA(VLOOKUP($F182,Declarations!B$6:C$185,2,FALSE)),"",IF(VLOOKUP($F182,Declarations!B$6:C$185,2,FALSE)="","NOT DECLARED",IF(ISNA(_xlfn.TEXTBEFORE(VLOOKUP($F182,Declarations!B$6:C$185,2,FALSE)," ")),VLOOKUP($F182,Declarations!B$6:C$185,2,FALSE),_xlfn.TEXTBEFORE(VLOOKUP($F182,Declarations!B$6:C$185,2,FALSE)," "))))</f>
        <v/>
      </c>
      <c r="C182" s="114" t="str">
        <f>IF(ISNA(VLOOKUP($F182,Declarations!B$6:C$185,2,FALSE)),"",IF(VLOOKUP($F182,Declarations!B$6:C$185,2,FALSE)="","NOT DECLARED",IF(ISNA(_xlfn.TEXTAFTER(VLOOKUP($F182,Declarations!B$6:C$185,2,FALSE)," ")),VLOOKUP($F182,Declarations!B$6:C$185,2,FALSE),_xlfn.TEXTAFTER(VLOOKUP($F182,Declarations!B$6:C$185,2,FALSE)," "))))</f>
        <v/>
      </c>
      <c r="D182" s="114" t="str">
        <f>IF(ISNA(VLOOKUP($F182,Declarations!$B$6:$F$185,5,FALSE)),"",IF(VLOOKUP($F182,Declarations!$B$6:$F$185,5,FALSE)="","NOT DECLARED",VLOOKUP($F182,Declarations!$B$6:$F$185,5,FALSE)))</f>
        <v/>
      </c>
      <c r="E182" s="112" t="str">
        <f>IF(ISNA(VLOOKUP($F182,Declarations!$B$6:$D$185,3,FALSE)),"",IF(VLOOKUP($F182,Declarations!$B$6:$D$185,3,FALSE)="","NOT DECLARED",VLOOKUP($F182,Declarations!$B$6:$D$185,3,FALSE)&amp;LEFT(VLOOKUP($F182,Declarations!$B$6:$E$185,4,FALSE))))</f>
        <v/>
      </c>
      <c r="F182" s="58"/>
      <c r="G182" s="121"/>
      <c r="H182" s="121"/>
      <c r="I182" s="114" t="str">
        <f>IF(ISNA(VLOOKUP(F182,Declarations!B$6:C$185,2,FALSE)),"",IF(VLOOKUP(F182,Declarations!B$6:C$185,2,FALSE)="","NOT DECLARED",VLOOKUP(F182,Declarations!B$6:C$185,2,FALSE)))</f>
        <v/>
      </c>
      <c r="J182" s="112">
        <f>IF(LOWER(LEFT(G182,1))="n",1,VLOOKUP(G182,ScoringTable!D$2:I$95,6))</f>
        <v>0</v>
      </c>
      <c r="K182" s="112" t="str">
        <f>IF(OR(E182="",G182=""),"",IF(RIGHT(E182,1)="G",_xlfn.XLOOKUP(G182,Data!$D$14:$L$14,Data!$D$9:$L$9,"",-1,1),_xlfn.XLOOKUP(G182,Data!$D$7:$L$7,Data!$D$2:$L$2,"",-1,1)))</f>
        <v/>
      </c>
      <c r="L182" s="160" t="str" cm="1">
        <f t="array" ref="L182">IFERROR(_xlfn.IFNA(
                      _xlfn.IFS(
                      G182="", "",
                      AND(E182="U12B",G182&gt;=Data!$M$7), "U12 Boys record",
                      AND(E182="U12G",G182&gt;=Data!$M$14), "U12 Girls record"
                       ),""), "")</f>
        <v/>
      </c>
      <c r="M182" s="18" cm="1">
        <f t="array" ref="M182">_xlfn.IFS($G182="",0, AND(NOT(ISNUMBER($G182)),LOWER(LEFT($G182,1))&lt;&gt;"n"),"Not a valid distance",OR(LOWER(LEFT($G182,1))="n",$G182&lt;ScoringTable!$O$161),1,RIGHT($E182,1)="B",_xlfn.XLOOKUP($G182,ScoringTable!$O$2:$O$161,ScoringTable!$L$2:$L$161,,-1),TRUE,_xlfn.XLOOKUP($G182,ScoringTable!$U$2:$U$161,ScoringTable!$R$2:$R$161,,-1))</f>
        <v>0</v>
      </c>
    </row>
    <row r="183" spans="1:13" s="7" customFormat="1" ht="16.05" customHeight="1">
      <c r="A183" s="113" t="s">
        <v>99</v>
      </c>
      <c r="B183" s="114" t="str">
        <f>IF(ISNA(VLOOKUP($F183,Declarations!B$6:C$185,2,FALSE)),"",IF(VLOOKUP($F183,Declarations!B$6:C$185,2,FALSE)="","NOT DECLARED",IF(ISNA(_xlfn.TEXTBEFORE(VLOOKUP($F183,Declarations!B$6:C$185,2,FALSE)," ")),VLOOKUP($F183,Declarations!B$6:C$185,2,FALSE),_xlfn.TEXTBEFORE(VLOOKUP($F183,Declarations!B$6:C$185,2,FALSE)," "))))</f>
        <v/>
      </c>
      <c r="C183" s="114" t="str">
        <f>IF(ISNA(VLOOKUP($F183,Declarations!B$6:C$185,2,FALSE)),"",IF(VLOOKUP($F183,Declarations!B$6:C$185,2,FALSE)="","NOT DECLARED",IF(ISNA(_xlfn.TEXTAFTER(VLOOKUP($F183,Declarations!B$6:C$185,2,FALSE)," ")),VLOOKUP($F183,Declarations!B$6:C$185,2,FALSE),_xlfn.TEXTAFTER(VLOOKUP($F183,Declarations!B$6:C$185,2,FALSE)," "))))</f>
        <v/>
      </c>
      <c r="D183" s="114" t="str">
        <f>IF(ISNA(VLOOKUP($F183,Declarations!$B$6:$F$185,5,FALSE)),"",IF(VLOOKUP($F183,Declarations!$B$6:$F$185,5,FALSE)="","NOT DECLARED",VLOOKUP($F183,Declarations!$B$6:$F$185,5,FALSE)))</f>
        <v/>
      </c>
      <c r="E183" s="112" t="str">
        <f>IF(ISNA(VLOOKUP($F183,Declarations!$B$6:$D$185,3,FALSE)),"",IF(VLOOKUP($F183,Declarations!$B$6:$D$185,3,FALSE)="","NOT DECLARED",VLOOKUP($F183,Declarations!$B$6:$D$185,3,FALSE)&amp;LEFT(VLOOKUP($F183,Declarations!$B$6:$E$185,4,FALSE))))</f>
        <v/>
      </c>
      <c r="F183" s="58"/>
      <c r="G183" s="121"/>
      <c r="H183" s="121"/>
      <c r="I183" s="114" t="str">
        <f>IF(ISNA(VLOOKUP(F183,Declarations!B$6:C$185,2,FALSE)),"",IF(VLOOKUP(F183,Declarations!B$6:C$185,2,FALSE)="","NOT DECLARED",VLOOKUP(F183,Declarations!B$6:C$185,2,FALSE)))</f>
        <v/>
      </c>
      <c r="J183" s="112">
        <f>IF(LOWER(LEFT(G183,1))="n",1,VLOOKUP(G183,ScoringTable!D$2:I$95,6))</f>
        <v>0</v>
      </c>
      <c r="K183" s="112" t="str">
        <f>IF(OR(E183="",G183=""),"",IF(RIGHT(E183,1)="G",_xlfn.XLOOKUP(G183,Data!$D$14:$L$14,Data!$D$9:$L$9,"",-1,1),_xlfn.XLOOKUP(G183,Data!$D$7:$L$7,Data!$D$2:$L$2,"",-1,1)))</f>
        <v/>
      </c>
      <c r="L183" s="160" t="str" cm="1">
        <f t="array" ref="L183">IFERROR(_xlfn.IFNA(
                      _xlfn.IFS(
                      G183="", "",
                      AND(E183="U12B",G183&gt;=Data!$M$7), "U12 Boys record",
                      AND(E183="U12G",G183&gt;=Data!$M$14), "U12 Girls record"
                       ),""), "")</f>
        <v/>
      </c>
      <c r="M183" s="18" cm="1">
        <f t="array" ref="M183">_xlfn.IFS($G183="",0, AND(NOT(ISNUMBER($G183)),LOWER(LEFT($G183,1))&lt;&gt;"n"),"Not a valid distance",OR(LOWER(LEFT($G183,1))="n",$G183&lt;ScoringTable!$O$161),1,RIGHT($E183,1)="B",_xlfn.XLOOKUP($G183,ScoringTable!$O$2:$O$161,ScoringTable!$L$2:$L$161,,-1),TRUE,_xlfn.XLOOKUP($G183,ScoringTable!$U$2:$U$161,ScoringTable!$R$2:$R$161,,-1))</f>
        <v>0</v>
      </c>
    </row>
    <row r="184" spans="1:13" s="7" customFormat="1" ht="16.05" customHeight="1">
      <c r="A184" s="113" t="s">
        <v>99</v>
      </c>
      <c r="B184" s="114" t="str">
        <f>IF(ISNA(VLOOKUP($F184,Declarations!B$6:C$185,2,FALSE)),"",IF(VLOOKUP($F184,Declarations!B$6:C$185,2,FALSE)="","NOT DECLARED",IF(ISNA(_xlfn.TEXTBEFORE(VLOOKUP($F184,Declarations!B$6:C$185,2,FALSE)," ")),VLOOKUP($F184,Declarations!B$6:C$185,2,FALSE),_xlfn.TEXTBEFORE(VLOOKUP($F184,Declarations!B$6:C$185,2,FALSE)," "))))</f>
        <v/>
      </c>
      <c r="C184" s="114" t="str">
        <f>IF(ISNA(VLOOKUP($F184,Declarations!B$6:C$185,2,FALSE)),"",IF(VLOOKUP($F184,Declarations!B$6:C$185,2,FALSE)="","NOT DECLARED",IF(ISNA(_xlfn.TEXTAFTER(VLOOKUP($F184,Declarations!B$6:C$185,2,FALSE)," ")),VLOOKUP($F184,Declarations!B$6:C$185,2,FALSE),_xlfn.TEXTAFTER(VLOOKUP($F184,Declarations!B$6:C$185,2,FALSE)," "))))</f>
        <v/>
      </c>
      <c r="D184" s="114" t="str">
        <f>IF(ISNA(VLOOKUP($F184,Declarations!$B$6:$F$185,5,FALSE)),"",IF(VLOOKUP($F184,Declarations!$B$6:$F$185,5,FALSE)="","NOT DECLARED",VLOOKUP($F184,Declarations!$B$6:$F$185,5,FALSE)))</f>
        <v/>
      </c>
      <c r="E184" s="112" t="str">
        <f>IF(ISNA(VLOOKUP($F184,Declarations!$B$6:$D$185,3,FALSE)),"",IF(VLOOKUP($F184,Declarations!$B$6:$D$185,3,FALSE)="","NOT DECLARED",VLOOKUP($F184,Declarations!$B$6:$D$185,3,FALSE)&amp;LEFT(VLOOKUP($F184,Declarations!$B$6:$E$185,4,FALSE))))</f>
        <v/>
      </c>
      <c r="F184" s="58"/>
      <c r="G184" s="121"/>
      <c r="H184" s="121"/>
      <c r="I184" s="114" t="str">
        <f>IF(ISNA(VLOOKUP(F184,Declarations!B$6:C$185,2,FALSE)),"",IF(VLOOKUP(F184,Declarations!B$6:C$185,2,FALSE)="","NOT DECLARED",VLOOKUP(F184,Declarations!B$6:C$185,2,FALSE)))</f>
        <v/>
      </c>
      <c r="J184" s="112">
        <f>IF(LOWER(LEFT(G184,1))="n",1,VLOOKUP(G184,ScoringTable!D$2:I$95,6))</f>
        <v>0</v>
      </c>
      <c r="K184" s="112" t="str">
        <f>IF(OR(E184="",G184=""),"",IF(RIGHT(E184,1)="G",_xlfn.XLOOKUP(G184,Data!$D$14:$L$14,Data!$D$9:$L$9,"",-1,1),_xlfn.XLOOKUP(G184,Data!$D$7:$L$7,Data!$D$2:$L$2,"",-1,1)))</f>
        <v/>
      </c>
      <c r="L184" s="160" t="str" cm="1">
        <f t="array" ref="L184">IFERROR(_xlfn.IFNA(
                      _xlfn.IFS(
                      G184="", "",
                      AND(E184="U12B",G184&gt;=Data!$M$7), "U12 Boys record",
                      AND(E184="U12G",G184&gt;=Data!$M$14), "U12 Girls record"
                       ),""), "")</f>
        <v/>
      </c>
      <c r="M184" s="18" cm="1">
        <f t="array" ref="M184">_xlfn.IFS($G184="",0, AND(NOT(ISNUMBER($G184)),LOWER(LEFT($G184,1))&lt;&gt;"n"),"Not a valid distance",OR(LOWER(LEFT($G184,1))="n",$G184&lt;ScoringTable!$O$161),1,RIGHT($E184,1)="B",_xlfn.XLOOKUP($G184,ScoringTable!$O$2:$O$161,ScoringTable!$L$2:$L$161,,-1),TRUE,_xlfn.XLOOKUP($G184,ScoringTable!$U$2:$U$161,ScoringTable!$R$2:$R$161,,-1))</f>
        <v>0</v>
      </c>
    </row>
    <row r="185" spans="1:13" s="7" customFormat="1" ht="16.05" customHeight="1">
      <c r="A185" s="113" t="s">
        <v>99</v>
      </c>
      <c r="B185" s="114" t="str">
        <f>IF(ISNA(VLOOKUP($F185,Declarations!B$6:C$185,2,FALSE)),"",IF(VLOOKUP($F185,Declarations!B$6:C$185,2,FALSE)="","NOT DECLARED",IF(ISNA(_xlfn.TEXTBEFORE(VLOOKUP($F185,Declarations!B$6:C$185,2,FALSE)," ")),VLOOKUP($F185,Declarations!B$6:C$185,2,FALSE),_xlfn.TEXTBEFORE(VLOOKUP($F185,Declarations!B$6:C$185,2,FALSE)," "))))</f>
        <v/>
      </c>
      <c r="C185" s="114" t="str">
        <f>IF(ISNA(VLOOKUP($F185,Declarations!B$6:C$185,2,FALSE)),"",IF(VLOOKUP($F185,Declarations!B$6:C$185,2,FALSE)="","NOT DECLARED",IF(ISNA(_xlfn.TEXTAFTER(VLOOKUP($F185,Declarations!B$6:C$185,2,FALSE)," ")),VLOOKUP($F185,Declarations!B$6:C$185,2,FALSE),_xlfn.TEXTAFTER(VLOOKUP($F185,Declarations!B$6:C$185,2,FALSE)," "))))</f>
        <v/>
      </c>
      <c r="D185" s="114" t="str">
        <f>IF(ISNA(VLOOKUP($F185,Declarations!$B$6:$F$185,5,FALSE)),"",IF(VLOOKUP($F185,Declarations!$B$6:$F$185,5,FALSE)="","NOT DECLARED",VLOOKUP($F185,Declarations!$B$6:$F$185,5,FALSE)))</f>
        <v/>
      </c>
      <c r="E185" s="112" t="str">
        <f>IF(ISNA(VLOOKUP($F185,Declarations!$B$6:$D$185,3,FALSE)),"",IF(VLOOKUP($F185,Declarations!$B$6:$D$185,3,FALSE)="","NOT DECLARED",VLOOKUP($F185,Declarations!$B$6:$D$185,3,FALSE)&amp;LEFT(VLOOKUP($F185,Declarations!$B$6:$E$185,4,FALSE))))</f>
        <v/>
      </c>
      <c r="F185" s="58"/>
      <c r="G185" s="121"/>
      <c r="H185" s="121"/>
      <c r="I185" s="114" t="str">
        <f>IF(ISNA(VLOOKUP(F185,Declarations!B$6:C$185,2,FALSE)),"",IF(VLOOKUP(F185,Declarations!B$6:C$185,2,FALSE)="","NOT DECLARED",VLOOKUP(F185,Declarations!B$6:C$185,2,FALSE)))</f>
        <v/>
      </c>
      <c r="J185" s="112">
        <f>IF(LOWER(LEFT(G185,1))="n",1,VLOOKUP(G185,ScoringTable!D$2:I$95,6))</f>
        <v>0</v>
      </c>
      <c r="K185" s="112" t="str">
        <f>IF(OR(E185="",G185=""),"",IF(RIGHT(E185,1)="G",_xlfn.XLOOKUP(G185,Data!$D$14:$L$14,Data!$D$9:$L$9,"",-1,1),_xlfn.XLOOKUP(G185,Data!$D$7:$L$7,Data!$D$2:$L$2,"",-1,1)))</f>
        <v/>
      </c>
      <c r="L185" s="160" t="str" cm="1">
        <f t="array" ref="L185">IFERROR(_xlfn.IFNA(
                      _xlfn.IFS(
                      G185="", "",
                      AND(E185="U12B",G185&gt;=Data!$M$7), "U12 Boys record",
                      AND(E185="U12G",G185&gt;=Data!$M$14), "U12 Girls record"
                       ),""), "")</f>
        <v/>
      </c>
      <c r="M185" s="18" cm="1">
        <f t="array" ref="M185">_xlfn.IFS($G185="",0, AND(NOT(ISNUMBER($G185)),LOWER(LEFT($G185,1))&lt;&gt;"n"),"Not a valid distance",OR(LOWER(LEFT($G185,1))="n",$G185&lt;ScoringTable!$O$161),1,RIGHT($E185,1)="B",_xlfn.XLOOKUP($G185,ScoringTable!$O$2:$O$161,ScoringTable!$L$2:$L$161,,-1),TRUE,_xlfn.XLOOKUP($G185,ScoringTable!$U$2:$U$161,ScoringTable!$R$2:$R$161,,-1))</f>
        <v>0</v>
      </c>
    </row>
    <row r="186" spans="1:13" s="7" customFormat="1" ht="16.05" customHeight="1">
      <c r="A186" s="113" t="s">
        <v>99</v>
      </c>
      <c r="B186" s="114" t="str">
        <f>IF(ISNA(VLOOKUP($F186,Declarations!B$6:C$185,2,FALSE)),"",IF(VLOOKUP($F186,Declarations!B$6:C$185,2,FALSE)="","NOT DECLARED",IF(ISNA(_xlfn.TEXTBEFORE(VLOOKUP($F186,Declarations!B$6:C$185,2,FALSE)," ")),VLOOKUP($F186,Declarations!B$6:C$185,2,FALSE),_xlfn.TEXTBEFORE(VLOOKUP($F186,Declarations!B$6:C$185,2,FALSE)," "))))</f>
        <v/>
      </c>
      <c r="C186" s="114" t="str">
        <f>IF(ISNA(VLOOKUP($F186,Declarations!B$6:C$185,2,FALSE)),"",IF(VLOOKUP($F186,Declarations!B$6:C$185,2,FALSE)="","NOT DECLARED",IF(ISNA(_xlfn.TEXTAFTER(VLOOKUP($F186,Declarations!B$6:C$185,2,FALSE)," ")),VLOOKUP($F186,Declarations!B$6:C$185,2,FALSE),_xlfn.TEXTAFTER(VLOOKUP($F186,Declarations!B$6:C$185,2,FALSE)," "))))</f>
        <v/>
      </c>
      <c r="D186" s="114" t="str">
        <f>IF(ISNA(VLOOKUP($F186,Declarations!$B$6:$F$185,5,FALSE)),"",IF(VLOOKUP($F186,Declarations!$B$6:$F$185,5,FALSE)="","NOT DECLARED",VLOOKUP($F186,Declarations!$B$6:$F$185,5,FALSE)))</f>
        <v/>
      </c>
      <c r="E186" s="112" t="str">
        <f>IF(ISNA(VLOOKUP($F186,Declarations!$B$6:$D$185,3,FALSE)),"",IF(VLOOKUP($F186,Declarations!$B$6:$D$185,3,FALSE)="","NOT DECLARED",VLOOKUP($F186,Declarations!$B$6:$D$185,3,FALSE)&amp;LEFT(VLOOKUP($F186,Declarations!$B$6:$E$185,4,FALSE))))</f>
        <v/>
      </c>
      <c r="F186" s="58"/>
      <c r="G186" s="121"/>
      <c r="H186" s="121"/>
      <c r="I186" s="114" t="str">
        <f>IF(ISNA(VLOOKUP(F186,Declarations!B$6:C$185,2,FALSE)),"",IF(VLOOKUP(F186,Declarations!B$6:C$185,2,FALSE)="","NOT DECLARED",VLOOKUP(F186,Declarations!B$6:C$185,2,FALSE)))</f>
        <v/>
      </c>
      <c r="J186" s="112">
        <f>IF(LOWER(LEFT(G186,1))="n",1,VLOOKUP(G186,ScoringTable!D$2:I$95,6))</f>
        <v>0</v>
      </c>
      <c r="K186" s="112" t="str">
        <f>IF(OR(E186="",G186=""),"",IF(RIGHT(E186,1)="G",_xlfn.XLOOKUP(G186,Data!$D$14:$L$14,Data!$D$9:$L$9,"",-1,1),_xlfn.XLOOKUP(G186,Data!$D$7:$L$7,Data!$D$2:$L$2,"",-1,1)))</f>
        <v/>
      </c>
      <c r="L186" s="160" t="str" cm="1">
        <f t="array" ref="L186">IFERROR(_xlfn.IFNA(
                      _xlfn.IFS(
                      G186="", "",
                      AND(E186="U12B",G186&gt;=Data!$M$7), "U12 Boys record",
                      AND(E186="U12G",G186&gt;=Data!$M$14), "U12 Girls record"
                       ),""), "")</f>
        <v/>
      </c>
      <c r="M186" s="18" cm="1">
        <f t="array" ref="M186">_xlfn.IFS($G186="",0, AND(NOT(ISNUMBER($G186)),LOWER(LEFT($G186,1))&lt;&gt;"n"),"Not a valid distance",OR(LOWER(LEFT($G186,1))="n",$G186&lt;ScoringTable!$O$161),1,RIGHT($E186,1)="B",_xlfn.XLOOKUP($G186,ScoringTable!$O$2:$O$161,ScoringTable!$L$2:$L$161,,-1),TRUE,_xlfn.XLOOKUP($G186,ScoringTable!$U$2:$U$161,ScoringTable!$R$2:$R$161,,-1))</f>
        <v>0</v>
      </c>
    </row>
    <row r="187" spans="1:13" s="7" customFormat="1" ht="16.05" customHeight="1">
      <c r="A187" s="113" t="s">
        <v>99</v>
      </c>
      <c r="B187" s="114" t="str">
        <f>IF(ISNA(VLOOKUP($F187,Declarations!B$6:C$185,2,FALSE)),"",IF(VLOOKUP($F187,Declarations!B$6:C$185,2,FALSE)="","NOT DECLARED",IF(ISNA(_xlfn.TEXTBEFORE(VLOOKUP($F187,Declarations!B$6:C$185,2,FALSE)," ")),VLOOKUP($F187,Declarations!B$6:C$185,2,FALSE),_xlfn.TEXTBEFORE(VLOOKUP($F187,Declarations!B$6:C$185,2,FALSE)," "))))</f>
        <v/>
      </c>
      <c r="C187" s="114" t="str">
        <f>IF(ISNA(VLOOKUP($F187,Declarations!B$6:C$185,2,FALSE)),"",IF(VLOOKUP($F187,Declarations!B$6:C$185,2,FALSE)="","NOT DECLARED",IF(ISNA(_xlfn.TEXTAFTER(VLOOKUP($F187,Declarations!B$6:C$185,2,FALSE)," ")),VLOOKUP($F187,Declarations!B$6:C$185,2,FALSE),_xlfn.TEXTAFTER(VLOOKUP($F187,Declarations!B$6:C$185,2,FALSE)," "))))</f>
        <v/>
      </c>
      <c r="D187" s="114" t="str">
        <f>IF(ISNA(VLOOKUP($F187,Declarations!$B$6:$F$185,5,FALSE)),"",IF(VLOOKUP($F187,Declarations!$B$6:$F$185,5,FALSE)="","NOT DECLARED",VLOOKUP($F187,Declarations!$B$6:$F$185,5,FALSE)))</f>
        <v/>
      </c>
      <c r="E187" s="112" t="str">
        <f>IF(ISNA(VLOOKUP($F187,Declarations!$B$6:$D$185,3,FALSE)),"",IF(VLOOKUP($F187,Declarations!$B$6:$D$185,3,FALSE)="","NOT DECLARED",VLOOKUP($F187,Declarations!$B$6:$D$185,3,FALSE)&amp;LEFT(VLOOKUP($F187,Declarations!$B$6:$E$185,4,FALSE))))</f>
        <v/>
      </c>
      <c r="F187" s="58"/>
      <c r="G187" s="121"/>
      <c r="H187" s="121"/>
      <c r="I187" s="114" t="str">
        <f>IF(ISNA(VLOOKUP(F187,Declarations!B$6:C$185,2,FALSE)),"",IF(VLOOKUP(F187,Declarations!B$6:C$185,2,FALSE)="","NOT DECLARED",VLOOKUP(F187,Declarations!B$6:C$185,2,FALSE)))</f>
        <v/>
      </c>
      <c r="J187" s="112">
        <f>IF(LOWER(LEFT(G187,1))="n",1,VLOOKUP(G187,ScoringTable!D$2:I$95,6))</f>
        <v>0</v>
      </c>
      <c r="K187" s="112" t="str">
        <f>IF(OR(E187="",G187=""),"",IF(RIGHT(E187,1)="G",_xlfn.XLOOKUP(G187,Data!$D$14:$L$14,Data!$D$9:$L$9,"",-1,1),_xlfn.XLOOKUP(G187,Data!$D$7:$L$7,Data!$D$2:$L$2,"",-1,1)))</f>
        <v/>
      </c>
      <c r="L187" s="160" t="str" cm="1">
        <f t="array" ref="L187">IFERROR(_xlfn.IFNA(
                      _xlfn.IFS(
                      G187="", "",
                      AND(E187="U12B",G187&gt;=Data!$M$7), "U12 Boys record",
                      AND(E187="U12G",G187&gt;=Data!$M$14), "U12 Girls record"
                       ),""), "")</f>
        <v/>
      </c>
      <c r="M187" s="18" cm="1">
        <f t="array" ref="M187">_xlfn.IFS($G187="",0, AND(NOT(ISNUMBER($G187)),LOWER(LEFT($G187,1))&lt;&gt;"n"),"Not a valid distance",OR(LOWER(LEFT($G187,1))="n",$G187&lt;ScoringTable!$O$161),1,RIGHT($E187,1)="B",_xlfn.XLOOKUP($G187,ScoringTable!$O$2:$O$161,ScoringTable!$L$2:$L$161,,-1),TRUE,_xlfn.XLOOKUP($G187,ScoringTable!$U$2:$U$161,ScoringTable!$R$2:$R$161,,-1))</f>
        <v>0</v>
      </c>
    </row>
    <row r="188" spans="1:13" s="7" customFormat="1" ht="16.05" customHeight="1">
      <c r="A188" s="113" t="s">
        <v>99</v>
      </c>
      <c r="B188" s="114" t="str">
        <f>IF(ISNA(VLOOKUP($F188,Declarations!B$6:C$185,2,FALSE)),"",IF(VLOOKUP($F188,Declarations!B$6:C$185,2,FALSE)="","NOT DECLARED",IF(ISNA(_xlfn.TEXTBEFORE(VLOOKUP($F188,Declarations!B$6:C$185,2,FALSE)," ")),VLOOKUP($F188,Declarations!B$6:C$185,2,FALSE),_xlfn.TEXTBEFORE(VLOOKUP($F188,Declarations!B$6:C$185,2,FALSE)," "))))</f>
        <v/>
      </c>
      <c r="C188" s="114" t="str">
        <f>IF(ISNA(VLOOKUP($F188,Declarations!B$6:C$185,2,FALSE)),"",IF(VLOOKUP($F188,Declarations!B$6:C$185,2,FALSE)="","NOT DECLARED",IF(ISNA(_xlfn.TEXTAFTER(VLOOKUP($F188,Declarations!B$6:C$185,2,FALSE)," ")),VLOOKUP($F188,Declarations!B$6:C$185,2,FALSE),_xlfn.TEXTAFTER(VLOOKUP($F188,Declarations!B$6:C$185,2,FALSE)," "))))</f>
        <v/>
      </c>
      <c r="D188" s="114" t="str">
        <f>IF(ISNA(VLOOKUP($F188,Declarations!$B$6:$F$185,5,FALSE)),"",IF(VLOOKUP($F188,Declarations!$B$6:$F$185,5,FALSE)="","NOT DECLARED",VLOOKUP($F188,Declarations!$B$6:$F$185,5,FALSE)))</f>
        <v/>
      </c>
      <c r="E188" s="112" t="str">
        <f>IF(ISNA(VLOOKUP($F188,Declarations!$B$6:$D$185,3,FALSE)),"",IF(VLOOKUP($F188,Declarations!$B$6:$D$185,3,FALSE)="","NOT DECLARED",VLOOKUP($F188,Declarations!$B$6:$D$185,3,FALSE)&amp;LEFT(VLOOKUP($F188,Declarations!$B$6:$E$185,4,FALSE))))</f>
        <v/>
      </c>
      <c r="F188" s="58"/>
      <c r="G188" s="121"/>
      <c r="H188" s="121"/>
      <c r="I188" s="114" t="str">
        <f>IF(ISNA(VLOOKUP(F188,Declarations!B$6:C$185,2,FALSE)),"",IF(VLOOKUP(F188,Declarations!B$6:C$185,2,FALSE)="","NOT DECLARED",VLOOKUP(F188,Declarations!B$6:C$185,2,FALSE)))</f>
        <v/>
      </c>
      <c r="J188" s="112">
        <f>IF(LOWER(LEFT(G188,1))="n",1,VLOOKUP(G188,ScoringTable!D$2:I$95,6))</f>
        <v>0</v>
      </c>
      <c r="K188" s="112" t="str">
        <f>IF(OR(E188="",G188=""),"",IF(RIGHT(E188,1)="G",_xlfn.XLOOKUP(G188,Data!$D$14:$L$14,Data!$D$9:$L$9,"",-1,1),_xlfn.XLOOKUP(G188,Data!$D$7:$L$7,Data!$D$2:$L$2,"",-1,1)))</f>
        <v/>
      </c>
      <c r="L188" s="160" t="str" cm="1">
        <f t="array" ref="L188">IFERROR(_xlfn.IFNA(
                      _xlfn.IFS(
                      G188="", "",
                      AND(E188="U12B",G188&gt;=Data!$M$7), "U12 Boys record",
                      AND(E188="U12G",G188&gt;=Data!$M$14), "U12 Girls record"
                       ),""), "")</f>
        <v/>
      </c>
      <c r="M188" s="18" cm="1">
        <f t="array" ref="M188">_xlfn.IFS($G188="",0, AND(NOT(ISNUMBER($G188)),LOWER(LEFT($G188,1))&lt;&gt;"n"),"Not a valid distance",OR(LOWER(LEFT($G188,1))="n",$G188&lt;ScoringTable!$O$161),1,RIGHT($E188,1)="B",_xlfn.XLOOKUP($G188,ScoringTable!$O$2:$O$161,ScoringTable!$L$2:$L$161,,-1),TRUE,_xlfn.XLOOKUP($G188,ScoringTable!$U$2:$U$161,ScoringTable!$R$2:$R$161,,-1))</f>
        <v>0</v>
      </c>
    </row>
    <row r="189" spans="1:13" s="7" customFormat="1" ht="16.05" customHeight="1">
      <c r="A189" s="113" t="s">
        <v>99</v>
      </c>
      <c r="B189" s="114" t="str">
        <f>IF(ISNA(VLOOKUP($F189,Declarations!B$6:C$185,2,FALSE)),"",IF(VLOOKUP($F189,Declarations!B$6:C$185,2,FALSE)="","NOT DECLARED",IF(ISNA(_xlfn.TEXTBEFORE(VLOOKUP($F189,Declarations!B$6:C$185,2,FALSE)," ")),VLOOKUP($F189,Declarations!B$6:C$185,2,FALSE),_xlfn.TEXTBEFORE(VLOOKUP($F189,Declarations!B$6:C$185,2,FALSE)," "))))</f>
        <v/>
      </c>
      <c r="C189" s="114" t="str">
        <f>IF(ISNA(VLOOKUP($F189,Declarations!B$6:C$185,2,FALSE)),"",IF(VLOOKUP($F189,Declarations!B$6:C$185,2,FALSE)="","NOT DECLARED",IF(ISNA(_xlfn.TEXTAFTER(VLOOKUP($F189,Declarations!B$6:C$185,2,FALSE)," ")),VLOOKUP($F189,Declarations!B$6:C$185,2,FALSE),_xlfn.TEXTAFTER(VLOOKUP($F189,Declarations!B$6:C$185,2,FALSE)," "))))</f>
        <v/>
      </c>
      <c r="D189" s="114" t="str">
        <f>IF(ISNA(VLOOKUP($F189,Declarations!$B$6:$F$185,5,FALSE)),"",IF(VLOOKUP($F189,Declarations!$B$6:$F$185,5,FALSE)="","NOT DECLARED",VLOOKUP($F189,Declarations!$B$6:$F$185,5,FALSE)))</f>
        <v/>
      </c>
      <c r="E189" s="112" t="str">
        <f>IF(ISNA(VLOOKUP($F189,Declarations!$B$6:$D$185,3,FALSE)),"",IF(VLOOKUP($F189,Declarations!$B$6:$D$185,3,FALSE)="","NOT DECLARED",VLOOKUP($F189,Declarations!$B$6:$D$185,3,FALSE)&amp;LEFT(VLOOKUP($F189,Declarations!$B$6:$E$185,4,FALSE))))</f>
        <v/>
      </c>
      <c r="F189" s="58"/>
      <c r="G189" s="121"/>
      <c r="H189" s="121"/>
      <c r="I189" s="114" t="str">
        <f>IF(ISNA(VLOOKUP(F189,Declarations!B$6:C$185,2,FALSE)),"",IF(VLOOKUP(F189,Declarations!B$6:C$185,2,FALSE)="","NOT DECLARED",VLOOKUP(F189,Declarations!B$6:C$185,2,FALSE)))</f>
        <v/>
      </c>
      <c r="J189" s="112">
        <f>IF(LOWER(LEFT(G189,1))="n",1,VLOOKUP(G189,ScoringTable!D$2:I$95,6))</f>
        <v>0</v>
      </c>
      <c r="K189" s="112" t="str">
        <f>IF(OR(E189="",G189=""),"",IF(RIGHT(E189,1)="G",_xlfn.XLOOKUP(G189,Data!$D$14:$L$14,Data!$D$9:$L$9,"",-1,1),_xlfn.XLOOKUP(G189,Data!$D$7:$L$7,Data!$D$2:$L$2,"",-1,1)))</f>
        <v/>
      </c>
      <c r="L189" s="160" t="str" cm="1">
        <f t="array" ref="L189">IFERROR(_xlfn.IFNA(
                      _xlfn.IFS(
                      G189="", "",
                      AND(E189="U12B",G189&gt;=Data!$M$7), "U12 Boys record",
                      AND(E189="U12G",G189&gt;=Data!$M$14), "U12 Girls record"
                       ),""), "")</f>
        <v/>
      </c>
      <c r="M189" s="18" cm="1">
        <f t="array" ref="M189">_xlfn.IFS($G189="",0, AND(NOT(ISNUMBER($G189)),LOWER(LEFT($G189,1))&lt;&gt;"n"),"Not a valid distance",OR(LOWER(LEFT($G189,1))="n",$G189&lt;ScoringTable!$O$161),1,RIGHT($E189,1)="B",_xlfn.XLOOKUP($G189,ScoringTable!$O$2:$O$161,ScoringTable!$L$2:$L$161,,-1),TRUE,_xlfn.XLOOKUP($G189,ScoringTable!$U$2:$U$161,ScoringTable!$R$2:$R$161,,-1))</f>
        <v>0</v>
      </c>
    </row>
    <row r="190" spans="1:13" s="7" customFormat="1" ht="16.05" customHeight="1">
      <c r="A190" s="113" t="s">
        <v>99</v>
      </c>
      <c r="B190" s="114" t="str">
        <f>IF(ISNA(VLOOKUP($F190,Declarations!B$6:C$185,2,FALSE)),"",IF(VLOOKUP($F190,Declarations!B$6:C$185,2,FALSE)="","NOT DECLARED",IF(ISNA(_xlfn.TEXTBEFORE(VLOOKUP($F190,Declarations!B$6:C$185,2,FALSE)," ")),VLOOKUP($F190,Declarations!B$6:C$185,2,FALSE),_xlfn.TEXTBEFORE(VLOOKUP($F190,Declarations!B$6:C$185,2,FALSE)," "))))</f>
        <v/>
      </c>
      <c r="C190" s="114" t="str">
        <f>IF(ISNA(VLOOKUP($F190,Declarations!B$6:C$185,2,FALSE)),"",IF(VLOOKUP($F190,Declarations!B$6:C$185,2,FALSE)="","NOT DECLARED",IF(ISNA(_xlfn.TEXTAFTER(VLOOKUP($F190,Declarations!B$6:C$185,2,FALSE)," ")),VLOOKUP($F190,Declarations!B$6:C$185,2,FALSE),_xlfn.TEXTAFTER(VLOOKUP($F190,Declarations!B$6:C$185,2,FALSE)," "))))</f>
        <v/>
      </c>
      <c r="D190" s="114" t="str">
        <f>IF(ISNA(VLOOKUP($F190,Declarations!$B$6:$F$185,5,FALSE)),"",IF(VLOOKUP($F190,Declarations!$B$6:$F$185,5,FALSE)="","NOT DECLARED",VLOOKUP($F190,Declarations!$B$6:$F$185,5,FALSE)))</f>
        <v/>
      </c>
      <c r="E190" s="112" t="str">
        <f>IF(ISNA(VLOOKUP($F190,Declarations!$B$6:$D$185,3,FALSE)),"",IF(VLOOKUP($F190,Declarations!$B$6:$D$185,3,FALSE)="","NOT DECLARED",VLOOKUP($F190,Declarations!$B$6:$D$185,3,FALSE)&amp;LEFT(VLOOKUP($F190,Declarations!$B$6:$E$185,4,FALSE))))</f>
        <v/>
      </c>
      <c r="F190" s="58"/>
      <c r="G190" s="121"/>
      <c r="H190" s="121"/>
      <c r="I190" s="114" t="str">
        <f>IF(ISNA(VLOOKUP(F190,Declarations!B$6:C$185,2,FALSE)),"",IF(VLOOKUP(F190,Declarations!B$6:C$185,2,FALSE)="","NOT DECLARED",VLOOKUP(F190,Declarations!B$6:C$185,2,FALSE)))</f>
        <v/>
      </c>
      <c r="J190" s="112">
        <f>IF(LOWER(LEFT(G190,1))="n",1,VLOOKUP(G190,ScoringTable!D$2:I$95,6))</f>
        <v>0</v>
      </c>
      <c r="K190" s="112" t="str">
        <f>IF(OR(E190="",G190=""),"",IF(RIGHT(E190,1)="G",_xlfn.XLOOKUP(G190,Data!$D$14:$L$14,Data!$D$9:$L$9,"",-1,1),_xlfn.XLOOKUP(G190,Data!$D$7:$L$7,Data!$D$2:$L$2,"",-1,1)))</f>
        <v/>
      </c>
      <c r="L190" s="160" t="str" cm="1">
        <f t="array" ref="L190">IFERROR(_xlfn.IFNA(
                      _xlfn.IFS(
                      G190="", "",
                      AND(E190="U12B",G190&gt;=Data!$M$7), "U12 Boys record",
                      AND(E190="U12G",G190&gt;=Data!$M$14), "U12 Girls record"
                       ),""), "")</f>
        <v/>
      </c>
      <c r="M190" s="18" cm="1">
        <f t="array" ref="M190">_xlfn.IFS($G190="",0, AND(NOT(ISNUMBER($G190)),LOWER(LEFT($G190,1))&lt;&gt;"n"),"Not a valid distance",OR(LOWER(LEFT($G190,1))="n",$G190&lt;ScoringTable!$O$161),1,RIGHT($E190,1)="B",_xlfn.XLOOKUP($G190,ScoringTable!$O$2:$O$161,ScoringTable!$L$2:$L$161,,-1),TRUE,_xlfn.XLOOKUP($G190,ScoringTable!$U$2:$U$161,ScoringTable!$R$2:$R$161,,-1))</f>
        <v>0</v>
      </c>
    </row>
    <row r="191" spans="1:13" s="7" customFormat="1" ht="16.05" customHeight="1">
      <c r="A191" s="113" t="s">
        <v>99</v>
      </c>
      <c r="B191" s="114" t="str">
        <f>IF(ISNA(VLOOKUP($F191,Declarations!B$6:C$185,2,FALSE)),"",IF(VLOOKUP($F191,Declarations!B$6:C$185,2,FALSE)="","NOT DECLARED",IF(ISNA(_xlfn.TEXTBEFORE(VLOOKUP($F191,Declarations!B$6:C$185,2,FALSE)," ")),VLOOKUP($F191,Declarations!B$6:C$185,2,FALSE),_xlfn.TEXTBEFORE(VLOOKUP($F191,Declarations!B$6:C$185,2,FALSE)," "))))</f>
        <v/>
      </c>
      <c r="C191" s="114" t="str">
        <f>IF(ISNA(VLOOKUP($F191,Declarations!B$6:C$185,2,FALSE)),"",IF(VLOOKUP($F191,Declarations!B$6:C$185,2,FALSE)="","NOT DECLARED",IF(ISNA(_xlfn.TEXTAFTER(VLOOKUP($F191,Declarations!B$6:C$185,2,FALSE)," ")),VLOOKUP($F191,Declarations!B$6:C$185,2,FALSE),_xlfn.TEXTAFTER(VLOOKUP($F191,Declarations!B$6:C$185,2,FALSE)," "))))</f>
        <v/>
      </c>
      <c r="D191" s="114" t="str">
        <f>IF(ISNA(VLOOKUP($F191,Declarations!$B$6:$F$185,5,FALSE)),"",IF(VLOOKUP($F191,Declarations!$B$6:$F$185,5,FALSE)="","NOT DECLARED",VLOOKUP($F191,Declarations!$B$6:$F$185,5,FALSE)))</f>
        <v/>
      </c>
      <c r="E191" s="112" t="str">
        <f>IF(ISNA(VLOOKUP($F191,Declarations!$B$6:$D$185,3,FALSE)),"",IF(VLOOKUP($F191,Declarations!$B$6:$D$185,3,FALSE)="","NOT DECLARED",VLOOKUP($F191,Declarations!$B$6:$D$185,3,FALSE)&amp;LEFT(VLOOKUP($F191,Declarations!$B$6:$E$185,4,FALSE))))</f>
        <v/>
      </c>
      <c r="F191" s="58"/>
      <c r="G191" s="121"/>
      <c r="H191" s="121"/>
      <c r="I191" s="114" t="str">
        <f>IF(ISNA(VLOOKUP(F191,Declarations!B$6:C$185,2,FALSE)),"",IF(VLOOKUP(F191,Declarations!B$6:C$185,2,FALSE)="","NOT DECLARED",VLOOKUP(F191,Declarations!B$6:C$185,2,FALSE)))</f>
        <v/>
      </c>
      <c r="J191" s="112">
        <f>IF(LOWER(LEFT(G191,1))="n",1,VLOOKUP(G191,ScoringTable!D$2:I$95,6))</f>
        <v>0</v>
      </c>
      <c r="K191" s="112" t="str">
        <f>IF(OR(E191="",G191=""),"",IF(RIGHT(E191,1)="G",_xlfn.XLOOKUP(G191,Data!$D$14:$L$14,Data!$D$9:$L$9,"",-1,1),_xlfn.XLOOKUP(G191,Data!$D$7:$L$7,Data!$D$2:$L$2,"",-1,1)))</f>
        <v/>
      </c>
      <c r="L191" s="160" t="str" cm="1">
        <f t="array" ref="L191">IFERROR(_xlfn.IFNA(
                      _xlfn.IFS(
                      G191="", "",
                      AND(E191="U12B",G191&gt;=Data!$M$7), "U12 Boys record",
                      AND(E191="U12G",G191&gt;=Data!$M$14), "U12 Girls record"
                       ),""), "")</f>
        <v/>
      </c>
      <c r="M191" s="18" cm="1">
        <f t="array" ref="M191">_xlfn.IFS($G191="",0, AND(NOT(ISNUMBER($G191)),LOWER(LEFT($G191,1))&lt;&gt;"n"),"Not a valid distance",OR(LOWER(LEFT($G191,1))="n",$G191&lt;ScoringTable!$O$161),1,RIGHT($E191,1)="B",_xlfn.XLOOKUP($G191,ScoringTable!$O$2:$O$161,ScoringTable!$L$2:$L$161,,-1),TRUE,_xlfn.XLOOKUP($G191,ScoringTable!$U$2:$U$161,ScoringTable!$R$2:$R$161,,-1))</f>
        <v>0</v>
      </c>
    </row>
    <row r="192" spans="1:13" s="7" customFormat="1" ht="16.05" customHeight="1">
      <c r="A192" s="113" t="s">
        <v>99</v>
      </c>
      <c r="B192" s="114" t="str">
        <f>IF(ISNA(VLOOKUP($F192,Declarations!B$6:C$185,2,FALSE)),"",IF(VLOOKUP($F192,Declarations!B$6:C$185,2,FALSE)="","NOT DECLARED",IF(ISNA(_xlfn.TEXTBEFORE(VLOOKUP($F192,Declarations!B$6:C$185,2,FALSE)," ")),VLOOKUP($F192,Declarations!B$6:C$185,2,FALSE),_xlfn.TEXTBEFORE(VLOOKUP($F192,Declarations!B$6:C$185,2,FALSE)," "))))</f>
        <v/>
      </c>
      <c r="C192" s="114" t="str">
        <f>IF(ISNA(VLOOKUP($F192,Declarations!B$6:C$185,2,FALSE)),"",IF(VLOOKUP($F192,Declarations!B$6:C$185,2,FALSE)="","NOT DECLARED",IF(ISNA(_xlfn.TEXTAFTER(VLOOKUP($F192,Declarations!B$6:C$185,2,FALSE)," ")),VLOOKUP($F192,Declarations!B$6:C$185,2,FALSE),_xlfn.TEXTAFTER(VLOOKUP($F192,Declarations!B$6:C$185,2,FALSE)," "))))</f>
        <v/>
      </c>
      <c r="D192" s="114" t="str">
        <f>IF(ISNA(VLOOKUP($F192,Declarations!$B$6:$F$185,5,FALSE)),"",IF(VLOOKUP($F192,Declarations!$B$6:$F$185,5,FALSE)="","NOT DECLARED",VLOOKUP($F192,Declarations!$B$6:$F$185,5,FALSE)))</f>
        <v/>
      </c>
      <c r="E192" s="112" t="str">
        <f>IF(ISNA(VLOOKUP($F192,Declarations!$B$6:$D$185,3,FALSE)),"",IF(VLOOKUP($F192,Declarations!$B$6:$D$185,3,FALSE)="","NOT DECLARED",VLOOKUP($F192,Declarations!$B$6:$D$185,3,FALSE)&amp;LEFT(VLOOKUP($F192,Declarations!$B$6:$E$185,4,FALSE))))</f>
        <v/>
      </c>
      <c r="F192" s="58"/>
      <c r="G192" s="121"/>
      <c r="H192" s="121"/>
      <c r="I192" s="114" t="str">
        <f>IF(ISNA(VLOOKUP(F192,Declarations!B$6:C$185,2,FALSE)),"",IF(VLOOKUP(F192,Declarations!B$6:C$185,2,FALSE)="","NOT DECLARED",VLOOKUP(F192,Declarations!B$6:C$185,2,FALSE)))</f>
        <v/>
      </c>
      <c r="J192" s="112">
        <f>IF(LOWER(LEFT(G192,1))="n",1,VLOOKUP(G192,ScoringTable!D$2:I$95,6))</f>
        <v>0</v>
      </c>
      <c r="K192" s="112" t="str">
        <f>IF(OR(E192="",G192=""),"",IF(RIGHT(E192,1)="G",_xlfn.XLOOKUP(G192,Data!$D$14:$L$14,Data!$D$9:$L$9,"",-1,1),_xlfn.XLOOKUP(G192,Data!$D$7:$L$7,Data!$D$2:$L$2,"",-1,1)))</f>
        <v/>
      </c>
      <c r="L192" s="160" t="str" cm="1">
        <f t="array" ref="L192">IFERROR(_xlfn.IFNA(
                      _xlfn.IFS(
                      G192="", "",
                      AND(E192="U12B",G192&gt;=Data!$M$7), "U12 Boys record",
                      AND(E192="U12G",G192&gt;=Data!$M$14), "U12 Girls record"
                       ),""), "")</f>
        <v/>
      </c>
      <c r="M192" s="18" cm="1">
        <f t="array" ref="M192">_xlfn.IFS($G192="",0, AND(NOT(ISNUMBER($G192)),LOWER(LEFT($G192,1))&lt;&gt;"n"),"Not a valid distance",OR(LOWER(LEFT($G192,1))="n",$G192&lt;ScoringTable!$O$161),1,RIGHT($E192,1)="B",_xlfn.XLOOKUP($G192,ScoringTable!$O$2:$O$161,ScoringTable!$L$2:$L$161,,-1),TRUE,_xlfn.XLOOKUP($G192,ScoringTable!$U$2:$U$161,ScoringTable!$R$2:$R$161,,-1))</f>
        <v>0</v>
      </c>
    </row>
    <row r="193" spans="1:13" s="7" customFormat="1" ht="16.05" customHeight="1">
      <c r="A193" s="113" t="s">
        <v>99</v>
      </c>
      <c r="B193" s="114" t="str">
        <f>IF(ISNA(VLOOKUP($F193,Declarations!B$6:C$185,2,FALSE)),"",IF(VLOOKUP($F193,Declarations!B$6:C$185,2,FALSE)="","NOT DECLARED",IF(ISNA(_xlfn.TEXTBEFORE(VLOOKUP($F193,Declarations!B$6:C$185,2,FALSE)," ")),VLOOKUP($F193,Declarations!B$6:C$185,2,FALSE),_xlfn.TEXTBEFORE(VLOOKUP($F193,Declarations!B$6:C$185,2,FALSE)," "))))</f>
        <v/>
      </c>
      <c r="C193" s="114" t="str">
        <f>IF(ISNA(VLOOKUP($F193,Declarations!B$6:C$185,2,FALSE)),"",IF(VLOOKUP($F193,Declarations!B$6:C$185,2,FALSE)="","NOT DECLARED",IF(ISNA(_xlfn.TEXTAFTER(VLOOKUP($F193,Declarations!B$6:C$185,2,FALSE)," ")),VLOOKUP($F193,Declarations!B$6:C$185,2,FALSE),_xlfn.TEXTAFTER(VLOOKUP($F193,Declarations!B$6:C$185,2,FALSE)," "))))</f>
        <v/>
      </c>
      <c r="D193" s="114" t="str">
        <f>IF(ISNA(VLOOKUP($F193,Declarations!$B$6:$F$185,5,FALSE)),"",IF(VLOOKUP($F193,Declarations!$B$6:$F$185,5,FALSE)="","NOT DECLARED",VLOOKUP($F193,Declarations!$B$6:$F$185,5,FALSE)))</f>
        <v/>
      </c>
      <c r="E193" s="112" t="str">
        <f>IF(ISNA(VLOOKUP($F193,Declarations!$B$6:$D$185,3,FALSE)),"",IF(VLOOKUP($F193,Declarations!$B$6:$D$185,3,FALSE)="","NOT DECLARED",VLOOKUP($F193,Declarations!$B$6:$D$185,3,FALSE)&amp;LEFT(VLOOKUP($F193,Declarations!$B$6:$E$185,4,FALSE))))</f>
        <v/>
      </c>
      <c r="F193" s="58"/>
      <c r="G193" s="121"/>
      <c r="H193" s="121"/>
      <c r="I193" s="114" t="str">
        <f>IF(ISNA(VLOOKUP(F193,Declarations!B$6:C$185,2,FALSE)),"",IF(VLOOKUP(F193,Declarations!B$6:C$185,2,FALSE)="","NOT DECLARED",VLOOKUP(F193,Declarations!B$6:C$185,2,FALSE)))</f>
        <v/>
      </c>
      <c r="J193" s="112">
        <f>IF(LOWER(LEFT(G193,1))="n",1,VLOOKUP(G193,ScoringTable!D$2:I$95,6))</f>
        <v>0</v>
      </c>
      <c r="K193" s="112" t="str">
        <f>IF(OR(E193="",G193=""),"",IF(RIGHT(E193,1)="G",_xlfn.XLOOKUP(G193,Data!$D$14:$L$14,Data!$D$9:$L$9,"",-1,1),_xlfn.XLOOKUP(G193,Data!$D$7:$L$7,Data!$D$2:$L$2,"",-1,1)))</f>
        <v/>
      </c>
      <c r="L193" s="160" t="str" cm="1">
        <f t="array" ref="L193">IFERROR(_xlfn.IFNA(
                      _xlfn.IFS(
                      G193="", "",
                      AND(E193="U12B",G193&gt;=Data!$M$7), "U12 Boys record",
                      AND(E193="U12G",G193&gt;=Data!$M$14), "U12 Girls record"
                       ),""), "")</f>
        <v/>
      </c>
      <c r="M193" s="18" cm="1">
        <f t="array" ref="M193">_xlfn.IFS($G193="",0, AND(NOT(ISNUMBER($G193)),LOWER(LEFT($G193,1))&lt;&gt;"n"),"Not a valid distance",OR(LOWER(LEFT($G193,1))="n",$G193&lt;ScoringTable!$O$161),1,RIGHT($E193,1)="B",_xlfn.XLOOKUP($G193,ScoringTable!$O$2:$O$161,ScoringTable!$L$2:$L$161,,-1),TRUE,_xlfn.XLOOKUP($G193,ScoringTable!$U$2:$U$161,ScoringTable!$R$2:$R$161,,-1))</f>
        <v>0</v>
      </c>
    </row>
    <row r="194" spans="1:13" s="7" customFormat="1" ht="16.05" customHeight="1">
      <c r="A194" s="113" t="s">
        <v>99</v>
      </c>
      <c r="B194" s="114" t="str">
        <f>IF(ISNA(VLOOKUP($F194,Declarations!B$6:C$185,2,FALSE)),"",IF(VLOOKUP($F194,Declarations!B$6:C$185,2,FALSE)="","NOT DECLARED",IF(ISNA(_xlfn.TEXTBEFORE(VLOOKUP($F194,Declarations!B$6:C$185,2,FALSE)," ")),VLOOKUP($F194,Declarations!B$6:C$185,2,FALSE),_xlfn.TEXTBEFORE(VLOOKUP($F194,Declarations!B$6:C$185,2,FALSE)," "))))</f>
        <v/>
      </c>
      <c r="C194" s="114" t="str">
        <f>IF(ISNA(VLOOKUP($F194,Declarations!B$6:C$185,2,FALSE)),"",IF(VLOOKUP($F194,Declarations!B$6:C$185,2,FALSE)="","NOT DECLARED",IF(ISNA(_xlfn.TEXTAFTER(VLOOKUP($F194,Declarations!B$6:C$185,2,FALSE)," ")),VLOOKUP($F194,Declarations!B$6:C$185,2,FALSE),_xlfn.TEXTAFTER(VLOOKUP($F194,Declarations!B$6:C$185,2,FALSE)," "))))</f>
        <v/>
      </c>
      <c r="D194" s="114" t="str">
        <f>IF(ISNA(VLOOKUP($F194,Declarations!$B$6:$F$185,5,FALSE)),"",IF(VLOOKUP($F194,Declarations!$B$6:$F$185,5,FALSE)="","NOT DECLARED",VLOOKUP($F194,Declarations!$B$6:$F$185,5,FALSE)))</f>
        <v/>
      </c>
      <c r="E194" s="112" t="str">
        <f>IF(ISNA(VLOOKUP($F194,Declarations!$B$6:$D$185,3,FALSE)),"",IF(VLOOKUP($F194,Declarations!$B$6:$D$185,3,FALSE)="","NOT DECLARED",VLOOKUP($F194,Declarations!$B$6:$D$185,3,FALSE)&amp;LEFT(VLOOKUP($F194,Declarations!$B$6:$E$185,4,FALSE))))</f>
        <v/>
      </c>
      <c r="F194" s="58"/>
      <c r="G194" s="121"/>
      <c r="H194" s="121"/>
      <c r="I194" s="114" t="str">
        <f>IF(ISNA(VLOOKUP(F194,Declarations!B$6:C$185,2,FALSE)),"",IF(VLOOKUP(F194,Declarations!B$6:C$185,2,FALSE)="","NOT DECLARED",VLOOKUP(F194,Declarations!B$6:C$185,2,FALSE)))</f>
        <v/>
      </c>
      <c r="J194" s="112">
        <f>IF(LOWER(LEFT(G194,1))="n",1,VLOOKUP(G194,ScoringTable!D$2:I$95,6))</f>
        <v>0</v>
      </c>
      <c r="K194" s="112" t="str">
        <f>IF(OR(E194="",G194=""),"",IF(RIGHT(E194,1)="G",_xlfn.XLOOKUP(G194,Data!$D$14:$L$14,Data!$D$9:$L$9,"",-1,1),_xlfn.XLOOKUP(G194,Data!$D$7:$L$7,Data!$D$2:$L$2,"",-1,1)))</f>
        <v/>
      </c>
      <c r="L194" s="160" t="str" cm="1">
        <f t="array" ref="L194">IFERROR(_xlfn.IFNA(
                      _xlfn.IFS(
                      G194="", "",
                      AND(E194="U12B",G194&gt;=Data!$M$7), "U12 Boys record",
                      AND(E194="U12G",G194&gt;=Data!$M$14), "U12 Girls record"
                       ),""), "")</f>
        <v/>
      </c>
      <c r="M194" s="18" cm="1">
        <f t="array" ref="M194">_xlfn.IFS($G194="",0, AND(NOT(ISNUMBER($G194)),LOWER(LEFT($G194,1))&lt;&gt;"n"),"Not a valid distance",OR(LOWER(LEFT($G194,1))="n",$G194&lt;ScoringTable!$O$161),1,RIGHT($E194,1)="B",_xlfn.XLOOKUP($G194,ScoringTable!$O$2:$O$161,ScoringTable!$L$2:$L$161,,-1),TRUE,_xlfn.XLOOKUP($G194,ScoringTable!$U$2:$U$161,ScoringTable!$R$2:$R$161,,-1))</f>
        <v>0</v>
      </c>
    </row>
    <row r="195" spans="1:13" s="7" customFormat="1" ht="16.05" customHeight="1">
      <c r="A195" s="113" t="s">
        <v>99</v>
      </c>
      <c r="B195" s="114" t="str">
        <f>IF(ISNA(VLOOKUP($F195,Declarations!B$6:C$185,2,FALSE)),"",IF(VLOOKUP($F195,Declarations!B$6:C$185,2,FALSE)="","NOT DECLARED",IF(ISNA(_xlfn.TEXTBEFORE(VLOOKUP($F195,Declarations!B$6:C$185,2,FALSE)," ")),VLOOKUP($F195,Declarations!B$6:C$185,2,FALSE),_xlfn.TEXTBEFORE(VLOOKUP($F195,Declarations!B$6:C$185,2,FALSE)," "))))</f>
        <v/>
      </c>
      <c r="C195" s="114" t="str">
        <f>IF(ISNA(VLOOKUP($F195,Declarations!B$6:C$185,2,FALSE)),"",IF(VLOOKUP($F195,Declarations!B$6:C$185,2,FALSE)="","NOT DECLARED",IF(ISNA(_xlfn.TEXTAFTER(VLOOKUP($F195,Declarations!B$6:C$185,2,FALSE)," ")),VLOOKUP($F195,Declarations!B$6:C$185,2,FALSE),_xlfn.TEXTAFTER(VLOOKUP($F195,Declarations!B$6:C$185,2,FALSE)," "))))</f>
        <v/>
      </c>
      <c r="D195" s="114" t="str">
        <f>IF(ISNA(VLOOKUP($F195,Declarations!$B$6:$F$185,5,FALSE)),"",IF(VLOOKUP($F195,Declarations!$B$6:$F$185,5,FALSE)="","NOT DECLARED",VLOOKUP($F195,Declarations!$B$6:$F$185,5,FALSE)))</f>
        <v/>
      </c>
      <c r="E195" s="112" t="str">
        <f>IF(ISNA(VLOOKUP($F195,Declarations!$B$6:$D$185,3,FALSE)),"",IF(VLOOKUP($F195,Declarations!$B$6:$D$185,3,FALSE)="","NOT DECLARED",VLOOKUP($F195,Declarations!$B$6:$D$185,3,FALSE)&amp;LEFT(VLOOKUP($F195,Declarations!$B$6:$E$185,4,FALSE))))</f>
        <v/>
      </c>
      <c r="F195" s="58"/>
      <c r="G195" s="121"/>
      <c r="H195" s="121"/>
      <c r="I195" s="114" t="str">
        <f>IF(ISNA(VLOOKUP(F195,Declarations!B$6:C$185,2,FALSE)),"",IF(VLOOKUP(F195,Declarations!B$6:C$185,2,FALSE)="","NOT DECLARED",VLOOKUP(F195,Declarations!B$6:C$185,2,FALSE)))</f>
        <v/>
      </c>
      <c r="J195" s="112">
        <f>IF(LOWER(LEFT(G195,1))="n",1,VLOOKUP(G195,ScoringTable!D$2:I$95,6))</f>
        <v>0</v>
      </c>
      <c r="K195" s="112" t="str">
        <f>IF(OR(E195="",G195=""),"",IF(RIGHT(E195,1)="G",_xlfn.XLOOKUP(G195,Data!$D$14:$L$14,Data!$D$9:$L$9,"",-1,1),_xlfn.XLOOKUP(G195,Data!$D$7:$L$7,Data!$D$2:$L$2,"",-1,1)))</f>
        <v/>
      </c>
      <c r="L195" s="160" t="str" cm="1">
        <f t="array" ref="L195">IFERROR(_xlfn.IFNA(
                      _xlfn.IFS(
                      G195="", "",
                      AND(E195="U12B",G195&gt;=Data!$M$7), "U12 Boys record",
                      AND(E195="U12G",G195&gt;=Data!$M$14), "U12 Girls record"
                       ),""), "")</f>
        <v/>
      </c>
      <c r="M195" s="18" cm="1">
        <f t="array" ref="M195">_xlfn.IFS($G195="",0, AND(NOT(ISNUMBER($G195)),LOWER(LEFT($G195,1))&lt;&gt;"n"),"Not a valid distance",OR(LOWER(LEFT($G195,1))="n",$G195&lt;ScoringTable!$O$161),1,RIGHT($E195,1)="B",_xlfn.XLOOKUP($G195,ScoringTable!$O$2:$O$161,ScoringTable!$L$2:$L$161,,-1),TRUE,_xlfn.XLOOKUP($G195,ScoringTable!$U$2:$U$161,ScoringTable!$R$2:$R$161,,-1))</f>
        <v>0</v>
      </c>
    </row>
    <row r="196" spans="1:13" s="7" customFormat="1" ht="16.05" customHeight="1">
      <c r="A196" s="113" t="s">
        <v>99</v>
      </c>
      <c r="B196" s="114" t="str">
        <f>IF(ISNA(VLOOKUP($F196,Declarations!B$6:C$185,2,FALSE)),"",IF(VLOOKUP($F196,Declarations!B$6:C$185,2,FALSE)="","NOT DECLARED",IF(ISNA(_xlfn.TEXTBEFORE(VLOOKUP($F196,Declarations!B$6:C$185,2,FALSE)," ")),VLOOKUP($F196,Declarations!B$6:C$185,2,FALSE),_xlfn.TEXTBEFORE(VLOOKUP($F196,Declarations!B$6:C$185,2,FALSE)," "))))</f>
        <v/>
      </c>
      <c r="C196" s="114" t="str">
        <f>IF(ISNA(VLOOKUP($F196,Declarations!B$6:C$185,2,FALSE)),"",IF(VLOOKUP($F196,Declarations!B$6:C$185,2,FALSE)="","NOT DECLARED",IF(ISNA(_xlfn.TEXTAFTER(VLOOKUP($F196,Declarations!B$6:C$185,2,FALSE)," ")),VLOOKUP($F196,Declarations!B$6:C$185,2,FALSE),_xlfn.TEXTAFTER(VLOOKUP($F196,Declarations!B$6:C$185,2,FALSE)," "))))</f>
        <v/>
      </c>
      <c r="D196" s="114" t="str">
        <f>IF(ISNA(VLOOKUP($F196,Declarations!$B$6:$F$185,5,FALSE)),"",IF(VLOOKUP($F196,Declarations!$B$6:$F$185,5,FALSE)="","NOT DECLARED",VLOOKUP($F196,Declarations!$B$6:$F$185,5,FALSE)))</f>
        <v/>
      </c>
      <c r="E196" s="112" t="str">
        <f>IF(ISNA(VLOOKUP($F196,Declarations!$B$6:$D$185,3,FALSE)),"",IF(VLOOKUP($F196,Declarations!$B$6:$D$185,3,FALSE)="","NOT DECLARED",VLOOKUP($F196,Declarations!$B$6:$D$185,3,FALSE)&amp;LEFT(VLOOKUP($F196,Declarations!$B$6:$E$185,4,FALSE))))</f>
        <v/>
      </c>
      <c r="F196" s="58"/>
      <c r="G196" s="121"/>
      <c r="H196" s="121"/>
      <c r="I196" s="114" t="str">
        <f>IF(ISNA(VLOOKUP(F196,Declarations!B$6:C$185,2,FALSE)),"",IF(VLOOKUP(F196,Declarations!B$6:C$185,2,FALSE)="","NOT DECLARED",VLOOKUP(F196,Declarations!B$6:C$185,2,FALSE)))</f>
        <v/>
      </c>
      <c r="J196" s="112">
        <f>IF(LOWER(LEFT(G196,1))="n",1,VLOOKUP(G196,ScoringTable!D$2:I$95,6))</f>
        <v>0</v>
      </c>
      <c r="K196" s="112" t="str">
        <f>IF(OR(E196="",G196=""),"",IF(RIGHT(E196,1)="G",_xlfn.XLOOKUP(G196,Data!$D$14:$L$14,Data!$D$9:$L$9,"",-1,1),_xlfn.XLOOKUP(G196,Data!$D$7:$L$7,Data!$D$2:$L$2,"",-1,1)))</f>
        <v/>
      </c>
      <c r="L196" s="160" t="str" cm="1">
        <f t="array" ref="L196">IFERROR(_xlfn.IFNA(
                      _xlfn.IFS(
                      G196="", "",
                      AND(E196="U12B",G196&gt;=Data!$M$7), "U12 Boys record",
                      AND(E196="U12G",G196&gt;=Data!$M$14), "U12 Girls record"
                       ),""), "")</f>
        <v/>
      </c>
      <c r="M196" s="18" cm="1">
        <f t="array" ref="M196">_xlfn.IFS($G196="",0, AND(NOT(ISNUMBER($G196)),LOWER(LEFT($G196,1))&lt;&gt;"n"),"Not a valid distance",OR(LOWER(LEFT($G196,1))="n",$G196&lt;ScoringTable!$O$161),1,RIGHT($E196,1)="B",_xlfn.XLOOKUP($G196,ScoringTable!$O$2:$O$161,ScoringTable!$L$2:$L$161,,-1),TRUE,_xlfn.XLOOKUP($G196,ScoringTable!$U$2:$U$161,ScoringTable!$R$2:$R$161,,-1))</f>
        <v>0</v>
      </c>
    </row>
    <row r="197" spans="1:13" s="7" customFormat="1" ht="16.05" customHeight="1">
      <c r="A197" s="113" t="s">
        <v>99</v>
      </c>
      <c r="B197" s="114" t="str">
        <f>IF(ISNA(VLOOKUP($F197,Declarations!B$6:C$185,2,FALSE)),"",IF(VLOOKUP($F197,Declarations!B$6:C$185,2,FALSE)="","NOT DECLARED",IF(ISNA(_xlfn.TEXTBEFORE(VLOOKUP($F197,Declarations!B$6:C$185,2,FALSE)," ")),VLOOKUP($F197,Declarations!B$6:C$185,2,FALSE),_xlfn.TEXTBEFORE(VLOOKUP($F197,Declarations!B$6:C$185,2,FALSE)," "))))</f>
        <v/>
      </c>
      <c r="C197" s="114" t="str">
        <f>IF(ISNA(VLOOKUP($F197,Declarations!B$6:C$185,2,FALSE)),"",IF(VLOOKUP($F197,Declarations!B$6:C$185,2,FALSE)="","NOT DECLARED",IF(ISNA(_xlfn.TEXTAFTER(VLOOKUP($F197,Declarations!B$6:C$185,2,FALSE)," ")),VLOOKUP($F197,Declarations!B$6:C$185,2,FALSE),_xlfn.TEXTAFTER(VLOOKUP($F197,Declarations!B$6:C$185,2,FALSE)," "))))</f>
        <v/>
      </c>
      <c r="D197" s="114" t="str">
        <f>IF(ISNA(VLOOKUP($F197,Declarations!$B$6:$F$185,5,FALSE)),"",IF(VLOOKUP($F197,Declarations!$B$6:$F$185,5,FALSE)="","NOT DECLARED",VLOOKUP($F197,Declarations!$B$6:$F$185,5,FALSE)))</f>
        <v/>
      </c>
      <c r="E197" s="112" t="str">
        <f>IF(ISNA(VLOOKUP($F197,Declarations!$B$6:$D$185,3,FALSE)),"",IF(VLOOKUP($F197,Declarations!$B$6:$D$185,3,FALSE)="","NOT DECLARED",VLOOKUP($F197,Declarations!$B$6:$D$185,3,FALSE)&amp;LEFT(VLOOKUP($F197,Declarations!$B$6:$E$185,4,FALSE))))</f>
        <v/>
      </c>
      <c r="F197" s="58"/>
      <c r="G197" s="121"/>
      <c r="H197" s="121"/>
      <c r="I197" s="114" t="str">
        <f>IF(ISNA(VLOOKUP(F197,Declarations!B$6:C$185,2,FALSE)),"",IF(VLOOKUP(F197,Declarations!B$6:C$185,2,FALSE)="","NOT DECLARED",VLOOKUP(F197,Declarations!B$6:C$185,2,FALSE)))</f>
        <v/>
      </c>
      <c r="J197" s="112">
        <f>IF(LOWER(LEFT(G197,1))="n",1,VLOOKUP(G197,ScoringTable!D$2:I$95,6))</f>
        <v>0</v>
      </c>
      <c r="K197" s="112" t="str">
        <f>IF(OR(E197="",G197=""),"",IF(RIGHT(E197,1)="G",_xlfn.XLOOKUP(G197,Data!$D$14:$L$14,Data!$D$9:$L$9,"",-1,1),_xlfn.XLOOKUP(G197,Data!$D$7:$L$7,Data!$D$2:$L$2,"",-1,1)))</f>
        <v/>
      </c>
      <c r="L197" s="160" t="str" cm="1">
        <f t="array" ref="L197">IFERROR(_xlfn.IFNA(
                      _xlfn.IFS(
                      G197="", "",
                      AND(E197="U12B",G197&gt;=Data!$M$7), "U12 Boys record",
                      AND(E197="U12G",G197&gt;=Data!$M$14), "U12 Girls record"
                       ),""), "")</f>
        <v/>
      </c>
      <c r="M197" s="18" cm="1">
        <f t="array" ref="M197">_xlfn.IFS($G197="",0, AND(NOT(ISNUMBER($G197)),LOWER(LEFT($G197,1))&lt;&gt;"n"),"Not a valid distance",OR(LOWER(LEFT($G197,1))="n",$G197&lt;ScoringTable!$O$161),1,RIGHT($E197,1)="B",_xlfn.XLOOKUP($G197,ScoringTable!$O$2:$O$161,ScoringTable!$L$2:$L$161,,-1),TRUE,_xlfn.XLOOKUP($G197,ScoringTable!$U$2:$U$161,ScoringTable!$R$2:$R$161,,-1))</f>
        <v>0</v>
      </c>
    </row>
    <row r="198" spans="1:13" s="7" customFormat="1" ht="16.05" customHeight="1">
      <c r="A198" s="113" t="s">
        <v>99</v>
      </c>
      <c r="B198" s="114" t="str">
        <f>IF(ISNA(VLOOKUP($F198,Declarations!B$6:C$185,2,FALSE)),"",IF(VLOOKUP($F198,Declarations!B$6:C$185,2,FALSE)="","NOT DECLARED",IF(ISNA(_xlfn.TEXTBEFORE(VLOOKUP($F198,Declarations!B$6:C$185,2,FALSE)," ")),VLOOKUP($F198,Declarations!B$6:C$185,2,FALSE),_xlfn.TEXTBEFORE(VLOOKUP($F198,Declarations!B$6:C$185,2,FALSE)," "))))</f>
        <v/>
      </c>
      <c r="C198" s="114" t="str">
        <f>IF(ISNA(VLOOKUP($F198,Declarations!B$6:C$185,2,FALSE)),"",IF(VLOOKUP($F198,Declarations!B$6:C$185,2,FALSE)="","NOT DECLARED",IF(ISNA(_xlfn.TEXTAFTER(VLOOKUP($F198,Declarations!B$6:C$185,2,FALSE)," ")),VLOOKUP($F198,Declarations!B$6:C$185,2,FALSE),_xlfn.TEXTAFTER(VLOOKUP($F198,Declarations!B$6:C$185,2,FALSE)," "))))</f>
        <v/>
      </c>
      <c r="D198" s="114" t="str">
        <f>IF(ISNA(VLOOKUP($F198,Declarations!$B$6:$F$185,5,FALSE)),"",IF(VLOOKUP($F198,Declarations!$B$6:$F$185,5,FALSE)="","NOT DECLARED",VLOOKUP($F198,Declarations!$B$6:$F$185,5,FALSE)))</f>
        <v/>
      </c>
      <c r="E198" s="112" t="str">
        <f>IF(ISNA(VLOOKUP($F198,Declarations!$B$6:$D$185,3,FALSE)),"",IF(VLOOKUP($F198,Declarations!$B$6:$D$185,3,FALSE)="","NOT DECLARED",VLOOKUP($F198,Declarations!$B$6:$D$185,3,FALSE)&amp;LEFT(VLOOKUP($F198,Declarations!$B$6:$E$185,4,FALSE))))</f>
        <v/>
      </c>
      <c r="F198" s="58"/>
      <c r="G198" s="121"/>
      <c r="H198" s="121"/>
      <c r="I198" s="114" t="str">
        <f>IF(ISNA(VLOOKUP(F198,Declarations!B$6:C$185,2,FALSE)),"",IF(VLOOKUP(F198,Declarations!B$6:C$185,2,FALSE)="","NOT DECLARED",VLOOKUP(F198,Declarations!B$6:C$185,2,FALSE)))</f>
        <v/>
      </c>
      <c r="J198" s="112">
        <f>IF(LOWER(LEFT(G198,1))="n",1,VLOOKUP(G198,ScoringTable!D$2:I$95,6))</f>
        <v>0</v>
      </c>
      <c r="K198" s="112" t="str">
        <f>IF(OR(E198="",G198=""),"",IF(RIGHT(E198,1)="G",_xlfn.XLOOKUP(G198,Data!$D$14:$L$14,Data!$D$9:$L$9,"",-1,1),_xlfn.XLOOKUP(G198,Data!$D$7:$L$7,Data!$D$2:$L$2,"",-1,1)))</f>
        <v/>
      </c>
      <c r="L198" s="160" t="str" cm="1">
        <f t="array" ref="L198">IFERROR(_xlfn.IFNA(
                      _xlfn.IFS(
                      G198="", "",
                      AND(E198="U12B",G198&gt;=Data!$M$7), "U12 Boys record",
                      AND(E198="U12G",G198&gt;=Data!$M$14), "U12 Girls record"
                       ),""), "")</f>
        <v/>
      </c>
      <c r="M198" s="18" cm="1">
        <f t="array" ref="M198">_xlfn.IFS($G198="",0, AND(NOT(ISNUMBER($G198)),LOWER(LEFT($G198,1))&lt;&gt;"n"),"Not a valid distance",OR(LOWER(LEFT($G198,1))="n",$G198&lt;ScoringTable!$O$161),1,RIGHT($E198,1)="B",_xlfn.XLOOKUP($G198,ScoringTable!$O$2:$O$161,ScoringTable!$L$2:$L$161,,-1),TRUE,_xlfn.XLOOKUP($G198,ScoringTable!$U$2:$U$161,ScoringTable!$R$2:$R$161,,-1))</f>
        <v>0</v>
      </c>
    </row>
    <row r="199" spans="1:13" s="7" customFormat="1" ht="16.05" customHeight="1">
      <c r="A199" s="113" t="s">
        <v>99</v>
      </c>
      <c r="B199" s="114" t="str">
        <f>IF(ISNA(VLOOKUP($F199,Declarations!B$6:C$185,2,FALSE)),"",IF(VLOOKUP($F199,Declarations!B$6:C$185,2,FALSE)="","NOT DECLARED",IF(ISNA(_xlfn.TEXTBEFORE(VLOOKUP($F199,Declarations!B$6:C$185,2,FALSE)," ")),VLOOKUP($F199,Declarations!B$6:C$185,2,FALSE),_xlfn.TEXTBEFORE(VLOOKUP($F199,Declarations!B$6:C$185,2,FALSE)," "))))</f>
        <v/>
      </c>
      <c r="C199" s="114" t="str">
        <f>IF(ISNA(VLOOKUP($F199,Declarations!B$6:C$185,2,FALSE)),"",IF(VLOOKUP($F199,Declarations!B$6:C$185,2,FALSE)="","NOT DECLARED",IF(ISNA(_xlfn.TEXTAFTER(VLOOKUP($F199,Declarations!B$6:C$185,2,FALSE)," ")),VLOOKUP($F199,Declarations!B$6:C$185,2,FALSE),_xlfn.TEXTAFTER(VLOOKUP($F199,Declarations!B$6:C$185,2,FALSE)," "))))</f>
        <v/>
      </c>
      <c r="D199" s="114" t="str">
        <f>IF(ISNA(VLOOKUP($F199,Declarations!$B$6:$F$185,5,FALSE)),"",IF(VLOOKUP($F199,Declarations!$B$6:$F$185,5,FALSE)="","NOT DECLARED",VLOOKUP($F199,Declarations!$B$6:$F$185,5,FALSE)))</f>
        <v/>
      </c>
      <c r="E199" s="112" t="str">
        <f>IF(ISNA(VLOOKUP($F199,Declarations!$B$6:$D$185,3,FALSE)),"",IF(VLOOKUP($F199,Declarations!$B$6:$D$185,3,FALSE)="","NOT DECLARED",VLOOKUP($F199,Declarations!$B$6:$D$185,3,FALSE)&amp;LEFT(VLOOKUP($F199,Declarations!$B$6:$E$185,4,FALSE))))</f>
        <v/>
      </c>
      <c r="F199" s="58"/>
      <c r="G199" s="121"/>
      <c r="H199" s="121"/>
      <c r="I199" s="114" t="str">
        <f>IF(ISNA(VLOOKUP(F199,Declarations!B$6:C$185,2,FALSE)),"",IF(VLOOKUP(F199,Declarations!B$6:C$185,2,FALSE)="","NOT DECLARED",VLOOKUP(F199,Declarations!B$6:C$185,2,FALSE)))</f>
        <v/>
      </c>
      <c r="J199" s="112">
        <f>IF(LOWER(LEFT(G199,1))="n",1,VLOOKUP(G199,ScoringTable!D$2:I$95,6))</f>
        <v>0</v>
      </c>
      <c r="K199" s="112" t="str">
        <f>IF(OR(E199="",G199=""),"",IF(RIGHT(E199,1)="G",_xlfn.XLOOKUP(G199,Data!$D$14:$L$14,Data!$D$9:$L$9,"",-1,1),_xlfn.XLOOKUP(G199,Data!$D$7:$L$7,Data!$D$2:$L$2,"",-1,1)))</f>
        <v/>
      </c>
      <c r="L199" s="160" t="str" cm="1">
        <f t="array" ref="L199">IFERROR(_xlfn.IFNA(
                      _xlfn.IFS(
                      G199="", "",
                      AND(E199="U12B",G199&gt;=Data!$M$7), "U12 Boys record",
                      AND(E199="U12G",G199&gt;=Data!$M$14), "U12 Girls record"
                       ),""), "")</f>
        <v/>
      </c>
      <c r="M199" s="18" cm="1">
        <f t="array" ref="M199">_xlfn.IFS($G199="",0, AND(NOT(ISNUMBER($G199)),LOWER(LEFT($G199,1))&lt;&gt;"n"),"Not a valid distance",OR(LOWER(LEFT($G199,1))="n",$G199&lt;ScoringTable!$O$161),1,RIGHT($E199,1)="B",_xlfn.XLOOKUP($G199,ScoringTable!$O$2:$O$161,ScoringTable!$L$2:$L$161,,-1),TRUE,_xlfn.XLOOKUP($G199,ScoringTable!$U$2:$U$161,ScoringTable!$R$2:$R$161,,-1))</f>
        <v>0</v>
      </c>
    </row>
    <row r="200" spans="1:13" s="7" customFormat="1" ht="16.05" customHeight="1">
      <c r="A200" s="113" t="s">
        <v>99</v>
      </c>
      <c r="B200" s="114" t="str">
        <f>IF(ISNA(VLOOKUP($F200,Declarations!B$6:C$185,2,FALSE)),"",IF(VLOOKUP($F200,Declarations!B$6:C$185,2,FALSE)="","NOT DECLARED",IF(ISNA(_xlfn.TEXTBEFORE(VLOOKUP($F200,Declarations!B$6:C$185,2,FALSE)," ")),VLOOKUP($F200,Declarations!B$6:C$185,2,FALSE),_xlfn.TEXTBEFORE(VLOOKUP($F200,Declarations!B$6:C$185,2,FALSE)," "))))</f>
        <v/>
      </c>
      <c r="C200" s="114" t="str">
        <f>IF(ISNA(VLOOKUP($F200,Declarations!B$6:C$185,2,FALSE)),"",IF(VLOOKUP($F200,Declarations!B$6:C$185,2,FALSE)="","NOT DECLARED",IF(ISNA(_xlfn.TEXTAFTER(VLOOKUP($F200,Declarations!B$6:C$185,2,FALSE)," ")),VLOOKUP($F200,Declarations!B$6:C$185,2,FALSE),_xlfn.TEXTAFTER(VLOOKUP($F200,Declarations!B$6:C$185,2,FALSE)," "))))</f>
        <v/>
      </c>
      <c r="D200" s="114" t="str">
        <f>IF(ISNA(VLOOKUP($F200,Declarations!$B$6:$F$185,5,FALSE)),"",IF(VLOOKUP($F200,Declarations!$B$6:$F$185,5,FALSE)="","NOT DECLARED",VLOOKUP($F200,Declarations!$B$6:$F$185,5,FALSE)))</f>
        <v/>
      </c>
      <c r="E200" s="112" t="str">
        <f>IF(ISNA(VLOOKUP($F200,Declarations!$B$6:$D$185,3,FALSE)),"",IF(VLOOKUP($F200,Declarations!$B$6:$D$185,3,FALSE)="","NOT DECLARED",VLOOKUP($F200,Declarations!$B$6:$D$185,3,FALSE)&amp;LEFT(VLOOKUP($F200,Declarations!$B$6:$E$185,4,FALSE))))</f>
        <v/>
      </c>
      <c r="F200" s="58"/>
      <c r="G200" s="121"/>
      <c r="H200" s="121"/>
      <c r="I200" s="114" t="str">
        <f>IF(ISNA(VLOOKUP(F200,Declarations!B$6:C$185,2,FALSE)),"",IF(VLOOKUP(F200,Declarations!B$6:C$185,2,FALSE)="","NOT DECLARED",VLOOKUP(F200,Declarations!B$6:C$185,2,FALSE)))</f>
        <v/>
      </c>
      <c r="J200" s="112">
        <f>IF(LOWER(LEFT(G200,1))="n",1,VLOOKUP(G200,ScoringTable!D$2:I$95,6))</f>
        <v>0</v>
      </c>
      <c r="K200" s="112" t="str">
        <f>IF(OR(E200="",G200=""),"",IF(RIGHT(E200,1)="G",_xlfn.XLOOKUP(G200,Data!$D$14:$L$14,Data!$D$9:$L$9,"",-1,1),_xlfn.XLOOKUP(G200,Data!$D$7:$L$7,Data!$D$2:$L$2,"",-1,1)))</f>
        <v/>
      </c>
      <c r="L200" s="160" t="str" cm="1">
        <f t="array" ref="L200">IFERROR(_xlfn.IFNA(
                      _xlfn.IFS(
                      G200="", "",
                      AND(E200="U12B",G200&gt;=Data!$M$7), "U12 Boys record",
                      AND(E200="U12G",G200&gt;=Data!$M$14), "U12 Girls record"
                       ),""), "")</f>
        <v/>
      </c>
      <c r="M200" s="18" cm="1">
        <f t="array" ref="M200">_xlfn.IFS($G200="",0, AND(NOT(ISNUMBER($G200)),LOWER(LEFT($G200,1))&lt;&gt;"n"),"Not a valid distance",OR(LOWER(LEFT($G200,1))="n",$G200&lt;ScoringTable!$O$161),1,RIGHT($E200,1)="B",_xlfn.XLOOKUP($G200,ScoringTable!$O$2:$O$161,ScoringTable!$L$2:$L$161,,-1),TRUE,_xlfn.XLOOKUP($G200,ScoringTable!$U$2:$U$161,ScoringTable!$R$2:$R$161,,-1))</f>
        <v>0</v>
      </c>
    </row>
    <row r="201" spans="1:13" s="7" customFormat="1" ht="16.05" customHeight="1">
      <c r="A201" s="113" t="s">
        <v>99</v>
      </c>
      <c r="B201" s="114" t="str">
        <f>IF(ISNA(VLOOKUP($F201,Declarations!B$6:C$185,2,FALSE)),"",IF(VLOOKUP($F201,Declarations!B$6:C$185,2,FALSE)="","NOT DECLARED",IF(ISNA(_xlfn.TEXTBEFORE(VLOOKUP($F201,Declarations!B$6:C$185,2,FALSE)," ")),VLOOKUP($F201,Declarations!B$6:C$185,2,FALSE),_xlfn.TEXTBEFORE(VLOOKUP($F201,Declarations!B$6:C$185,2,FALSE)," "))))</f>
        <v/>
      </c>
      <c r="C201" s="114" t="str">
        <f>IF(ISNA(VLOOKUP($F201,Declarations!B$6:C$185,2,FALSE)),"",IF(VLOOKUP($F201,Declarations!B$6:C$185,2,FALSE)="","NOT DECLARED",IF(ISNA(_xlfn.TEXTAFTER(VLOOKUP($F201,Declarations!B$6:C$185,2,FALSE)," ")),VLOOKUP($F201,Declarations!B$6:C$185,2,FALSE),_xlfn.TEXTAFTER(VLOOKUP($F201,Declarations!B$6:C$185,2,FALSE)," "))))</f>
        <v/>
      </c>
      <c r="D201" s="114" t="str">
        <f>IF(ISNA(VLOOKUP($F201,Declarations!$B$6:$F$185,5,FALSE)),"",IF(VLOOKUP($F201,Declarations!$B$6:$F$185,5,FALSE)="","NOT DECLARED",VLOOKUP($F201,Declarations!$B$6:$F$185,5,FALSE)))</f>
        <v/>
      </c>
      <c r="E201" s="112" t="str">
        <f>IF(ISNA(VLOOKUP($F201,Declarations!$B$6:$D$185,3,FALSE)),"",IF(VLOOKUP($F201,Declarations!$B$6:$D$185,3,FALSE)="","NOT DECLARED",VLOOKUP($F201,Declarations!$B$6:$D$185,3,FALSE)&amp;LEFT(VLOOKUP($F201,Declarations!$B$6:$E$185,4,FALSE))))</f>
        <v/>
      </c>
      <c r="F201" s="58"/>
      <c r="G201" s="121"/>
      <c r="H201" s="121"/>
      <c r="I201" s="114" t="str">
        <f>IF(ISNA(VLOOKUP(F201,Declarations!B$6:C$185,2,FALSE)),"",IF(VLOOKUP(F201,Declarations!B$6:C$185,2,FALSE)="","NOT DECLARED",VLOOKUP(F201,Declarations!B$6:C$185,2,FALSE)))</f>
        <v/>
      </c>
      <c r="J201" s="112">
        <f>IF(LOWER(LEFT(G201,1))="n",1,VLOOKUP(G201,ScoringTable!D$2:I$95,6))</f>
        <v>0</v>
      </c>
      <c r="K201" s="112" t="str">
        <f>IF(OR(E201="",G201=""),"",IF(RIGHT(E201,1)="G",_xlfn.XLOOKUP(G201,Data!$D$14:$L$14,Data!$D$9:$L$9,"",-1,1),_xlfn.XLOOKUP(G201,Data!$D$7:$L$7,Data!$D$2:$L$2,"",-1,1)))</f>
        <v/>
      </c>
      <c r="L201" s="160" t="str" cm="1">
        <f t="array" ref="L201">IFERROR(_xlfn.IFNA(
                      _xlfn.IFS(
                      G201="", "",
                      AND(E201="U12B",G201&gt;=Data!$M$7), "U12 Boys record",
                      AND(E201="U12G",G201&gt;=Data!$M$14), "U12 Girls record"
                       ),""), "")</f>
        <v/>
      </c>
      <c r="M201" s="18" cm="1">
        <f t="array" ref="M201">_xlfn.IFS($G201="",0, AND(NOT(ISNUMBER($G201)),LOWER(LEFT($G201,1))&lt;&gt;"n"),"Not a valid distance",OR(LOWER(LEFT($G201,1))="n",$G201&lt;ScoringTable!$O$161),1,RIGHT($E201,1)="B",_xlfn.XLOOKUP($G201,ScoringTable!$O$2:$O$161,ScoringTable!$L$2:$L$161,,-1),TRUE,_xlfn.XLOOKUP($G201,ScoringTable!$U$2:$U$161,ScoringTable!$R$2:$R$161,,-1))</f>
        <v>0</v>
      </c>
    </row>
    <row r="202" spans="1:13" s="7" customFormat="1" ht="16.05" customHeight="1">
      <c r="A202" s="113" t="s">
        <v>99</v>
      </c>
      <c r="B202" s="114" t="str">
        <f>IF(ISNA(VLOOKUP($F202,Declarations!B$6:C$185,2,FALSE)),"",IF(VLOOKUP($F202,Declarations!B$6:C$185,2,FALSE)="","NOT DECLARED",IF(ISNA(_xlfn.TEXTBEFORE(VLOOKUP($F202,Declarations!B$6:C$185,2,FALSE)," ")),VLOOKUP($F202,Declarations!B$6:C$185,2,FALSE),_xlfn.TEXTBEFORE(VLOOKUP($F202,Declarations!B$6:C$185,2,FALSE)," "))))</f>
        <v/>
      </c>
      <c r="C202" s="114" t="str">
        <f>IF(ISNA(VLOOKUP($F202,Declarations!B$6:C$185,2,FALSE)),"",IF(VLOOKUP($F202,Declarations!B$6:C$185,2,FALSE)="","NOT DECLARED",IF(ISNA(_xlfn.TEXTAFTER(VLOOKUP($F202,Declarations!B$6:C$185,2,FALSE)," ")),VLOOKUP($F202,Declarations!B$6:C$185,2,FALSE),_xlfn.TEXTAFTER(VLOOKUP($F202,Declarations!B$6:C$185,2,FALSE)," "))))</f>
        <v/>
      </c>
      <c r="D202" s="114" t="str">
        <f>IF(ISNA(VLOOKUP($F202,Declarations!$B$6:$F$185,5,FALSE)),"",IF(VLOOKUP($F202,Declarations!$B$6:$F$185,5,FALSE)="","NOT DECLARED",VLOOKUP($F202,Declarations!$B$6:$F$185,5,FALSE)))</f>
        <v/>
      </c>
      <c r="E202" s="112" t="str">
        <f>IF(ISNA(VLOOKUP($F202,Declarations!$B$6:$D$185,3,FALSE)),"",IF(VLOOKUP($F202,Declarations!$B$6:$D$185,3,FALSE)="","NOT DECLARED",VLOOKUP($F202,Declarations!$B$6:$D$185,3,FALSE)&amp;LEFT(VLOOKUP($F202,Declarations!$B$6:$E$185,4,FALSE))))</f>
        <v/>
      </c>
      <c r="F202" s="58"/>
      <c r="G202" s="121"/>
      <c r="H202" s="121"/>
      <c r="I202" s="114" t="str">
        <f>IF(ISNA(VLOOKUP(F202,Declarations!B$6:C$185,2,FALSE)),"",IF(VLOOKUP(F202,Declarations!B$6:C$185,2,FALSE)="","NOT DECLARED",VLOOKUP(F202,Declarations!B$6:C$185,2,FALSE)))</f>
        <v/>
      </c>
      <c r="J202" s="112">
        <f>IF(LOWER(LEFT(G202,1))="n",1,VLOOKUP(G202,ScoringTable!D$2:I$95,6))</f>
        <v>0</v>
      </c>
      <c r="K202" s="112" t="str">
        <f>IF(OR(E202="",G202=""),"",IF(RIGHT(E202,1)="G",_xlfn.XLOOKUP(G202,Data!$D$14:$L$14,Data!$D$9:$L$9,"",-1,1),_xlfn.XLOOKUP(G202,Data!$D$7:$L$7,Data!$D$2:$L$2,"",-1,1)))</f>
        <v/>
      </c>
      <c r="L202" s="160" t="str" cm="1">
        <f t="array" ref="L202">IFERROR(_xlfn.IFNA(
                      _xlfn.IFS(
                      G202="", "",
                      AND(E202="U12B",G202&gt;=Data!$M$7), "U12 Boys record",
                      AND(E202="U12G",G202&gt;=Data!$M$14), "U12 Girls record"
                       ),""), "")</f>
        <v/>
      </c>
      <c r="M202" s="18" cm="1">
        <f t="array" ref="M202">_xlfn.IFS($G202="",0, AND(NOT(ISNUMBER($G202)),LOWER(LEFT($G202,1))&lt;&gt;"n"),"Not a valid distance",OR(LOWER(LEFT($G202,1))="n",$G202&lt;ScoringTable!$O$161),1,RIGHT($E202,1)="B",_xlfn.XLOOKUP($G202,ScoringTable!$O$2:$O$161,ScoringTable!$L$2:$L$161,,-1),TRUE,_xlfn.XLOOKUP($G202,ScoringTable!$U$2:$U$161,ScoringTable!$R$2:$R$161,,-1))</f>
        <v>0</v>
      </c>
    </row>
    <row r="203" spans="1:13" s="7" customFormat="1" ht="16.05" customHeight="1">
      <c r="A203" s="113" t="s">
        <v>99</v>
      </c>
      <c r="B203" s="114" t="str">
        <f>IF(ISNA(VLOOKUP($F203,Declarations!B$6:C$185,2,FALSE)),"",IF(VLOOKUP($F203,Declarations!B$6:C$185,2,FALSE)="","NOT DECLARED",IF(ISNA(_xlfn.TEXTBEFORE(VLOOKUP($F203,Declarations!B$6:C$185,2,FALSE)," ")),VLOOKUP($F203,Declarations!B$6:C$185,2,FALSE),_xlfn.TEXTBEFORE(VLOOKUP($F203,Declarations!B$6:C$185,2,FALSE)," "))))</f>
        <v/>
      </c>
      <c r="C203" s="114" t="str">
        <f>IF(ISNA(VLOOKUP($F203,Declarations!B$6:C$185,2,FALSE)),"",IF(VLOOKUP($F203,Declarations!B$6:C$185,2,FALSE)="","NOT DECLARED",IF(ISNA(_xlfn.TEXTAFTER(VLOOKUP($F203,Declarations!B$6:C$185,2,FALSE)," ")),VLOOKUP($F203,Declarations!B$6:C$185,2,FALSE),_xlfn.TEXTAFTER(VLOOKUP($F203,Declarations!B$6:C$185,2,FALSE)," "))))</f>
        <v/>
      </c>
      <c r="D203" s="114" t="str">
        <f>IF(ISNA(VLOOKUP($F203,Declarations!$B$6:$F$185,5,FALSE)),"",IF(VLOOKUP($F203,Declarations!$B$6:$F$185,5,FALSE)="","NOT DECLARED",VLOOKUP($F203,Declarations!$B$6:$F$185,5,FALSE)))</f>
        <v/>
      </c>
      <c r="E203" s="112" t="str">
        <f>IF(ISNA(VLOOKUP($F203,Declarations!$B$6:$D$185,3,FALSE)),"",IF(VLOOKUP($F203,Declarations!$B$6:$D$185,3,FALSE)="","NOT DECLARED",VLOOKUP($F203,Declarations!$B$6:$D$185,3,FALSE)&amp;LEFT(VLOOKUP($F203,Declarations!$B$6:$E$185,4,FALSE))))</f>
        <v/>
      </c>
      <c r="F203" s="58"/>
      <c r="G203" s="121"/>
      <c r="H203" s="121"/>
      <c r="I203" s="114" t="str">
        <f>IF(ISNA(VLOOKUP(F203,Declarations!B$6:C$185,2,FALSE)),"",IF(VLOOKUP(F203,Declarations!B$6:C$185,2,FALSE)="","NOT DECLARED",VLOOKUP(F203,Declarations!B$6:C$185,2,FALSE)))</f>
        <v/>
      </c>
      <c r="J203" s="112">
        <f>IF(LOWER(LEFT(G203,1))="n",1,VLOOKUP(G203,ScoringTable!D$2:I$95,6))</f>
        <v>0</v>
      </c>
      <c r="K203" s="112" t="str">
        <f>IF(OR(E203="",G203=""),"",IF(RIGHT(E203,1)="G",_xlfn.XLOOKUP(G203,Data!$D$14:$L$14,Data!$D$9:$L$9,"",-1,1),_xlfn.XLOOKUP(G203,Data!$D$7:$L$7,Data!$D$2:$L$2,"",-1,1)))</f>
        <v/>
      </c>
      <c r="L203" s="160" t="str" cm="1">
        <f t="array" ref="L203">IFERROR(_xlfn.IFNA(
                      _xlfn.IFS(
                      G203="", "",
                      AND(E203="U12B",G203&gt;=Data!$M$7), "U12 Boys record",
                      AND(E203="U12G",G203&gt;=Data!$M$14), "U12 Girls record"
                       ),""), "")</f>
        <v/>
      </c>
      <c r="M203" s="18" cm="1">
        <f t="array" ref="M203">_xlfn.IFS($G203="",0, AND(NOT(ISNUMBER($G203)),LOWER(LEFT($G203,1))&lt;&gt;"n"),"Not a valid distance",OR(LOWER(LEFT($G203,1))="n",$G203&lt;ScoringTable!$O$161),1,RIGHT($E203,1)="B",_xlfn.XLOOKUP($G203,ScoringTable!$O$2:$O$161,ScoringTable!$L$2:$L$161,,-1),TRUE,_xlfn.XLOOKUP($G203,ScoringTable!$U$2:$U$161,ScoringTable!$R$2:$R$161,,-1))</f>
        <v>0</v>
      </c>
    </row>
    <row r="204" spans="1:13" s="7" customFormat="1" ht="16.05" customHeight="1">
      <c r="A204" s="113" t="s">
        <v>99</v>
      </c>
      <c r="B204" s="114" t="str">
        <f>IF(ISNA(VLOOKUP($F204,Declarations!B$6:C$185,2,FALSE)),"",IF(VLOOKUP($F204,Declarations!B$6:C$185,2,FALSE)="","NOT DECLARED",IF(ISNA(_xlfn.TEXTBEFORE(VLOOKUP($F204,Declarations!B$6:C$185,2,FALSE)," ")),VLOOKUP($F204,Declarations!B$6:C$185,2,FALSE),_xlfn.TEXTBEFORE(VLOOKUP($F204,Declarations!B$6:C$185,2,FALSE)," "))))</f>
        <v/>
      </c>
      <c r="C204" s="114" t="str">
        <f>IF(ISNA(VLOOKUP($F204,Declarations!B$6:C$185,2,FALSE)),"",IF(VLOOKUP($F204,Declarations!B$6:C$185,2,FALSE)="","NOT DECLARED",IF(ISNA(_xlfn.TEXTAFTER(VLOOKUP($F204,Declarations!B$6:C$185,2,FALSE)," ")),VLOOKUP($F204,Declarations!B$6:C$185,2,FALSE),_xlfn.TEXTAFTER(VLOOKUP($F204,Declarations!B$6:C$185,2,FALSE)," "))))</f>
        <v/>
      </c>
      <c r="D204" s="114" t="str">
        <f>IF(ISNA(VLOOKUP($F204,Declarations!$B$6:$F$185,5,FALSE)),"",IF(VLOOKUP($F204,Declarations!$B$6:$F$185,5,FALSE)="","NOT DECLARED",VLOOKUP($F204,Declarations!$B$6:$F$185,5,FALSE)))</f>
        <v/>
      </c>
      <c r="E204" s="112" t="str">
        <f>IF(ISNA(VLOOKUP($F204,Declarations!$B$6:$D$185,3,FALSE)),"",IF(VLOOKUP($F204,Declarations!$B$6:$D$185,3,FALSE)="","NOT DECLARED",VLOOKUP($F204,Declarations!$B$6:$D$185,3,FALSE)&amp;LEFT(VLOOKUP($F204,Declarations!$B$6:$E$185,4,FALSE))))</f>
        <v/>
      </c>
      <c r="F204" s="58"/>
      <c r="G204" s="121"/>
      <c r="H204" s="121"/>
      <c r="I204" s="114" t="str">
        <f>IF(ISNA(VLOOKUP(F204,Declarations!B$6:C$185,2,FALSE)),"",IF(VLOOKUP(F204,Declarations!B$6:C$185,2,FALSE)="","NOT DECLARED",VLOOKUP(F204,Declarations!B$6:C$185,2,FALSE)))</f>
        <v/>
      </c>
      <c r="J204" s="112">
        <f>IF(LOWER(LEFT(G204,1))="n",1,VLOOKUP(G204,ScoringTable!D$2:I$95,6))</f>
        <v>0</v>
      </c>
      <c r="K204" s="112" t="str">
        <f>IF(OR(E204="",G204=""),"",IF(RIGHT(E204,1)="G",_xlfn.XLOOKUP(G204,Data!$D$14:$L$14,Data!$D$9:$L$9,"",-1,1),_xlfn.XLOOKUP(G204,Data!$D$7:$L$7,Data!$D$2:$L$2,"",-1,1)))</f>
        <v/>
      </c>
      <c r="L204" s="160" t="str" cm="1">
        <f t="array" ref="L204">IFERROR(_xlfn.IFNA(
                      _xlfn.IFS(
                      G204="", "",
                      AND(E204="U12B",G204&gt;=Data!$M$7), "U12 Boys record",
                      AND(E204="U12G",G204&gt;=Data!$M$14), "U12 Girls record"
                       ),""), "")</f>
        <v/>
      </c>
      <c r="M204" s="18" cm="1">
        <f t="array" ref="M204">_xlfn.IFS($G204="",0, AND(NOT(ISNUMBER($G204)),LOWER(LEFT($G204,1))&lt;&gt;"n"),"Not a valid distance",OR(LOWER(LEFT($G204,1))="n",$G204&lt;ScoringTable!$O$161),1,RIGHT($E204,1)="B",_xlfn.XLOOKUP($G204,ScoringTable!$O$2:$O$161,ScoringTable!$L$2:$L$161,,-1),TRUE,_xlfn.XLOOKUP($G204,ScoringTable!$U$2:$U$161,ScoringTable!$R$2:$R$161,,-1))</f>
        <v>0</v>
      </c>
    </row>
    <row r="205" spans="1:13" s="7" customFormat="1" ht="16.05" customHeight="1">
      <c r="A205" s="113" t="s">
        <v>99</v>
      </c>
      <c r="B205" s="114" t="str">
        <f>IF(ISNA(VLOOKUP($F205,Declarations!B$6:C$185,2,FALSE)),"",IF(VLOOKUP($F205,Declarations!B$6:C$185,2,FALSE)="","NOT DECLARED",IF(ISNA(_xlfn.TEXTBEFORE(VLOOKUP($F205,Declarations!B$6:C$185,2,FALSE)," ")),VLOOKUP($F205,Declarations!B$6:C$185,2,FALSE),_xlfn.TEXTBEFORE(VLOOKUP($F205,Declarations!B$6:C$185,2,FALSE)," "))))</f>
        <v/>
      </c>
      <c r="C205" s="114" t="str">
        <f>IF(ISNA(VLOOKUP($F205,Declarations!B$6:C$185,2,FALSE)),"",IF(VLOOKUP($F205,Declarations!B$6:C$185,2,FALSE)="","NOT DECLARED",IF(ISNA(_xlfn.TEXTAFTER(VLOOKUP($F205,Declarations!B$6:C$185,2,FALSE)," ")),VLOOKUP($F205,Declarations!B$6:C$185,2,FALSE),_xlfn.TEXTAFTER(VLOOKUP($F205,Declarations!B$6:C$185,2,FALSE)," "))))</f>
        <v/>
      </c>
      <c r="D205" s="114" t="str">
        <f>IF(ISNA(VLOOKUP($F205,Declarations!$B$6:$F$185,5,FALSE)),"",IF(VLOOKUP($F205,Declarations!$B$6:$F$185,5,FALSE)="","NOT DECLARED",VLOOKUP($F205,Declarations!$B$6:$F$185,5,FALSE)))</f>
        <v/>
      </c>
      <c r="E205" s="112" t="str">
        <f>IF(ISNA(VLOOKUP($F205,Declarations!$B$6:$D$185,3,FALSE)),"",IF(VLOOKUP($F205,Declarations!$B$6:$D$185,3,FALSE)="","NOT DECLARED",VLOOKUP($F205,Declarations!$B$6:$D$185,3,FALSE)&amp;LEFT(VLOOKUP($F205,Declarations!$B$6:$E$185,4,FALSE))))</f>
        <v/>
      </c>
      <c r="F205" s="58"/>
      <c r="G205" s="121"/>
      <c r="H205" s="121"/>
      <c r="I205" s="114" t="str">
        <f>IF(ISNA(VLOOKUP(F205,Declarations!B$6:C$185,2,FALSE)),"",IF(VLOOKUP(F205,Declarations!B$6:C$185,2,FALSE)="","NOT DECLARED",VLOOKUP(F205,Declarations!B$6:C$185,2,FALSE)))</f>
        <v/>
      </c>
      <c r="J205" s="112">
        <f>IF(LOWER(LEFT(G205,1))="n",1,VLOOKUP(G205,ScoringTable!D$2:I$95,6))</f>
        <v>0</v>
      </c>
      <c r="K205" s="112" t="str">
        <f>IF(OR(E205="",G205=""),"",IF(RIGHT(E205,1)="G",_xlfn.XLOOKUP(G205,Data!$D$14:$L$14,Data!$D$9:$L$9,"",-1,1),_xlfn.XLOOKUP(G205,Data!$D$7:$L$7,Data!$D$2:$L$2,"",-1,1)))</f>
        <v/>
      </c>
      <c r="L205" s="160" t="str" cm="1">
        <f t="array" ref="L205">IFERROR(_xlfn.IFNA(
                      _xlfn.IFS(
                      G205="", "",
                      AND(E205="U12B",G205&gt;=Data!$M$7), "U12 Boys record",
                      AND(E205="U12G",G205&gt;=Data!$M$14), "U12 Girls record"
                       ),""), "")</f>
        <v/>
      </c>
      <c r="M205" s="18" cm="1">
        <f t="array" ref="M205">_xlfn.IFS($G205="",0, AND(NOT(ISNUMBER($G205)),LOWER(LEFT($G205,1))&lt;&gt;"n"),"Not a valid distance",OR(LOWER(LEFT($G205,1))="n",$G205&lt;ScoringTable!$O$161),1,RIGHT($E205,1)="B",_xlfn.XLOOKUP($G205,ScoringTable!$O$2:$O$161,ScoringTable!$L$2:$L$161,,-1),TRUE,_xlfn.XLOOKUP($G205,ScoringTable!$U$2:$U$161,ScoringTable!$R$2:$R$161,,-1))</f>
        <v>0</v>
      </c>
    </row>
    <row r="206" spans="1:13" s="7" customFormat="1" ht="16.05" customHeight="1">
      <c r="A206" s="113" t="s">
        <v>99</v>
      </c>
      <c r="B206" s="114" t="str">
        <f>IF(ISNA(VLOOKUP($F206,Declarations!B$6:C$185,2,FALSE)),"",IF(VLOOKUP($F206,Declarations!B$6:C$185,2,FALSE)="","NOT DECLARED",IF(ISNA(_xlfn.TEXTBEFORE(VLOOKUP($F206,Declarations!B$6:C$185,2,FALSE)," ")),VLOOKUP($F206,Declarations!B$6:C$185,2,FALSE),_xlfn.TEXTBEFORE(VLOOKUP($F206,Declarations!B$6:C$185,2,FALSE)," "))))</f>
        <v/>
      </c>
      <c r="C206" s="114" t="str">
        <f>IF(ISNA(VLOOKUP($F206,Declarations!B$6:C$185,2,FALSE)),"",IF(VLOOKUP($F206,Declarations!B$6:C$185,2,FALSE)="","NOT DECLARED",IF(ISNA(_xlfn.TEXTAFTER(VLOOKUP($F206,Declarations!B$6:C$185,2,FALSE)," ")),VLOOKUP($F206,Declarations!B$6:C$185,2,FALSE),_xlfn.TEXTAFTER(VLOOKUP($F206,Declarations!B$6:C$185,2,FALSE)," "))))</f>
        <v/>
      </c>
      <c r="D206" s="114" t="str">
        <f>IF(ISNA(VLOOKUP($F206,Declarations!$B$6:$F$185,5,FALSE)),"",IF(VLOOKUP($F206,Declarations!$B$6:$F$185,5,FALSE)="","NOT DECLARED",VLOOKUP($F206,Declarations!$B$6:$F$185,5,FALSE)))</f>
        <v/>
      </c>
      <c r="E206" s="112" t="str">
        <f>IF(ISNA(VLOOKUP($F206,Declarations!$B$6:$D$185,3,FALSE)),"",IF(VLOOKUP($F206,Declarations!$B$6:$D$185,3,FALSE)="","NOT DECLARED",VLOOKUP($F206,Declarations!$B$6:$D$185,3,FALSE)&amp;LEFT(VLOOKUP($F206,Declarations!$B$6:$E$185,4,FALSE))))</f>
        <v/>
      </c>
      <c r="F206" s="58"/>
      <c r="G206" s="121"/>
      <c r="H206" s="121"/>
      <c r="I206" s="114" t="str">
        <f>IF(ISNA(VLOOKUP(F206,Declarations!B$6:C$185,2,FALSE)),"",IF(VLOOKUP(F206,Declarations!B$6:C$185,2,FALSE)="","NOT DECLARED",VLOOKUP(F206,Declarations!B$6:C$185,2,FALSE)))</f>
        <v/>
      </c>
      <c r="J206" s="112">
        <f>IF(LOWER(LEFT(G206,1))="n",1,VLOOKUP(G206,ScoringTable!D$2:I$95,6))</f>
        <v>0</v>
      </c>
      <c r="K206" s="112" t="str">
        <f>IF(OR(E206="",G206=""),"",IF(RIGHT(E206,1)="G",_xlfn.XLOOKUP(G206,Data!$D$14:$L$14,Data!$D$9:$L$9,"",-1,1),_xlfn.XLOOKUP(G206,Data!$D$7:$L$7,Data!$D$2:$L$2,"",-1,1)))</f>
        <v/>
      </c>
      <c r="L206" s="160" t="str" cm="1">
        <f t="array" ref="L206">IFERROR(_xlfn.IFNA(
                      _xlfn.IFS(
                      G206="", "",
                      AND(E206="U12B",G206&gt;=Data!$M$7), "U12 Boys record",
                      AND(E206="U12G",G206&gt;=Data!$M$14), "U12 Girls record"
                       ),""), "")</f>
        <v/>
      </c>
      <c r="M206" s="18" cm="1">
        <f t="array" ref="M206">_xlfn.IFS($G206="",0, AND(NOT(ISNUMBER($G206)),LOWER(LEFT($G206,1))&lt;&gt;"n"),"Not a valid distance",OR(LOWER(LEFT($G206,1))="n",$G206&lt;ScoringTable!$O$161),1,RIGHT($E206,1)="B",_xlfn.XLOOKUP($G206,ScoringTable!$O$2:$O$161,ScoringTable!$L$2:$L$161,,-1),TRUE,_xlfn.XLOOKUP($G206,ScoringTable!$U$2:$U$161,ScoringTable!$R$2:$R$161,,-1))</f>
        <v>0</v>
      </c>
    </row>
    <row r="207" spans="1:13" s="7" customFormat="1" ht="16.05" customHeight="1">
      <c r="A207" s="113" t="s">
        <v>99</v>
      </c>
      <c r="B207" s="114" t="str">
        <f>IF(ISNA(VLOOKUP($F207,Declarations!B$6:C$185,2,FALSE)),"",IF(VLOOKUP($F207,Declarations!B$6:C$185,2,FALSE)="","NOT DECLARED",IF(ISNA(_xlfn.TEXTBEFORE(VLOOKUP($F207,Declarations!B$6:C$185,2,FALSE)," ")),VLOOKUP($F207,Declarations!B$6:C$185,2,FALSE),_xlfn.TEXTBEFORE(VLOOKUP($F207,Declarations!B$6:C$185,2,FALSE)," "))))</f>
        <v/>
      </c>
      <c r="C207" s="114" t="str">
        <f>IF(ISNA(VLOOKUP($F207,Declarations!B$6:C$185,2,FALSE)),"",IF(VLOOKUP($F207,Declarations!B$6:C$185,2,FALSE)="","NOT DECLARED",IF(ISNA(_xlfn.TEXTAFTER(VLOOKUP($F207,Declarations!B$6:C$185,2,FALSE)," ")),VLOOKUP($F207,Declarations!B$6:C$185,2,FALSE),_xlfn.TEXTAFTER(VLOOKUP($F207,Declarations!B$6:C$185,2,FALSE)," "))))</f>
        <v/>
      </c>
      <c r="D207" s="114" t="str">
        <f>IF(ISNA(VLOOKUP($F207,Declarations!$B$6:$F$185,5,FALSE)),"",IF(VLOOKUP($F207,Declarations!$B$6:$F$185,5,FALSE)="","NOT DECLARED",VLOOKUP($F207,Declarations!$B$6:$F$185,5,FALSE)))</f>
        <v/>
      </c>
      <c r="E207" s="112" t="str">
        <f>IF(ISNA(VLOOKUP($F207,Declarations!$B$6:$D$185,3,FALSE)),"",IF(VLOOKUP($F207,Declarations!$B$6:$D$185,3,FALSE)="","NOT DECLARED",VLOOKUP($F207,Declarations!$B$6:$D$185,3,FALSE)&amp;LEFT(VLOOKUP($F207,Declarations!$B$6:$E$185,4,FALSE))))</f>
        <v/>
      </c>
      <c r="F207" s="58"/>
      <c r="G207" s="121"/>
      <c r="H207" s="121"/>
      <c r="I207" s="114" t="str">
        <f>IF(ISNA(VLOOKUP(F207,Declarations!B$6:C$185,2,FALSE)),"",IF(VLOOKUP(F207,Declarations!B$6:C$185,2,FALSE)="","NOT DECLARED",VLOOKUP(F207,Declarations!B$6:C$185,2,FALSE)))</f>
        <v/>
      </c>
      <c r="J207" s="112">
        <f>IF(LOWER(LEFT(G207,1))="n",1,VLOOKUP(G207,ScoringTable!D$2:I$95,6))</f>
        <v>0</v>
      </c>
      <c r="K207" s="112" t="str">
        <f>IF(OR(E207="",G207=""),"",IF(RIGHT(E207,1)="G",_xlfn.XLOOKUP(G207,Data!$D$14:$L$14,Data!$D$9:$L$9,"",-1,1),_xlfn.XLOOKUP(G207,Data!$D$7:$L$7,Data!$D$2:$L$2,"",-1,1)))</f>
        <v/>
      </c>
      <c r="L207" s="160" t="str" cm="1">
        <f t="array" ref="L207">IFERROR(_xlfn.IFNA(
                      _xlfn.IFS(
                      G207="", "",
                      AND(E207="U12B",G207&gt;=Data!$M$7), "U12 Boys record",
                      AND(E207="U12G",G207&gt;=Data!$M$14), "U12 Girls record"
                       ),""), "")</f>
        <v/>
      </c>
      <c r="M207" s="18" cm="1">
        <f t="array" ref="M207">_xlfn.IFS($G207="",0, AND(NOT(ISNUMBER($G207)),LOWER(LEFT($G207,1))&lt;&gt;"n"),"Not a valid distance",OR(LOWER(LEFT($G207,1))="n",$G207&lt;ScoringTable!$O$161),1,RIGHT($E207,1)="B",_xlfn.XLOOKUP($G207,ScoringTable!$O$2:$O$161,ScoringTable!$L$2:$L$161,,-1),TRUE,_xlfn.XLOOKUP($G207,ScoringTable!$U$2:$U$161,ScoringTable!$R$2:$R$161,,-1))</f>
        <v>0</v>
      </c>
    </row>
    <row r="208" spans="1:13" s="7" customFormat="1" ht="16.05" customHeight="1">
      <c r="A208" s="113" t="s">
        <v>99</v>
      </c>
      <c r="B208" s="114" t="str">
        <f>IF(ISNA(VLOOKUP($F208,Declarations!B$6:C$185,2,FALSE)),"",IF(VLOOKUP($F208,Declarations!B$6:C$185,2,FALSE)="","NOT DECLARED",IF(ISNA(_xlfn.TEXTBEFORE(VLOOKUP($F208,Declarations!B$6:C$185,2,FALSE)," ")),VLOOKUP($F208,Declarations!B$6:C$185,2,FALSE),_xlfn.TEXTBEFORE(VLOOKUP($F208,Declarations!B$6:C$185,2,FALSE)," "))))</f>
        <v/>
      </c>
      <c r="C208" s="114" t="str">
        <f>IF(ISNA(VLOOKUP($F208,Declarations!B$6:C$185,2,FALSE)),"",IF(VLOOKUP($F208,Declarations!B$6:C$185,2,FALSE)="","NOT DECLARED",IF(ISNA(_xlfn.TEXTAFTER(VLOOKUP($F208,Declarations!B$6:C$185,2,FALSE)," ")),VLOOKUP($F208,Declarations!B$6:C$185,2,FALSE),_xlfn.TEXTAFTER(VLOOKUP($F208,Declarations!B$6:C$185,2,FALSE)," "))))</f>
        <v/>
      </c>
      <c r="D208" s="114" t="str">
        <f>IF(ISNA(VLOOKUP($F208,Declarations!$B$6:$F$185,5,FALSE)),"",IF(VLOOKUP($F208,Declarations!$B$6:$F$185,5,FALSE)="","NOT DECLARED",VLOOKUP($F208,Declarations!$B$6:$F$185,5,FALSE)))</f>
        <v/>
      </c>
      <c r="E208" s="112" t="str">
        <f>IF(ISNA(VLOOKUP($F208,Declarations!$B$6:$D$185,3,FALSE)),"",IF(VLOOKUP($F208,Declarations!$B$6:$D$185,3,FALSE)="","NOT DECLARED",VLOOKUP($F208,Declarations!$B$6:$D$185,3,FALSE)&amp;LEFT(VLOOKUP($F208,Declarations!$B$6:$E$185,4,FALSE))))</f>
        <v/>
      </c>
      <c r="F208" s="58"/>
      <c r="G208" s="121"/>
      <c r="H208" s="121"/>
      <c r="I208" s="114" t="str">
        <f>IF(ISNA(VLOOKUP(F208,Declarations!B$6:C$185,2,FALSE)),"",IF(VLOOKUP(F208,Declarations!B$6:C$185,2,FALSE)="","NOT DECLARED",VLOOKUP(F208,Declarations!B$6:C$185,2,FALSE)))</f>
        <v/>
      </c>
      <c r="J208" s="112">
        <f>IF(LOWER(LEFT(G208,1))="n",1,VLOOKUP(G208,ScoringTable!D$2:I$95,6))</f>
        <v>0</v>
      </c>
      <c r="K208" s="112" t="str">
        <f>IF(OR(E208="",G208=""),"",IF(RIGHT(E208,1)="G",_xlfn.XLOOKUP(G208,Data!$D$14:$L$14,Data!$D$9:$L$9,"",-1,1),_xlfn.XLOOKUP(G208,Data!$D$7:$L$7,Data!$D$2:$L$2,"",-1,1)))</f>
        <v/>
      </c>
      <c r="L208" s="160" t="str" cm="1">
        <f t="array" ref="L208">IFERROR(_xlfn.IFNA(
                      _xlfn.IFS(
                      G208="", "",
                      AND(E208="U12B",G208&gt;=Data!$M$7), "U12 Boys record",
                      AND(E208="U12G",G208&gt;=Data!$M$14), "U12 Girls record"
                       ),""), "")</f>
        <v/>
      </c>
      <c r="M208" s="18" cm="1">
        <f t="array" ref="M208">_xlfn.IFS($G208="",0, AND(NOT(ISNUMBER($G208)),LOWER(LEFT($G208,1))&lt;&gt;"n"),"Not a valid distance",OR(LOWER(LEFT($G208,1))="n",$G208&lt;ScoringTable!$O$161),1,RIGHT($E208,1)="B",_xlfn.XLOOKUP($G208,ScoringTable!$O$2:$O$161,ScoringTable!$L$2:$L$161,,-1),TRUE,_xlfn.XLOOKUP($G208,ScoringTable!$U$2:$U$161,ScoringTable!$R$2:$R$161,,-1))</f>
        <v>0</v>
      </c>
    </row>
    <row r="209" spans="1:13" s="7" customFormat="1" ht="16.05" customHeight="1">
      <c r="A209" s="113" t="s">
        <v>99</v>
      </c>
      <c r="B209" s="114" t="str">
        <f>IF(ISNA(VLOOKUP($F209,Declarations!B$6:C$185,2,FALSE)),"",IF(VLOOKUP($F209,Declarations!B$6:C$185,2,FALSE)="","NOT DECLARED",IF(ISNA(_xlfn.TEXTBEFORE(VLOOKUP($F209,Declarations!B$6:C$185,2,FALSE)," ")),VLOOKUP($F209,Declarations!B$6:C$185,2,FALSE),_xlfn.TEXTBEFORE(VLOOKUP($F209,Declarations!B$6:C$185,2,FALSE)," "))))</f>
        <v/>
      </c>
      <c r="C209" s="114" t="str">
        <f>IF(ISNA(VLOOKUP($F209,Declarations!B$6:C$185,2,FALSE)),"",IF(VLOOKUP($F209,Declarations!B$6:C$185,2,FALSE)="","NOT DECLARED",IF(ISNA(_xlfn.TEXTAFTER(VLOOKUP($F209,Declarations!B$6:C$185,2,FALSE)," ")),VLOOKUP($F209,Declarations!B$6:C$185,2,FALSE),_xlfn.TEXTAFTER(VLOOKUP($F209,Declarations!B$6:C$185,2,FALSE)," "))))</f>
        <v/>
      </c>
      <c r="D209" s="114" t="str">
        <f>IF(ISNA(VLOOKUP($F209,Declarations!$B$6:$F$185,5,FALSE)),"",IF(VLOOKUP($F209,Declarations!$B$6:$F$185,5,FALSE)="","NOT DECLARED",VLOOKUP($F209,Declarations!$B$6:$F$185,5,FALSE)))</f>
        <v/>
      </c>
      <c r="E209" s="112" t="str">
        <f>IF(ISNA(VLOOKUP($F209,Declarations!$B$6:$D$185,3,FALSE)),"",IF(VLOOKUP($F209,Declarations!$B$6:$D$185,3,FALSE)="","NOT DECLARED",VLOOKUP($F209,Declarations!$B$6:$D$185,3,FALSE)&amp;LEFT(VLOOKUP($F209,Declarations!$B$6:$E$185,4,FALSE))))</f>
        <v/>
      </c>
      <c r="F209" s="58"/>
      <c r="G209" s="121"/>
      <c r="H209" s="121"/>
      <c r="I209" s="114" t="str">
        <f>IF(ISNA(VLOOKUP(F209,Declarations!B$6:C$185,2,FALSE)),"",IF(VLOOKUP(F209,Declarations!B$6:C$185,2,FALSE)="","NOT DECLARED",VLOOKUP(F209,Declarations!B$6:C$185,2,FALSE)))</f>
        <v/>
      </c>
      <c r="J209" s="112">
        <f>IF(LOWER(LEFT(G209,1))="n",1,VLOOKUP(G209,ScoringTable!D$2:I$95,6))</f>
        <v>0</v>
      </c>
      <c r="K209" s="112" t="str">
        <f>IF(OR(E209="",G209=""),"",IF(RIGHT(E209,1)="G",_xlfn.XLOOKUP(G209,Data!$D$14:$L$14,Data!$D$9:$L$9,"",-1,1),_xlfn.XLOOKUP(G209,Data!$D$7:$L$7,Data!$D$2:$L$2,"",-1,1)))</f>
        <v/>
      </c>
      <c r="L209" s="160" t="str" cm="1">
        <f t="array" ref="L209">IFERROR(_xlfn.IFNA(
                      _xlfn.IFS(
                      G209="", "",
                      AND(E209="U12B",G209&gt;=Data!$M$7), "U12 Boys record",
                      AND(E209="U12G",G209&gt;=Data!$M$14), "U12 Girls record"
                       ),""), "")</f>
        <v/>
      </c>
      <c r="M209" s="18" cm="1">
        <f t="array" ref="M209">_xlfn.IFS($G209="",0, AND(NOT(ISNUMBER($G209)),LOWER(LEFT($G209,1))&lt;&gt;"n"),"Not a valid distance",OR(LOWER(LEFT($G209,1))="n",$G209&lt;ScoringTable!$O$161),1,RIGHT($E209,1)="B",_xlfn.XLOOKUP($G209,ScoringTable!$O$2:$O$161,ScoringTable!$L$2:$L$161,,-1),TRUE,_xlfn.XLOOKUP($G209,ScoringTable!$U$2:$U$161,ScoringTable!$R$2:$R$161,,-1))</f>
        <v>0</v>
      </c>
    </row>
    <row r="210" spans="1:13" s="7" customFormat="1" ht="16.05" customHeight="1">
      <c r="A210" s="113" t="s">
        <v>99</v>
      </c>
      <c r="B210" s="114" t="str">
        <f>IF(ISNA(VLOOKUP($F210,Declarations!B$6:C$185,2,FALSE)),"",IF(VLOOKUP($F210,Declarations!B$6:C$185,2,FALSE)="","NOT DECLARED",IF(ISNA(_xlfn.TEXTBEFORE(VLOOKUP($F210,Declarations!B$6:C$185,2,FALSE)," ")),VLOOKUP($F210,Declarations!B$6:C$185,2,FALSE),_xlfn.TEXTBEFORE(VLOOKUP($F210,Declarations!B$6:C$185,2,FALSE)," "))))</f>
        <v/>
      </c>
      <c r="C210" s="114" t="str">
        <f>IF(ISNA(VLOOKUP($F210,Declarations!B$6:C$185,2,FALSE)),"",IF(VLOOKUP($F210,Declarations!B$6:C$185,2,FALSE)="","NOT DECLARED",IF(ISNA(_xlfn.TEXTAFTER(VLOOKUP($F210,Declarations!B$6:C$185,2,FALSE)," ")),VLOOKUP($F210,Declarations!B$6:C$185,2,FALSE),_xlfn.TEXTAFTER(VLOOKUP($F210,Declarations!B$6:C$185,2,FALSE)," "))))</f>
        <v/>
      </c>
      <c r="D210" s="114" t="str">
        <f>IF(ISNA(VLOOKUP($F210,Declarations!$B$6:$F$185,5,FALSE)),"",IF(VLOOKUP($F210,Declarations!$B$6:$F$185,5,FALSE)="","NOT DECLARED",VLOOKUP($F210,Declarations!$B$6:$F$185,5,FALSE)))</f>
        <v/>
      </c>
      <c r="E210" s="112" t="str">
        <f>IF(ISNA(VLOOKUP($F210,Declarations!$B$6:$D$185,3,FALSE)),"",IF(VLOOKUP($F210,Declarations!$B$6:$D$185,3,FALSE)="","NOT DECLARED",VLOOKUP($F210,Declarations!$B$6:$D$185,3,FALSE)&amp;LEFT(VLOOKUP($F210,Declarations!$B$6:$E$185,4,FALSE))))</f>
        <v/>
      </c>
      <c r="F210" s="58"/>
      <c r="G210" s="121"/>
      <c r="H210" s="121"/>
      <c r="I210" s="114" t="str">
        <f>IF(ISNA(VLOOKUP(F210,Declarations!B$6:C$185,2,FALSE)),"",IF(VLOOKUP(F210,Declarations!B$6:C$185,2,FALSE)="","NOT DECLARED",VLOOKUP(F210,Declarations!B$6:C$185,2,FALSE)))</f>
        <v/>
      </c>
      <c r="J210" s="112">
        <f>IF(LOWER(LEFT(G210,1))="n",1,VLOOKUP(G210,ScoringTable!D$2:I$95,6))</f>
        <v>0</v>
      </c>
      <c r="K210" s="112" t="str">
        <f>IF(OR(E210="",G210=""),"",IF(RIGHT(E210,1)="G",_xlfn.XLOOKUP(G210,Data!$D$14:$L$14,Data!$D$9:$L$9,"",-1,1),_xlfn.XLOOKUP(G210,Data!$D$7:$L$7,Data!$D$2:$L$2,"",-1,1)))</f>
        <v/>
      </c>
      <c r="L210" s="160" t="str" cm="1">
        <f t="array" ref="L210">IFERROR(_xlfn.IFNA(
                      _xlfn.IFS(
                      G210="", "",
                      AND(E210="U12B",G210&gt;=Data!$M$7), "U12 Boys record",
                      AND(E210="U12G",G210&gt;=Data!$M$14), "U12 Girls record"
                       ),""), "")</f>
        <v/>
      </c>
      <c r="M210" s="18" cm="1">
        <f t="array" ref="M210">_xlfn.IFS($G210="",0, AND(NOT(ISNUMBER($G210)),LOWER(LEFT($G210,1))&lt;&gt;"n"),"Not a valid distance",OR(LOWER(LEFT($G210,1))="n",$G210&lt;ScoringTable!$O$161),1,RIGHT($E210,1)="B",_xlfn.XLOOKUP($G210,ScoringTable!$O$2:$O$161,ScoringTable!$L$2:$L$161,,-1),TRUE,_xlfn.XLOOKUP($G210,ScoringTable!$U$2:$U$161,ScoringTable!$R$2:$R$161,,-1))</f>
        <v>0</v>
      </c>
    </row>
    <row r="211" spans="1:13" s="7" customFormat="1" ht="16.05" customHeight="1">
      <c r="A211" s="113" t="s">
        <v>99</v>
      </c>
      <c r="B211" s="114" t="str">
        <f>IF(ISNA(VLOOKUP($F211,Declarations!B$6:C$185,2,FALSE)),"",IF(VLOOKUP($F211,Declarations!B$6:C$185,2,FALSE)="","NOT DECLARED",IF(ISNA(_xlfn.TEXTBEFORE(VLOOKUP($F211,Declarations!B$6:C$185,2,FALSE)," ")),VLOOKUP($F211,Declarations!B$6:C$185,2,FALSE),_xlfn.TEXTBEFORE(VLOOKUP($F211,Declarations!B$6:C$185,2,FALSE)," "))))</f>
        <v/>
      </c>
      <c r="C211" s="114" t="str">
        <f>IF(ISNA(VLOOKUP($F211,Declarations!B$6:C$185,2,FALSE)),"",IF(VLOOKUP($F211,Declarations!B$6:C$185,2,FALSE)="","NOT DECLARED",IF(ISNA(_xlfn.TEXTAFTER(VLOOKUP($F211,Declarations!B$6:C$185,2,FALSE)," ")),VLOOKUP($F211,Declarations!B$6:C$185,2,FALSE),_xlfn.TEXTAFTER(VLOOKUP($F211,Declarations!B$6:C$185,2,FALSE)," "))))</f>
        <v/>
      </c>
      <c r="D211" s="114" t="str">
        <f>IF(ISNA(VLOOKUP($F211,Declarations!$B$6:$F$185,5,FALSE)),"",IF(VLOOKUP($F211,Declarations!$B$6:$F$185,5,FALSE)="","NOT DECLARED",VLOOKUP($F211,Declarations!$B$6:$F$185,5,FALSE)))</f>
        <v/>
      </c>
      <c r="E211" s="112" t="str">
        <f>IF(ISNA(VLOOKUP($F211,Declarations!$B$6:$D$185,3,FALSE)),"",IF(VLOOKUP($F211,Declarations!$B$6:$D$185,3,FALSE)="","NOT DECLARED",VLOOKUP($F211,Declarations!$B$6:$D$185,3,FALSE)&amp;LEFT(VLOOKUP($F211,Declarations!$B$6:$E$185,4,FALSE))))</f>
        <v/>
      </c>
      <c r="F211" s="58"/>
      <c r="G211" s="121"/>
      <c r="H211" s="121"/>
      <c r="I211" s="114" t="str">
        <f>IF(ISNA(VLOOKUP(F211,Declarations!B$6:C$185,2,FALSE)),"",IF(VLOOKUP(F211,Declarations!B$6:C$185,2,FALSE)="","NOT DECLARED",VLOOKUP(F211,Declarations!B$6:C$185,2,FALSE)))</f>
        <v/>
      </c>
      <c r="J211" s="112">
        <f>IF(LOWER(LEFT(G211,1))="n",1,VLOOKUP(G211,ScoringTable!D$2:I$95,6))</f>
        <v>0</v>
      </c>
      <c r="K211" s="112" t="str">
        <f>IF(OR(E211="",G211=""),"",IF(RIGHT(E211,1)="G",_xlfn.XLOOKUP(G211,Data!$D$14:$L$14,Data!$D$9:$L$9,"",-1,1),_xlfn.XLOOKUP(G211,Data!$D$7:$L$7,Data!$D$2:$L$2,"",-1,1)))</f>
        <v/>
      </c>
      <c r="L211" s="160" t="str" cm="1">
        <f t="array" ref="L211">IFERROR(_xlfn.IFNA(
                      _xlfn.IFS(
                      G211="", "",
                      AND(E211="U12B",G211&gt;=Data!$M$7), "U12 Boys record",
                      AND(E211="U12G",G211&gt;=Data!$M$14), "U12 Girls record"
                       ),""), "")</f>
        <v/>
      </c>
      <c r="M211" s="18" cm="1">
        <f t="array" ref="M211">_xlfn.IFS($G211="",0, AND(NOT(ISNUMBER($G211)),LOWER(LEFT($G211,1))&lt;&gt;"n"),"Not a valid distance",OR(LOWER(LEFT($G211,1))="n",$G211&lt;ScoringTable!$O$161),1,RIGHT($E211,1)="B",_xlfn.XLOOKUP($G211,ScoringTable!$O$2:$O$161,ScoringTable!$L$2:$L$161,,-1),TRUE,_xlfn.XLOOKUP($G211,ScoringTable!$U$2:$U$161,ScoringTable!$R$2:$R$161,,-1))</f>
        <v>0</v>
      </c>
    </row>
    <row r="212" spans="1:13" s="7" customFormat="1" ht="16.05" customHeight="1">
      <c r="A212" s="113" t="s">
        <v>99</v>
      </c>
      <c r="B212" s="114" t="str">
        <f>IF(ISNA(VLOOKUP($F212,Declarations!B$6:C$185,2,FALSE)),"",IF(VLOOKUP($F212,Declarations!B$6:C$185,2,FALSE)="","NOT DECLARED",IF(ISNA(_xlfn.TEXTBEFORE(VLOOKUP($F212,Declarations!B$6:C$185,2,FALSE)," ")),VLOOKUP($F212,Declarations!B$6:C$185,2,FALSE),_xlfn.TEXTBEFORE(VLOOKUP($F212,Declarations!B$6:C$185,2,FALSE)," "))))</f>
        <v/>
      </c>
      <c r="C212" s="114" t="str">
        <f>IF(ISNA(VLOOKUP($F212,Declarations!B$6:C$185,2,FALSE)),"",IF(VLOOKUP($F212,Declarations!B$6:C$185,2,FALSE)="","NOT DECLARED",IF(ISNA(_xlfn.TEXTAFTER(VLOOKUP($F212,Declarations!B$6:C$185,2,FALSE)," ")),VLOOKUP($F212,Declarations!B$6:C$185,2,FALSE),_xlfn.TEXTAFTER(VLOOKUP($F212,Declarations!B$6:C$185,2,FALSE)," "))))</f>
        <v/>
      </c>
      <c r="D212" s="114" t="str">
        <f>IF(ISNA(VLOOKUP($F212,Declarations!$B$6:$F$185,5,FALSE)),"",IF(VLOOKUP($F212,Declarations!$B$6:$F$185,5,FALSE)="","NOT DECLARED",VLOOKUP($F212,Declarations!$B$6:$F$185,5,FALSE)))</f>
        <v/>
      </c>
      <c r="E212" s="112" t="str">
        <f>IF(ISNA(VLOOKUP($F212,Declarations!$B$6:$D$185,3,FALSE)),"",IF(VLOOKUP($F212,Declarations!$B$6:$D$185,3,FALSE)="","NOT DECLARED",VLOOKUP($F212,Declarations!$B$6:$D$185,3,FALSE)&amp;LEFT(VLOOKUP($F212,Declarations!$B$6:$E$185,4,FALSE))))</f>
        <v/>
      </c>
      <c r="F212" s="58"/>
      <c r="G212" s="121"/>
      <c r="H212" s="121"/>
      <c r="I212" s="114" t="str">
        <f>IF(ISNA(VLOOKUP(F212,Declarations!B$6:C$185,2,FALSE)),"",IF(VLOOKUP(F212,Declarations!B$6:C$185,2,FALSE)="","NOT DECLARED",VLOOKUP(F212,Declarations!B$6:C$185,2,FALSE)))</f>
        <v/>
      </c>
      <c r="J212" s="112">
        <f>IF(LOWER(LEFT(G212,1))="n",1,VLOOKUP(G212,ScoringTable!D$2:I$95,6))</f>
        <v>0</v>
      </c>
      <c r="K212" s="112" t="str">
        <f>IF(OR(E212="",G212=""),"",IF(RIGHT(E212,1)="G",_xlfn.XLOOKUP(G212,Data!$D$14:$L$14,Data!$D$9:$L$9,"",-1,1),_xlfn.XLOOKUP(G212,Data!$D$7:$L$7,Data!$D$2:$L$2,"",-1,1)))</f>
        <v/>
      </c>
      <c r="L212" s="160" t="str" cm="1">
        <f t="array" ref="L212">IFERROR(_xlfn.IFNA(
                      _xlfn.IFS(
                      G212="", "",
                      AND(E212="U12B",G212&gt;=Data!$M$7), "U12 Boys record",
                      AND(E212="U12G",G212&gt;=Data!$M$14), "U12 Girls record"
                       ),""), "")</f>
        <v/>
      </c>
      <c r="M212" s="18" cm="1">
        <f t="array" ref="M212">_xlfn.IFS($G212="",0, AND(NOT(ISNUMBER($G212)),LOWER(LEFT($G212,1))&lt;&gt;"n"),"Not a valid distance",OR(LOWER(LEFT($G212,1))="n",$G212&lt;ScoringTable!$O$161),1,RIGHT($E212,1)="B",_xlfn.XLOOKUP($G212,ScoringTable!$O$2:$O$161,ScoringTable!$L$2:$L$161,,-1),TRUE,_xlfn.XLOOKUP($G212,ScoringTable!$U$2:$U$161,ScoringTable!$R$2:$R$161,,-1))</f>
        <v>0</v>
      </c>
    </row>
    <row r="213" spans="1:13" s="7" customFormat="1" ht="16.05" customHeight="1">
      <c r="A213" s="113" t="s">
        <v>99</v>
      </c>
      <c r="B213" s="114" t="str">
        <f>IF(ISNA(VLOOKUP($F213,Declarations!B$6:C$185,2,FALSE)),"",IF(VLOOKUP($F213,Declarations!B$6:C$185,2,FALSE)="","NOT DECLARED",IF(ISNA(_xlfn.TEXTBEFORE(VLOOKUP($F213,Declarations!B$6:C$185,2,FALSE)," ")),VLOOKUP($F213,Declarations!B$6:C$185,2,FALSE),_xlfn.TEXTBEFORE(VLOOKUP($F213,Declarations!B$6:C$185,2,FALSE)," "))))</f>
        <v/>
      </c>
      <c r="C213" s="114" t="str">
        <f>IF(ISNA(VLOOKUP($F213,Declarations!B$6:C$185,2,FALSE)),"",IF(VLOOKUP($F213,Declarations!B$6:C$185,2,FALSE)="","NOT DECLARED",IF(ISNA(_xlfn.TEXTAFTER(VLOOKUP($F213,Declarations!B$6:C$185,2,FALSE)," ")),VLOOKUP($F213,Declarations!B$6:C$185,2,FALSE),_xlfn.TEXTAFTER(VLOOKUP($F213,Declarations!B$6:C$185,2,FALSE)," "))))</f>
        <v/>
      </c>
      <c r="D213" s="114" t="str">
        <f>IF(ISNA(VLOOKUP($F213,Declarations!$B$6:$F$185,5,FALSE)),"",IF(VLOOKUP($F213,Declarations!$B$6:$F$185,5,FALSE)="","NOT DECLARED",VLOOKUP($F213,Declarations!$B$6:$F$185,5,FALSE)))</f>
        <v/>
      </c>
      <c r="E213" s="112" t="str">
        <f>IF(ISNA(VLOOKUP($F213,Declarations!$B$6:$D$185,3,FALSE)),"",IF(VLOOKUP($F213,Declarations!$B$6:$D$185,3,FALSE)="","NOT DECLARED",VLOOKUP($F213,Declarations!$B$6:$D$185,3,FALSE)&amp;LEFT(VLOOKUP($F213,Declarations!$B$6:$E$185,4,FALSE))))</f>
        <v/>
      </c>
      <c r="F213" s="58"/>
      <c r="G213" s="121"/>
      <c r="H213" s="121"/>
      <c r="I213" s="114" t="str">
        <f>IF(ISNA(VLOOKUP(F213,Declarations!B$6:C$185,2,FALSE)),"",IF(VLOOKUP(F213,Declarations!B$6:C$185,2,FALSE)="","NOT DECLARED",VLOOKUP(F213,Declarations!B$6:C$185,2,FALSE)))</f>
        <v/>
      </c>
      <c r="J213" s="112">
        <f>IF(LOWER(LEFT(G213,1))="n",1,VLOOKUP(G213,ScoringTable!D$2:I$95,6))</f>
        <v>0</v>
      </c>
      <c r="K213" s="112" t="str">
        <f>IF(OR(E213="",G213=""),"",IF(RIGHT(E213,1)="G",_xlfn.XLOOKUP(G213,Data!$D$14:$L$14,Data!$D$9:$L$9,"",-1,1),_xlfn.XLOOKUP(G213,Data!$D$7:$L$7,Data!$D$2:$L$2,"",-1,1)))</f>
        <v/>
      </c>
      <c r="L213" s="160" t="str" cm="1">
        <f t="array" ref="L213">IFERROR(_xlfn.IFNA(
                      _xlfn.IFS(
                      G213="", "",
                      AND(E213="U12B",G213&gt;=Data!$M$7), "U12 Boys record",
                      AND(E213="U12G",G213&gt;=Data!$M$14), "U12 Girls record"
                       ),""), "")</f>
        <v/>
      </c>
      <c r="M213" s="18" cm="1">
        <f t="array" ref="M213">_xlfn.IFS($G213="",0, AND(NOT(ISNUMBER($G213)),LOWER(LEFT($G213,1))&lt;&gt;"n"),"Not a valid distance",OR(LOWER(LEFT($G213,1))="n",$G213&lt;ScoringTable!$O$161),1,RIGHT($E213,1)="B",_xlfn.XLOOKUP($G213,ScoringTable!$O$2:$O$161,ScoringTable!$L$2:$L$161,,-1),TRUE,_xlfn.XLOOKUP($G213,ScoringTable!$U$2:$U$161,ScoringTable!$R$2:$R$161,,-1))</f>
        <v>0</v>
      </c>
    </row>
    <row r="214" spans="1:13" s="7" customFormat="1" ht="16.05" customHeight="1">
      <c r="A214" s="113" t="s">
        <v>99</v>
      </c>
      <c r="B214" s="114" t="str">
        <f>IF(ISNA(VLOOKUP($F214,Declarations!B$6:C$185,2,FALSE)),"",IF(VLOOKUP($F214,Declarations!B$6:C$185,2,FALSE)="","NOT DECLARED",IF(ISNA(_xlfn.TEXTBEFORE(VLOOKUP($F214,Declarations!B$6:C$185,2,FALSE)," ")),VLOOKUP($F214,Declarations!B$6:C$185,2,FALSE),_xlfn.TEXTBEFORE(VLOOKUP($F214,Declarations!B$6:C$185,2,FALSE)," "))))</f>
        <v/>
      </c>
      <c r="C214" s="114" t="str">
        <f>IF(ISNA(VLOOKUP($F214,Declarations!B$6:C$185,2,FALSE)),"",IF(VLOOKUP($F214,Declarations!B$6:C$185,2,FALSE)="","NOT DECLARED",IF(ISNA(_xlfn.TEXTAFTER(VLOOKUP($F214,Declarations!B$6:C$185,2,FALSE)," ")),VLOOKUP($F214,Declarations!B$6:C$185,2,FALSE),_xlfn.TEXTAFTER(VLOOKUP($F214,Declarations!B$6:C$185,2,FALSE)," "))))</f>
        <v/>
      </c>
      <c r="D214" s="114" t="str">
        <f>IF(ISNA(VLOOKUP($F214,Declarations!$B$6:$F$185,5,FALSE)),"",IF(VLOOKUP($F214,Declarations!$B$6:$F$185,5,FALSE)="","NOT DECLARED",VLOOKUP($F214,Declarations!$B$6:$F$185,5,FALSE)))</f>
        <v/>
      </c>
      <c r="E214" s="112" t="str">
        <f>IF(ISNA(VLOOKUP($F214,Declarations!$B$6:$D$185,3,FALSE)),"",IF(VLOOKUP($F214,Declarations!$B$6:$D$185,3,FALSE)="","NOT DECLARED",VLOOKUP($F214,Declarations!$B$6:$D$185,3,FALSE)&amp;LEFT(VLOOKUP($F214,Declarations!$B$6:$E$185,4,FALSE))))</f>
        <v/>
      </c>
      <c r="F214" s="58"/>
      <c r="G214" s="121"/>
      <c r="H214" s="121"/>
      <c r="I214" s="114" t="str">
        <f>IF(ISNA(VLOOKUP(F214,Declarations!B$6:C$185,2,FALSE)),"",IF(VLOOKUP(F214,Declarations!B$6:C$185,2,FALSE)="","NOT DECLARED",VLOOKUP(F214,Declarations!B$6:C$185,2,FALSE)))</f>
        <v/>
      </c>
      <c r="J214" s="112">
        <f>IF(LOWER(LEFT(G214,1))="n",1,VLOOKUP(G214,ScoringTable!D$2:I$95,6))</f>
        <v>0</v>
      </c>
      <c r="K214" s="112" t="str">
        <f>IF(OR(E214="",G214=""),"",IF(RIGHT(E214,1)="G",_xlfn.XLOOKUP(G214,Data!$D$14:$L$14,Data!$D$9:$L$9,"",-1,1),_xlfn.XLOOKUP(G214,Data!$D$7:$L$7,Data!$D$2:$L$2,"",-1,1)))</f>
        <v/>
      </c>
      <c r="L214" s="160" t="str" cm="1">
        <f t="array" ref="L214">IFERROR(_xlfn.IFNA(
                      _xlfn.IFS(
                      G214="", "",
                      AND(E214="U12B",G214&gt;=Data!$M$7), "U12 Boys record",
                      AND(E214="U12G",G214&gt;=Data!$M$14), "U12 Girls record"
                       ),""), "")</f>
        <v/>
      </c>
      <c r="M214" s="18" cm="1">
        <f t="array" ref="M214">_xlfn.IFS($G214="",0, AND(NOT(ISNUMBER($G214)),LOWER(LEFT($G214,1))&lt;&gt;"n"),"Not a valid distance",OR(LOWER(LEFT($G214,1))="n",$G214&lt;ScoringTable!$O$161),1,RIGHT($E214,1)="B",_xlfn.XLOOKUP($G214,ScoringTable!$O$2:$O$161,ScoringTable!$L$2:$L$161,,-1),TRUE,_xlfn.XLOOKUP($G214,ScoringTable!$U$2:$U$161,ScoringTable!$R$2:$R$161,,-1))</f>
        <v>0</v>
      </c>
    </row>
    <row r="215" spans="1:13" s="7" customFormat="1" ht="16.05" customHeight="1">
      <c r="A215" s="113" t="s">
        <v>99</v>
      </c>
      <c r="B215" s="114" t="str">
        <f>IF(ISNA(VLOOKUP($F215,Declarations!B$6:C$185,2,FALSE)),"",IF(VLOOKUP($F215,Declarations!B$6:C$185,2,FALSE)="","NOT DECLARED",IF(ISNA(_xlfn.TEXTBEFORE(VLOOKUP($F215,Declarations!B$6:C$185,2,FALSE)," ")),VLOOKUP($F215,Declarations!B$6:C$185,2,FALSE),_xlfn.TEXTBEFORE(VLOOKUP($F215,Declarations!B$6:C$185,2,FALSE)," "))))</f>
        <v/>
      </c>
      <c r="C215" s="114" t="str">
        <f>IF(ISNA(VLOOKUP($F215,Declarations!B$6:C$185,2,FALSE)),"",IF(VLOOKUP($F215,Declarations!B$6:C$185,2,FALSE)="","NOT DECLARED",IF(ISNA(_xlfn.TEXTAFTER(VLOOKUP($F215,Declarations!B$6:C$185,2,FALSE)," ")),VLOOKUP($F215,Declarations!B$6:C$185,2,FALSE),_xlfn.TEXTAFTER(VLOOKUP($F215,Declarations!B$6:C$185,2,FALSE)," "))))</f>
        <v/>
      </c>
      <c r="D215" s="114" t="str">
        <f>IF(ISNA(VLOOKUP($F215,Declarations!$B$6:$F$185,5,FALSE)),"",IF(VLOOKUP($F215,Declarations!$B$6:$F$185,5,FALSE)="","NOT DECLARED",VLOOKUP($F215,Declarations!$B$6:$F$185,5,FALSE)))</f>
        <v/>
      </c>
      <c r="E215" s="112" t="str">
        <f>IF(ISNA(VLOOKUP($F215,Declarations!$B$6:$D$185,3,FALSE)),"",IF(VLOOKUP($F215,Declarations!$B$6:$D$185,3,FALSE)="","NOT DECLARED",VLOOKUP($F215,Declarations!$B$6:$D$185,3,FALSE)&amp;LEFT(VLOOKUP($F215,Declarations!$B$6:$E$185,4,FALSE))))</f>
        <v/>
      </c>
      <c r="F215" s="58"/>
      <c r="G215" s="121"/>
      <c r="H215" s="121"/>
      <c r="I215" s="114" t="str">
        <f>IF(ISNA(VLOOKUP(F215,Declarations!B$6:C$185,2,FALSE)),"",IF(VLOOKUP(F215,Declarations!B$6:C$185,2,FALSE)="","NOT DECLARED",VLOOKUP(F215,Declarations!B$6:C$185,2,FALSE)))</f>
        <v/>
      </c>
      <c r="J215" s="112">
        <f>IF(LOWER(LEFT(G215,1))="n",1,VLOOKUP(G215,ScoringTable!D$2:I$95,6))</f>
        <v>0</v>
      </c>
      <c r="K215" s="112" t="str">
        <f>IF(OR(E215="",G215=""),"",IF(RIGHT(E215,1)="G",_xlfn.XLOOKUP(G215,Data!$D$14:$L$14,Data!$D$9:$L$9,"",-1,1),_xlfn.XLOOKUP(G215,Data!$D$7:$L$7,Data!$D$2:$L$2,"",-1,1)))</f>
        <v/>
      </c>
      <c r="L215" s="160" t="str" cm="1">
        <f t="array" ref="L215">IFERROR(_xlfn.IFNA(
                      _xlfn.IFS(
                      G215="", "",
                      AND(E215="U12B",G215&gt;=Data!$M$7), "U12 Boys record",
                      AND(E215="U12G",G215&gt;=Data!$M$14), "U12 Girls record"
                       ),""), "")</f>
        <v/>
      </c>
      <c r="M215" s="18" cm="1">
        <f t="array" ref="M215">_xlfn.IFS($G215="",0, AND(NOT(ISNUMBER($G215)),LOWER(LEFT($G215,1))&lt;&gt;"n"),"Not a valid distance",OR(LOWER(LEFT($G215,1))="n",$G215&lt;ScoringTable!$O$161),1,RIGHT($E215,1)="B",_xlfn.XLOOKUP($G215,ScoringTable!$O$2:$O$161,ScoringTable!$L$2:$L$161,,-1),TRUE,_xlfn.XLOOKUP($G215,ScoringTable!$U$2:$U$161,ScoringTable!$R$2:$R$161,,-1))</f>
        <v>0</v>
      </c>
    </row>
    <row r="216" spans="1:13" s="7" customFormat="1" ht="16.05" customHeight="1">
      <c r="A216" s="113" t="s">
        <v>99</v>
      </c>
      <c r="B216" s="114" t="str">
        <f>IF(ISNA(VLOOKUP($F216,Declarations!B$6:C$185,2,FALSE)),"",IF(VLOOKUP($F216,Declarations!B$6:C$185,2,FALSE)="","NOT DECLARED",IF(ISNA(_xlfn.TEXTBEFORE(VLOOKUP($F216,Declarations!B$6:C$185,2,FALSE)," ")),VLOOKUP($F216,Declarations!B$6:C$185,2,FALSE),_xlfn.TEXTBEFORE(VLOOKUP($F216,Declarations!B$6:C$185,2,FALSE)," "))))</f>
        <v/>
      </c>
      <c r="C216" s="114" t="str">
        <f>IF(ISNA(VLOOKUP($F216,Declarations!B$6:C$185,2,FALSE)),"",IF(VLOOKUP($F216,Declarations!B$6:C$185,2,FALSE)="","NOT DECLARED",IF(ISNA(_xlfn.TEXTAFTER(VLOOKUP($F216,Declarations!B$6:C$185,2,FALSE)," ")),VLOOKUP($F216,Declarations!B$6:C$185,2,FALSE),_xlfn.TEXTAFTER(VLOOKUP($F216,Declarations!B$6:C$185,2,FALSE)," "))))</f>
        <v/>
      </c>
      <c r="D216" s="114" t="str">
        <f>IF(ISNA(VLOOKUP($F216,Declarations!$B$6:$F$185,5,FALSE)),"",IF(VLOOKUP($F216,Declarations!$B$6:$F$185,5,FALSE)="","NOT DECLARED",VLOOKUP($F216,Declarations!$B$6:$F$185,5,FALSE)))</f>
        <v/>
      </c>
      <c r="E216" s="112" t="str">
        <f>IF(ISNA(VLOOKUP($F216,Declarations!$B$6:$D$185,3,FALSE)),"",IF(VLOOKUP($F216,Declarations!$B$6:$D$185,3,FALSE)="","NOT DECLARED",VLOOKUP($F216,Declarations!$B$6:$D$185,3,FALSE)&amp;LEFT(VLOOKUP($F216,Declarations!$B$6:$E$185,4,FALSE))))</f>
        <v/>
      </c>
      <c r="F216" s="58"/>
      <c r="G216" s="121"/>
      <c r="H216" s="121"/>
      <c r="I216" s="114" t="str">
        <f>IF(ISNA(VLOOKUP(F216,Declarations!B$6:C$185,2,FALSE)),"",IF(VLOOKUP(F216,Declarations!B$6:C$185,2,FALSE)="","NOT DECLARED",VLOOKUP(F216,Declarations!B$6:C$185,2,FALSE)))</f>
        <v/>
      </c>
      <c r="J216" s="112">
        <f>IF(LOWER(LEFT(G216,1))="n",1,VLOOKUP(G216,ScoringTable!D$2:I$95,6))</f>
        <v>0</v>
      </c>
      <c r="K216" s="112" t="str">
        <f>IF(OR(E216="",G216=""),"",IF(RIGHT(E216,1)="G",_xlfn.XLOOKUP(G216,Data!$D$14:$L$14,Data!$D$9:$L$9,"",-1,1),_xlfn.XLOOKUP(G216,Data!$D$7:$L$7,Data!$D$2:$L$2,"",-1,1)))</f>
        <v/>
      </c>
      <c r="L216" s="160" t="str" cm="1">
        <f t="array" ref="L216">IFERROR(_xlfn.IFNA(
                      _xlfn.IFS(
                      G216="", "",
                      AND(E216="U12B",G216&gt;=Data!$M$7), "U12 Boys record",
                      AND(E216="U12G",G216&gt;=Data!$M$14), "U12 Girls record"
                       ),""), "")</f>
        <v/>
      </c>
      <c r="M216" s="18" cm="1">
        <f t="array" ref="M216">_xlfn.IFS($G216="",0, AND(NOT(ISNUMBER($G216)),LOWER(LEFT($G216,1))&lt;&gt;"n"),"Not a valid distance",OR(LOWER(LEFT($G216,1))="n",$G216&lt;ScoringTable!$O$161),1,RIGHT($E216,1)="B",_xlfn.XLOOKUP($G216,ScoringTable!$O$2:$O$161,ScoringTable!$L$2:$L$161,,-1),TRUE,_xlfn.XLOOKUP($G216,ScoringTable!$U$2:$U$161,ScoringTable!$R$2:$R$161,,-1))</f>
        <v>0</v>
      </c>
    </row>
    <row r="217" spans="1:13" s="7" customFormat="1" ht="16.05" customHeight="1">
      <c r="A217" s="113" t="s">
        <v>99</v>
      </c>
      <c r="B217" s="114" t="str">
        <f>IF(ISNA(VLOOKUP($F217,Declarations!B$6:C$185,2,FALSE)),"",IF(VLOOKUP($F217,Declarations!B$6:C$185,2,FALSE)="","NOT DECLARED",IF(ISNA(_xlfn.TEXTBEFORE(VLOOKUP($F217,Declarations!B$6:C$185,2,FALSE)," ")),VLOOKUP($F217,Declarations!B$6:C$185,2,FALSE),_xlfn.TEXTBEFORE(VLOOKUP($F217,Declarations!B$6:C$185,2,FALSE)," "))))</f>
        <v/>
      </c>
      <c r="C217" s="114" t="str">
        <f>IF(ISNA(VLOOKUP($F217,Declarations!B$6:C$185,2,FALSE)),"",IF(VLOOKUP($F217,Declarations!B$6:C$185,2,FALSE)="","NOT DECLARED",IF(ISNA(_xlfn.TEXTAFTER(VLOOKUP($F217,Declarations!B$6:C$185,2,FALSE)," ")),VLOOKUP($F217,Declarations!B$6:C$185,2,FALSE),_xlfn.TEXTAFTER(VLOOKUP($F217,Declarations!B$6:C$185,2,FALSE)," "))))</f>
        <v/>
      </c>
      <c r="D217" s="114" t="str">
        <f>IF(ISNA(VLOOKUP($F217,Declarations!$B$6:$F$185,5,FALSE)),"",IF(VLOOKUP($F217,Declarations!$B$6:$F$185,5,FALSE)="","NOT DECLARED",VLOOKUP($F217,Declarations!$B$6:$F$185,5,FALSE)))</f>
        <v/>
      </c>
      <c r="E217" s="112" t="str">
        <f>IF(ISNA(VLOOKUP($F217,Declarations!$B$6:$D$185,3,FALSE)),"",IF(VLOOKUP($F217,Declarations!$B$6:$D$185,3,FALSE)="","NOT DECLARED",VLOOKUP($F217,Declarations!$B$6:$D$185,3,FALSE)&amp;LEFT(VLOOKUP($F217,Declarations!$B$6:$E$185,4,FALSE))))</f>
        <v/>
      </c>
      <c r="F217" s="58"/>
      <c r="G217" s="121"/>
      <c r="H217" s="121"/>
      <c r="I217" s="114" t="str">
        <f>IF(ISNA(VLOOKUP(F217,Declarations!B$6:C$185,2,FALSE)),"",IF(VLOOKUP(F217,Declarations!B$6:C$185,2,FALSE)="","NOT DECLARED",VLOOKUP(F217,Declarations!B$6:C$185,2,FALSE)))</f>
        <v/>
      </c>
      <c r="J217" s="112">
        <f>IF(LOWER(LEFT(G217,1))="n",1,VLOOKUP(G217,ScoringTable!D$2:I$95,6))</f>
        <v>0</v>
      </c>
      <c r="K217" s="112" t="str">
        <f>IF(OR(E217="",G217=""),"",IF(RIGHT(E217,1)="G",_xlfn.XLOOKUP(G217,Data!$D$14:$L$14,Data!$D$9:$L$9,"",-1,1),_xlfn.XLOOKUP(G217,Data!$D$7:$L$7,Data!$D$2:$L$2,"",-1,1)))</f>
        <v/>
      </c>
      <c r="L217" s="160" t="str" cm="1">
        <f t="array" ref="L217">IFERROR(_xlfn.IFNA(
                      _xlfn.IFS(
                      G217="", "",
                      AND(E217="U12B",G217&gt;=Data!$M$7), "U12 Boys record",
                      AND(E217="U12G",G217&gt;=Data!$M$14), "U12 Girls record"
                       ),""), "")</f>
        <v/>
      </c>
      <c r="M217" s="18" cm="1">
        <f t="array" ref="M217">_xlfn.IFS($G217="",0, AND(NOT(ISNUMBER($G217)),LOWER(LEFT($G217,1))&lt;&gt;"n"),"Not a valid distance",OR(LOWER(LEFT($G217,1))="n",$G217&lt;ScoringTable!$O$161),1,RIGHT($E217,1)="B",_xlfn.XLOOKUP($G217,ScoringTable!$O$2:$O$161,ScoringTable!$L$2:$L$161,,-1),TRUE,_xlfn.XLOOKUP($G217,ScoringTable!$U$2:$U$161,ScoringTable!$R$2:$R$161,,-1))</f>
        <v>0</v>
      </c>
    </row>
    <row r="218" spans="1:13" s="7" customFormat="1" ht="16.05" customHeight="1">
      <c r="A218" s="113" t="s">
        <v>99</v>
      </c>
      <c r="B218" s="114" t="str">
        <f>IF(ISNA(VLOOKUP($F218,Declarations!B$6:C$185,2,FALSE)),"",IF(VLOOKUP($F218,Declarations!B$6:C$185,2,FALSE)="","NOT DECLARED",IF(ISNA(_xlfn.TEXTBEFORE(VLOOKUP($F218,Declarations!B$6:C$185,2,FALSE)," ")),VLOOKUP($F218,Declarations!B$6:C$185,2,FALSE),_xlfn.TEXTBEFORE(VLOOKUP($F218,Declarations!B$6:C$185,2,FALSE)," "))))</f>
        <v/>
      </c>
      <c r="C218" s="114" t="str">
        <f>IF(ISNA(VLOOKUP($F218,Declarations!B$6:C$185,2,FALSE)),"",IF(VLOOKUP($F218,Declarations!B$6:C$185,2,FALSE)="","NOT DECLARED",IF(ISNA(_xlfn.TEXTAFTER(VLOOKUP($F218,Declarations!B$6:C$185,2,FALSE)," ")),VLOOKUP($F218,Declarations!B$6:C$185,2,FALSE),_xlfn.TEXTAFTER(VLOOKUP($F218,Declarations!B$6:C$185,2,FALSE)," "))))</f>
        <v/>
      </c>
      <c r="D218" s="114" t="str">
        <f>IF(ISNA(VLOOKUP($F218,Declarations!$B$6:$F$185,5,FALSE)),"",IF(VLOOKUP($F218,Declarations!$B$6:$F$185,5,FALSE)="","NOT DECLARED",VLOOKUP($F218,Declarations!$B$6:$F$185,5,FALSE)))</f>
        <v/>
      </c>
      <c r="E218" s="112" t="str">
        <f>IF(ISNA(VLOOKUP($F218,Declarations!$B$6:$D$185,3,FALSE)),"",IF(VLOOKUP($F218,Declarations!$B$6:$D$185,3,FALSE)="","NOT DECLARED",VLOOKUP($F218,Declarations!$B$6:$D$185,3,FALSE)&amp;LEFT(VLOOKUP($F218,Declarations!$B$6:$E$185,4,FALSE))))</f>
        <v/>
      </c>
      <c r="F218" s="58"/>
      <c r="G218" s="121"/>
      <c r="H218" s="121"/>
      <c r="I218" s="114" t="str">
        <f>IF(ISNA(VLOOKUP(F218,Declarations!B$6:C$185,2,FALSE)),"",IF(VLOOKUP(F218,Declarations!B$6:C$185,2,FALSE)="","NOT DECLARED",VLOOKUP(F218,Declarations!B$6:C$185,2,FALSE)))</f>
        <v/>
      </c>
      <c r="J218" s="112">
        <f>IF(LOWER(LEFT(G218,1))="n",1,VLOOKUP(G218,ScoringTable!D$2:I$95,6))</f>
        <v>0</v>
      </c>
      <c r="K218" s="112" t="str">
        <f>IF(OR(E218="",G218=""),"",IF(RIGHT(E218,1)="G",_xlfn.XLOOKUP(G218,Data!$D$14:$L$14,Data!$D$9:$L$9,"",-1,1),_xlfn.XLOOKUP(G218,Data!$D$7:$L$7,Data!$D$2:$L$2,"",-1,1)))</f>
        <v/>
      </c>
      <c r="L218" s="160" t="str" cm="1">
        <f t="array" ref="L218">IFERROR(_xlfn.IFNA(
                      _xlfn.IFS(
                      G218="", "",
                      AND(E218="U12B",G218&gt;=Data!$M$7), "U12 Boys record",
                      AND(E218="U12G",G218&gt;=Data!$M$14), "U12 Girls record"
                       ),""), "")</f>
        <v/>
      </c>
      <c r="M218" s="18" cm="1">
        <f t="array" ref="M218">_xlfn.IFS($G218="",0, AND(NOT(ISNUMBER($G218)),LOWER(LEFT($G218,1))&lt;&gt;"n"),"Not a valid distance",OR(LOWER(LEFT($G218,1))="n",$G218&lt;ScoringTable!$O$161),1,RIGHT($E218,1)="B",_xlfn.XLOOKUP($G218,ScoringTable!$O$2:$O$161,ScoringTable!$L$2:$L$161,,-1),TRUE,_xlfn.XLOOKUP($G218,ScoringTable!$U$2:$U$161,ScoringTable!$R$2:$R$161,,-1))</f>
        <v>0</v>
      </c>
    </row>
    <row r="219" spans="1:13" s="7" customFormat="1" ht="16.05" customHeight="1">
      <c r="A219" s="113" t="s">
        <v>99</v>
      </c>
      <c r="B219" s="114" t="str">
        <f>IF(ISNA(VLOOKUP($F219,Declarations!B$6:C$185,2,FALSE)),"",IF(VLOOKUP($F219,Declarations!B$6:C$185,2,FALSE)="","NOT DECLARED",IF(ISNA(_xlfn.TEXTBEFORE(VLOOKUP($F219,Declarations!B$6:C$185,2,FALSE)," ")),VLOOKUP($F219,Declarations!B$6:C$185,2,FALSE),_xlfn.TEXTBEFORE(VLOOKUP($F219,Declarations!B$6:C$185,2,FALSE)," "))))</f>
        <v/>
      </c>
      <c r="C219" s="114" t="str">
        <f>IF(ISNA(VLOOKUP($F219,Declarations!B$6:C$185,2,FALSE)),"",IF(VLOOKUP($F219,Declarations!B$6:C$185,2,FALSE)="","NOT DECLARED",IF(ISNA(_xlfn.TEXTAFTER(VLOOKUP($F219,Declarations!B$6:C$185,2,FALSE)," ")),VLOOKUP($F219,Declarations!B$6:C$185,2,FALSE),_xlfn.TEXTAFTER(VLOOKUP($F219,Declarations!B$6:C$185,2,FALSE)," "))))</f>
        <v/>
      </c>
      <c r="D219" s="114" t="str">
        <f>IF(ISNA(VLOOKUP($F219,Declarations!$B$6:$F$185,5,FALSE)),"",IF(VLOOKUP($F219,Declarations!$B$6:$F$185,5,FALSE)="","NOT DECLARED",VLOOKUP($F219,Declarations!$B$6:$F$185,5,FALSE)))</f>
        <v/>
      </c>
      <c r="E219" s="112" t="str">
        <f>IF(ISNA(VLOOKUP($F219,Declarations!$B$6:$D$185,3,FALSE)),"",IF(VLOOKUP($F219,Declarations!$B$6:$D$185,3,FALSE)="","NOT DECLARED",VLOOKUP($F219,Declarations!$B$6:$D$185,3,FALSE)&amp;LEFT(VLOOKUP($F219,Declarations!$B$6:$E$185,4,FALSE))))</f>
        <v/>
      </c>
      <c r="F219" s="58"/>
      <c r="G219" s="121"/>
      <c r="H219" s="121"/>
      <c r="I219" s="114" t="str">
        <f>IF(ISNA(VLOOKUP(F219,Declarations!B$6:C$185,2,FALSE)),"",IF(VLOOKUP(F219,Declarations!B$6:C$185,2,FALSE)="","NOT DECLARED",VLOOKUP(F219,Declarations!B$6:C$185,2,FALSE)))</f>
        <v/>
      </c>
      <c r="J219" s="112">
        <f>IF(LOWER(LEFT(G219,1))="n",1,VLOOKUP(G219,ScoringTable!D$2:I$95,6))</f>
        <v>0</v>
      </c>
      <c r="K219" s="112" t="str">
        <f>IF(OR(E219="",G219=""),"",IF(RIGHT(E219,1)="G",_xlfn.XLOOKUP(G219,Data!$D$14:$L$14,Data!$D$9:$L$9,"",-1,1),_xlfn.XLOOKUP(G219,Data!$D$7:$L$7,Data!$D$2:$L$2,"",-1,1)))</f>
        <v/>
      </c>
      <c r="L219" s="160" t="str" cm="1">
        <f t="array" ref="L219">IFERROR(_xlfn.IFNA(
                      _xlfn.IFS(
                      G219="", "",
                      AND(E219="U12B",G219&gt;=Data!$M$7), "U12 Boys record",
                      AND(E219="U12G",G219&gt;=Data!$M$14), "U12 Girls record"
                       ),""), "")</f>
        <v/>
      </c>
      <c r="M219" s="18" cm="1">
        <f t="array" ref="M219">_xlfn.IFS($G219="",0, AND(NOT(ISNUMBER($G219)),LOWER(LEFT($G219,1))&lt;&gt;"n"),"Not a valid distance",OR(LOWER(LEFT($G219,1))="n",$G219&lt;ScoringTable!$O$161),1,RIGHT($E219,1)="B",_xlfn.XLOOKUP($G219,ScoringTable!$O$2:$O$161,ScoringTable!$L$2:$L$161,,-1),TRUE,_xlfn.XLOOKUP($G219,ScoringTable!$U$2:$U$161,ScoringTable!$R$2:$R$161,,-1))</f>
        <v>0</v>
      </c>
    </row>
    <row r="220" spans="1:13" s="7" customFormat="1" ht="16.05" customHeight="1">
      <c r="A220" s="113" t="s">
        <v>99</v>
      </c>
      <c r="B220" s="114" t="str">
        <f>IF(ISNA(VLOOKUP($F220,Declarations!B$6:C$185,2,FALSE)),"",IF(VLOOKUP($F220,Declarations!B$6:C$185,2,FALSE)="","NOT DECLARED",IF(ISNA(_xlfn.TEXTBEFORE(VLOOKUP($F220,Declarations!B$6:C$185,2,FALSE)," ")),VLOOKUP($F220,Declarations!B$6:C$185,2,FALSE),_xlfn.TEXTBEFORE(VLOOKUP($F220,Declarations!B$6:C$185,2,FALSE)," "))))</f>
        <v/>
      </c>
      <c r="C220" s="114" t="str">
        <f>IF(ISNA(VLOOKUP($F220,Declarations!B$6:C$185,2,FALSE)),"",IF(VLOOKUP($F220,Declarations!B$6:C$185,2,FALSE)="","NOT DECLARED",IF(ISNA(_xlfn.TEXTAFTER(VLOOKUP($F220,Declarations!B$6:C$185,2,FALSE)," ")),VLOOKUP($F220,Declarations!B$6:C$185,2,FALSE),_xlfn.TEXTAFTER(VLOOKUP($F220,Declarations!B$6:C$185,2,FALSE)," "))))</f>
        <v/>
      </c>
      <c r="D220" s="114" t="str">
        <f>IF(ISNA(VLOOKUP($F220,Declarations!$B$6:$F$185,5,FALSE)),"",IF(VLOOKUP($F220,Declarations!$B$6:$F$185,5,FALSE)="","NOT DECLARED",VLOOKUP($F220,Declarations!$B$6:$F$185,5,FALSE)))</f>
        <v/>
      </c>
      <c r="E220" s="112" t="str">
        <f>IF(ISNA(VLOOKUP($F220,Declarations!$B$6:$D$185,3,FALSE)),"",IF(VLOOKUP($F220,Declarations!$B$6:$D$185,3,FALSE)="","NOT DECLARED",VLOOKUP($F220,Declarations!$B$6:$D$185,3,FALSE)&amp;LEFT(VLOOKUP($F220,Declarations!$B$6:$E$185,4,FALSE))))</f>
        <v/>
      </c>
      <c r="F220" s="58"/>
      <c r="G220" s="121"/>
      <c r="H220" s="121"/>
      <c r="I220" s="114" t="str">
        <f>IF(ISNA(VLOOKUP(F220,Declarations!B$6:C$185,2,FALSE)),"",IF(VLOOKUP(F220,Declarations!B$6:C$185,2,FALSE)="","NOT DECLARED",VLOOKUP(F220,Declarations!B$6:C$185,2,FALSE)))</f>
        <v/>
      </c>
      <c r="J220" s="112">
        <f>IF(LOWER(LEFT(G220,1))="n",1,VLOOKUP(G220,ScoringTable!D$2:I$95,6))</f>
        <v>0</v>
      </c>
      <c r="K220" s="112" t="str">
        <f>IF(OR(E220="",G220=""),"",IF(RIGHT(E220,1)="G",_xlfn.XLOOKUP(G220,Data!$D$14:$L$14,Data!$D$9:$L$9,"",-1,1),_xlfn.XLOOKUP(G220,Data!$D$7:$L$7,Data!$D$2:$L$2,"",-1,1)))</f>
        <v/>
      </c>
      <c r="L220" s="160" t="str" cm="1">
        <f t="array" ref="L220">IFERROR(_xlfn.IFNA(
                      _xlfn.IFS(
                      G220="", "",
                      AND(E220="U12B",G220&gt;=Data!$M$7), "U12 Boys record",
                      AND(E220="U12G",G220&gt;=Data!$M$14), "U12 Girls record"
                       ),""), "")</f>
        <v/>
      </c>
      <c r="M220" s="18" cm="1">
        <f t="array" ref="M220">_xlfn.IFS($G220="",0, AND(NOT(ISNUMBER($G220)),LOWER(LEFT($G220,1))&lt;&gt;"n"),"Not a valid distance",OR(LOWER(LEFT($G220,1))="n",$G220&lt;ScoringTable!$O$161),1,RIGHT($E220,1)="B",_xlfn.XLOOKUP($G220,ScoringTable!$O$2:$O$161,ScoringTable!$L$2:$L$161,,-1),TRUE,_xlfn.XLOOKUP($G220,ScoringTable!$U$2:$U$161,ScoringTable!$R$2:$R$161,,-1))</f>
        <v>0</v>
      </c>
    </row>
    <row r="221" spans="1:13" s="7" customFormat="1" ht="16.05" customHeight="1">
      <c r="A221" s="113" t="s">
        <v>99</v>
      </c>
      <c r="B221" s="114" t="str">
        <f>IF(ISNA(VLOOKUP($F221,Declarations!B$6:C$185,2,FALSE)),"",IF(VLOOKUP($F221,Declarations!B$6:C$185,2,FALSE)="","NOT DECLARED",IF(ISNA(_xlfn.TEXTBEFORE(VLOOKUP($F221,Declarations!B$6:C$185,2,FALSE)," ")),VLOOKUP($F221,Declarations!B$6:C$185,2,FALSE),_xlfn.TEXTBEFORE(VLOOKUP($F221,Declarations!B$6:C$185,2,FALSE)," "))))</f>
        <v/>
      </c>
      <c r="C221" s="114" t="str">
        <f>IF(ISNA(VLOOKUP($F221,Declarations!B$6:C$185,2,FALSE)),"",IF(VLOOKUP($F221,Declarations!B$6:C$185,2,FALSE)="","NOT DECLARED",IF(ISNA(_xlfn.TEXTAFTER(VLOOKUP($F221,Declarations!B$6:C$185,2,FALSE)," ")),VLOOKUP($F221,Declarations!B$6:C$185,2,FALSE),_xlfn.TEXTAFTER(VLOOKUP($F221,Declarations!B$6:C$185,2,FALSE)," "))))</f>
        <v/>
      </c>
      <c r="D221" s="114" t="str">
        <f>IF(ISNA(VLOOKUP($F221,Declarations!$B$6:$F$185,5,FALSE)),"",IF(VLOOKUP($F221,Declarations!$B$6:$F$185,5,FALSE)="","NOT DECLARED",VLOOKUP($F221,Declarations!$B$6:$F$185,5,FALSE)))</f>
        <v/>
      </c>
      <c r="E221" s="112" t="str">
        <f>IF(ISNA(VLOOKUP($F221,Declarations!$B$6:$D$185,3,FALSE)),"",IF(VLOOKUP($F221,Declarations!$B$6:$D$185,3,FALSE)="","NOT DECLARED",VLOOKUP($F221,Declarations!$B$6:$D$185,3,FALSE)&amp;LEFT(VLOOKUP($F221,Declarations!$B$6:$E$185,4,FALSE))))</f>
        <v/>
      </c>
      <c r="F221" s="58"/>
      <c r="G221" s="121"/>
      <c r="H221" s="121"/>
      <c r="I221" s="114" t="str">
        <f>IF(ISNA(VLOOKUP(F221,Declarations!B$6:C$185,2,FALSE)),"",IF(VLOOKUP(F221,Declarations!B$6:C$185,2,FALSE)="","NOT DECLARED",VLOOKUP(F221,Declarations!B$6:C$185,2,FALSE)))</f>
        <v/>
      </c>
      <c r="J221" s="112">
        <f>IF(LOWER(LEFT(G221,1))="n",1,VLOOKUP(G221,ScoringTable!D$2:I$95,6))</f>
        <v>0</v>
      </c>
      <c r="K221" s="112" t="str">
        <f>IF(OR(E221="",G221=""),"",IF(RIGHT(E221,1)="G",_xlfn.XLOOKUP(G221,Data!$D$14:$L$14,Data!$D$9:$L$9,"",-1,1),_xlfn.XLOOKUP(G221,Data!$D$7:$L$7,Data!$D$2:$L$2,"",-1,1)))</f>
        <v/>
      </c>
      <c r="L221" s="160" t="str" cm="1">
        <f t="array" ref="L221">IFERROR(_xlfn.IFNA(
                      _xlfn.IFS(
                      G221="", "",
                      AND(E221="U12B",G221&gt;=Data!$M$7), "U12 Boys record",
                      AND(E221="U12G",G221&gt;=Data!$M$14), "U12 Girls record"
                       ),""), "")</f>
        <v/>
      </c>
      <c r="M221" s="18" cm="1">
        <f t="array" ref="M221">_xlfn.IFS($G221="",0, AND(NOT(ISNUMBER($G221)),LOWER(LEFT($G221,1))&lt;&gt;"n"),"Not a valid distance",OR(LOWER(LEFT($G221,1))="n",$G221&lt;ScoringTable!$O$161),1,RIGHT($E221,1)="B",_xlfn.XLOOKUP($G221,ScoringTable!$O$2:$O$161,ScoringTable!$L$2:$L$161,,-1),TRUE,_xlfn.XLOOKUP($G221,ScoringTable!$U$2:$U$161,ScoringTable!$R$2:$R$161,,-1))</f>
        <v>0</v>
      </c>
    </row>
    <row r="222" spans="1:13" s="7" customFormat="1" ht="16.05" customHeight="1">
      <c r="A222" s="113" t="s">
        <v>99</v>
      </c>
      <c r="B222" s="114" t="str">
        <f>IF(ISNA(VLOOKUP($F222,Declarations!B$6:C$185,2,FALSE)),"",IF(VLOOKUP($F222,Declarations!B$6:C$185,2,FALSE)="","NOT DECLARED",IF(ISNA(_xlfn.TEXTBEFORE(VLOOKUP($F222,Declarations!B$6:C$185,2,FALSE)," ")),VLOOKUP($F222,Declarations!B$6:C$185,2,FALSE),_xlfn.TEXTBEFORE(VLOOKUP($F222,Declarations!B$6:C$185,2,FALSE)," "))))</f>
        <v/>
      </c>
      <c r="C222" s="114" t="str">
        <f>IF(ISNA(VLOOKUP($F222,Declarations!B$6:C$185,2,FALSE)),"",IF(VLOOKUP($F222,Declarations!B$6:C$185,2,FALSE)="","NOT DECLARED",IF(ISNA(_xlfn.TEXTAFTER(VLOOKUP($F222,Declarations!B$6:C$185,2,FALSE)," ")),VLOOKUP($F222,Declarations!B$6:C$185,2,FALSE),_xlfn.TEXTAFTER(VLOOKUP($F222,Declarations!B$6:C$185,2,FALSE)," "))))</f>
        <v/>
      </c>
      <c r="D222" s="114" t="str">
        <f>IF(ISNA(VLOOKUP($F222,Declarations!$B$6:$F$185,5,FALSE)),"",IF(VLOOKUP($F222,Declarations!$B$6:$F$185,5,FALSE)="","NOT DECLARED",VLOOKUP($F222,Declarations!$B$6:$F$185,5,FALSE)))</f>
        <v/>
      </c>
      <c r="E222" s="112" t="str">
        <f>IF(ISNA(VLOOKUP($F222,Declarations!$B$6:$D$185,3,FALSE)),"",IF(VLOOKUP($F222,Declarations!$B$6:$D$185,3,FALSE)="","NOT DECLARED",VLOOKUP($F222,Declarations!$B$6:$D$185,3,FALSE)&amp;LEFT(VLOOKUP($F222,Declarations!$B$6:$E$185,4,FALSE))))</f>
        <v/>
      </c>
      <c r="F222" s="58"/>
      <c r="G222" s="121"/>
      <c r="H222" s="121"/>
      <c r="I222" s="114" t="str">
        <f>IF(ISNA(VLOOKUP(F222,Declarations!B$6:C$185,2,FALSE)),"",IF(VLOOKUP(F222,Declarations!B$6:C$185,2,FALSE)="","NOT DECLARED",VLOOKUP(F222,Declarations!B$6:C$185,2,FALSE)))</f>
        <v/>
      </c>
      <c r="J222" s="112">
        <f>IF(LOWER(LEFT(G222,1))="n",1,VLOOKUP(G222,ScoringTable!D$2:I$95,6))</f>
        <v>0</v>
      </c>
      <c r="K222" s="112" t="str">
        <f>IF(OR(E222="",G222=""),"",IF(RIGHT(E222,1)="G",_xlfn.XLOOKUP(G222,Data!$D$14:$L$14,Data!$D$9:$L$9,"",-1,1),_xlfn.XLOOKUP(G222,Data!$D$7:$L$7,Data!$D$2:$L$2,"",-1,1)))</f>
        <v/>
      </c>
      <c r="L222" s="160" t="str" cm="1">
        <f t="array" ref="L222">IFERROR(_xlfn.IFNA(
                      _xlfn.IFS(
                      G222="", "",
                      AND(E222="U12B",G222&gt;=Data!$M$7), "U12 Boys record",
                      AND(E222="U12G",G222&gt;=Data!$M$14), "U12 Girls record"
                       ),""), "")</f>
        <v/>
      </c>
      <c r="M222" s="18" cm="1">
        <f t="array" ref="M222">_xlfn.IFS($G222="",0, AND(NOT(ISNUMBER($G222)),LOWER(LEFT($G222,1))&lt;&gt;"n"),"Not a valid distance",OR(LOWER(LEFT($G222,1))="n",$G222&lt;ScoringTable!$O$161),1,RIGHT($E222,1)="B",_xlfn.XLOOKUP($G222,ScoringTable!$O$2:$O$161,ScoringTable!$L$2:$L$161,,-1),TRUE,_xlfn.XLOOKUP($G222,ScoringTable!$U$2:$U$161,ScoringTable!$R$2:$R$161,,-1))</f>
        <v>0</v>
      </c>
    </row>
    <row r="223" spans="1:13" s="7" customFormat="1" ht="16.05" customHeight="1">
      <c r="A223" s="113" t="s">
        <v>99</v>
      </c>
      <c r="B223" s="114" t="str">
        <f>IF(ISNA(VLOOKUP($F223,Declarations!B$6:C$185,2,FALSE)),"",IF(VLOOKUP($F223,Declarations!B$6:C$185,2,FALSE)="","NOT DECLARED",IF(ISNA(_xlfn.TEXTBEFORE(VLOOKUP($F223,Declarations!B$6:C$185,2,FALSE)," ")),VLOOKUP($F223,Declarations!B$6:C$185,2,FALSE),_xlfn.TEXTBEFORE(VLOOKUP($F223,Declarations!B$6:C$185,2,FALSE)," "))))</f>
        <v/>
      </c>
      <c r="C223" s="114" t="str">
        <f>IF(ISNA(VLOOKUP($F223,Declarations!B$6:C$185,2,FALSE)),"",IF(VLOOKUP($F223,Declarations!B$6:C$185,2,FALSE)="","NOT DECLARED",IF(ISNA(_xlfn.TEXTAFTER(VLOOKUP($F223,Declarations!B$6:C$185,2,FALSE)," ")),VLOOKUP($F223,Declarations!B$6:C$185,2,FALSE),_xlfn.TEXTAFTER(VLOOKUP($F223,Declarations!B$6:C$185,2,FALSE)," "))))</f>
        <v/>
      </c>
      <c r="D223" s="114" t="str">
        <f>IF(ISNA(VLOOKUP($F223,Declarations!$B$6:$F$185,5,FALSE)),"",IF(VLOOKUP($F223,Declarations!$B$6:$F$185,5,FALSE)="","NOT DECLARED",VLOOKUP($F223,Declarations!$B$6:$F$185,5,FALSE)))</f>
        <v/>
      </c>
      <c r="E223" s="112" t="str">
        <f>IF(ISNA(VLOOKUP($F223,Declarations!$B$6:$D$185,3,FALSE)),"",IF(VLOOKUP($F223,Declarations!$B$6:$D$185,3,FALSE)="","NOT DECLARED",VLOOKUP($F223,Declarations!$B$6:$D$185,3,FALSE)&amp;LEFT(VLOOKUP($F223,Declarations!$B$6:$E$185,4,FALSE))))</f>
        <v/>
      </c>
      <c r="F223" s="58"/>
      <c r="G223" s="121"/>
      <c r="H223" s="121"/>
      <c r="I223" s="114" t="str">
        <f>IF(ISNA(VLOOKUP(F223,Declarations!B$6:C$185,2,FALSE)),"",IF(VLOOKUP(F223,Declarations!B$6:C$185,2,FALSE)="","NOT DECLARED",VLOOKUP(F223,Declarations!B$6:C$185,2,FALSE)))</f>
        <v/>
      </c>
      <c r="J223" s="112">
        <f>IF(LOWER(LEFT(G223,1))="n",1,VLOOKUP(G223,ScoringTable!D$2:I$95,6))</f>
        <v>0</v>
      </c>
      <c r="K223" s="112" t="str">
        <f>IF(OR(E223="",G223=""),"",IF(RIGHT(E223,1)="G",_xlfn.XLOOKUP(G223,Data!$D$14:$L$14,Data!$D$9:$L$9,"",-1,1),_xlfn.XLOOKUP(G223,Data!$D$7:$L$7,Data!$D$2:$L$2,"",-1,1)))</f>
        <v/>
      </c>
      <c r="L223" s="160" t="str" cm="1">
        <f t="array" ref="L223">IFERROR(_xlfn.IFNA(
                      _xlfn.IFS(
                      G223="", "",
                      AND(E223="U12B",G223&gt;=Data!$M$7), "U12 Boys record",
                      AND(E223="U12G",G223&gt;=Data!$M$14), "U12 Girls record"
                       ),""), "")</f>
        <v/>
      </c>
      <c r="M223" s="18" cm="1">
        <f t="array" ref="M223">_xlfn.IFS($G223="",0, AND(NOT(ISNUMBER($G223)),LOWER(LEFT($G223,1))&lt;&gt;"n"),"Not a valid distance",OR(LOWER(LEFT($G223,1))="n",$G223&lt;ScoringTable!$O$161),1,RIGHT($E223,1)="B",_xlfn.XLOOKUP($G223,ScoringTable!$O$2:$O$161,ScoringTable!$L$2:$L$161,,-1),TRUE,_xlfn.XLOOKUP($G223,ScoringTable!$U$2:$U$161,ScoringTable!$R$2:$R$161,,-1))</f>
        <v>0</v>
      </c>
    </row>
    <row r="224" spans="1:13" s="7" customFormat="1" ht="16.05" customHeight="1">
      <c r="A224" s="113" t="s">
        <v>99</v>
      </c>
      <c r="B224" s="114" t="str">
        <f>IF(ISNA(VLOOKUP($F224,Declarations!B$6:C$185,2,FALSE)),"",IF(VLOOKUP($F224,Declarations!B$6:C$185,2,FALSE)="","NOT DECLARED",IF(ISNA(_xlfn.TEXTBEFORE(VLOOKUP($F224,Declarations!B$6:C$185,2,FALSE)," ")),VLOOKUP($F224,Declarations!B$6:C$185,2,FALSE),_xlfn.TEXTBEFORE(VLOOKUP($F224,Declarations!B$6:C$185,2,FALSE)," "))))</f>
        <v/>
      </c>
      <c r="C224" s="114" t="str">
        <f>IF(ISNA(VLOOKUP($F224,Declarations!B$6:C$185,2,FALSE)),"",IF(VLOOKUP($F224,Declarations!B$6:C$185,2,FALSE)="","NOT DECLARED",IF(ISNA(_xlfn.TEXTAFTER(VLOOKUP($F224,Declarations!B$6:C$185,2,FALSE)," ")),VLOOKUP($F224,Declarations!B$6:C$185,2,FALSE),_xlfn.TEXTAFTER(VLOOKUP($F224,Declarations!B$6:C$185,2,FALSE)," "))))</f>
        <v/>
      </c>
      <c r="D224" s="114" t="str">
        <f>IF(ISNA(VLOOKUP($F224,Declarations!$B$6:$F$185,5,FALSE)),"",IF(VLOOKUP($F224,Declarations!$B$6:$F$185,5,FALSE)="","NOT DECLARED",VLOOKUP($F224,Declarations!$B$6:$F$185,5,FALSE)))</f>
        <v/>
      </c>
      <c r="E224" s="112" t="str">
        <f>IF(ISNA(VLOOKUP($F224,Declarations!$B$6:$D$185,3,FALSE)),"",IF(VLOOKUP($F224,Declarations!$B$6:$D$185,3,FALSE)="","NOT DECLARED",VLOOKUP($F224,Declarations!$B$6:$D$185,3,FALSE)&amp;LEFT(VLOOKUP($F224,Declarations!$B$6:$E$185,4,FALSE))))</f>
        <v/>
      </c>
      <c r="F224" s="58"/>
      <c r="G224" s="121"/>
      <c r="H224" s="121"/>
      <c r="I224" s="114" t="str">
        <f>IF(ISNA(VLOOKUP(F224,Declarations!B$6:C$185,2,FALSE)),"",IF(VLOOKUP(F224,Declarations!B$6:C$185,2,FALSE)="","NOT DECLARED",VLOOKUP(F224,Declarations!B$6:C$185,2,FALSE)))</f>
        <v/>
      </c>
      <c r="J224" s="112">
        <f>IF(LOWER(LEFT(G224,1))="n",1,VLOOKUP(G224,ScoringTable!D$2:I$95,6))</f>
        <v>0</v>
      </c>
      <c r="K224" s="112" t="str">
        <f>IF(OR(E224="",G224=""),"",IF(RIGHT(E224,1)="G",_xlfn.XLOOKUP(G224,Data!$D$14:$L$14,Data!$D$9:$L$9,"",-1,1),_xlfn.XLOOKUP(G224,Data!$D$7:$L$7,Data!$D$2:$L$2,"",-1,1)))</f>
        <v/>
      </c>
      <c r="L224" s="160" t="str" cm="1">
        <f t="array" ref="L224">IFERROR(_xlfn.IFNA(
                      _xlfn.IFS(
                      G224="", "",
                      AND(E224="U12B",G224&gt;=Data!$M$7), "U12 Boys record",
                      AND(E224="U12G",G224&gt;=Data!$M$14), "U12 Girls record"
                       ),""), "")</f>
        <v/>
      </c>
      <c r="M224" s="18" cm="1">
        <f t="array" ref="M224">_xlfn.IFS($G224="",0, AND(NOT(ISNUMBER($G224)),LOWER(LEFT($G224,1))&lt;&gt;"n"),"Not a valid distance",OR(LOWER(LEFT($G224,1))="n",$G224&lt;ScoringTable!$O$161),1,RIGHT($E224,1)="B",_xlfn.XLOOKUP($G224,ScoringTable!$O$2:$O$161,ScoringTable!$L$2:$L$161,,-1),TRUE,_xlfn.XLOOKUP($G224,ScoringTable!$U$2:$U$161,ScoringTable!$R$2:$R$161,,-1))</f>
        <v>0</v>
      </c>
    </row>
    <row r="225" spans="1:13" s="7" customFormat="1" ht="16.05" customHeight="1">
      <c r="A225" s="113" t="s">
        <v>99</v>
      </c>
      <c r="B225" s="114" t="str">
        <f>IF(ISNA(VLOOKUP($F225,Declarations!B$6:C$185,2,FALSE)),"",IF(VLOOKUP($F225,Declarations!B$6:C$185,2,FALSE)="","NOT DECLARED",IF(ISNA(_xlfn.TEXTBEFORE(VLOOKUP($F225,Declarations!B$6:C$185,2,FALSE)," ")),VLOOKUP($F225,Declarations!B$6:C$185,2,FALSE),_xlfn.TEXTBEFORE(VLOOKUP($F225,Declarations!B$6:C$185,2,FALSE)," "))))</f>
        <v/>
      </c>
      <c r="C225" s="114" t="str">
        <f>IF(ISNA(VLOOKUP($F225,Declarations!B$6:C$185,2,FALSE)),"",IF(VLOOKUP($F225,Declarations!B$6:C$185,2,FALSE)="","NOT DECLARED",IF(ISNA(_xlfn.TEXTAFTER(VLOOKUP($F225,Declarations!B$6:C$185,2,FALSE)," ")),VLOOKUP($F225,Declarations!B$6:C$185,2,FALSE),_xlfn.TEXTAFTER(VLOOKUP($F225,Declarations!B$6:C$185,2,FALSE)," "))))</f>
        <v/>
      </c>
      <c r="D225" s="114" t="str">
        <f>IF(ISNA(VLOOKUP($F225,Declarations!$B$6:$F$185,5,FALSE)),"",IF(VLOOKUP($F225,Declarations!$B$6:$F$185,5,FALSE)="","NOT DECLARED",VLOOKUP($F225,Declarations!$B$6:$F$185,5,FALSE)))</f>
        <v/>
      </c>
      <c r="E225" s="112" t="str">
        <f>IF(ISNA(VLOOKUP($F225,Declarations!$B$6:$D$185,3,FALSE)),"",IF(VLOOKUP($F225,Declarations!$B$6:$D$185,3,FALSE)="","NOT DECLARED",VLOOKUP($F225,Declarations!$B$6:$D$185,3,FALSE)&amp;LEFT(VLOOKUP($F225,Declarations!$B$6:$E$185,4,FALSE))))</f>
        <v/>
      </c>
      <c r="F225" s="58"/>
      <c r="G225" s="121"/>
      <c r="H225" s="121"/>
      <c r="I225" s="114" t="str">
        <f>IF(ISNA(VLOOKUP(F225,Declarations!B$6:C$185,2,FALSE)),"",IF(VLOOKUP(F225,Declarations!B$6:C$185,2,FALSE)="","NOT DECLARED",VLOOKUP(F225,Declarations!B$6:C$185,2,FALSE)))</f>
        <v/>
      </c>
      <c r="J225" s="112">
        <f>IF(LOWER(LEFT(G225,1))="n",1,VLOOKUP(G225,ScoringTable!D$2:I$95,6))</f>
        <v>0</v>
      </c>
      <c r="K225" s="112" t="str">
        <f>IF(OR(E225="",G225=""),"",IF(RIGHT(E225,1)="G",_xlfn.XLOOKUP(G225,Data!$D$14:$L$14,Data!$D$9:$L$9,"",-1,1),_xlfn.XLOOKUP(G225,Data!$D$7:$L$7,Data!$D$2:$L$2,"",-1,1)))</f>
        <v/>
      </c>
      <c r="L225" s="160" t="str" cm="1">
        <f t="array" ref="L225">IFERROR(_xlfn.IFNA(
                      _xlfn.IFS(
                      G225="", "",
                      AND(E225="U12B",G225&gt;=Data!$M$7), "U12 Boys record",
                      AND(E225="U12G",G225&gt;=Data!$M$14), "U12 Girls record"
                       ),""), "")</f>
        <v/>
      </c>
      <c r="M225" s="18" cm="1">
        <f t="array" ref="M225">_xlfn.IFS($G225="",0, AND(NOT(ISNUMBER($G225)),LOWER(LEFT($G225,1))&lt;&gt;"n"),"Not a valid distance",OR(LOWER(LEFT($G225,1))="n",$G225&lt;ScoringTable!$O$161),1,RIGHT($E225,1)="B",_xlfn.XLOOKUP($G225,ScoringTable!$O$2:$O$161,ScoringTable!$L$2:$L$161,,-1),TRUE,_xlfn.XLOOKUP($G225,ScoringTable!$U$2:$U$161,ScoringTable!$R$2:$R$161,,-1))</f>
        <v>0</v>
      </c>
    </row>
    <row r="226" spans="1:13" s="7" customFormat="1" ht="16.05" customHeight="1">
      <c r="A226" s="113" t="s">
        <v>99</v>
      </c>
      <c r="B226" s="114" t="str">
        <f>IF(ISNA(VLOOKUP($F226,Declarations!B$6:C$185,2,FALSE)),"",IF(VLOOKUP($F226,Declarations!B$6:C$185,2,FALSE)="","NOT DECLARED",IF(ISNA(_xlfn.TEXTBEFORE(VLOOKUP($F226,Declarations!B$6:C$185,2,FALSE)," ")),VLOOKUP($F226,Declarations!B$6:C$185,2,FALSE),_xlfn.TEXTBEFORE(VLOOKUP($F226,Declarations!B$6:C$185,2,FALSE)," "))))</f>
        <v/>
      </c>
      <c r="C226" s="114" t="str">
        <f>IF(ISNA(VLOOKUP($F226,Declarations!B$6:C$185,2,FALSE)),"",IF(VLOOKUP($F226,Declarations!B$6:C$185,2,FALSE)="","NOT DECLARED",IF(ISNA(_xlfn.TEXTAFTER(VLOOKUP($F226,Declarations!B$6:C$185,2,FALSE)," ")),VLOOKUP($F226,Declarations!B$6:C$185,2,FALSE),_xlfn.TEXTAFTER(VLOOKUP($F226,Declarations!B$6:C$185,2,FALSE)," "))))</f>
        <v/>
      </c>
      <c r="D226" s="114" t="str">
        <f>IF(ISNA(VLOOKUP($F226,Declarations!$B$6:$F$185,5,FALSE)),"",IF(VLOOKUP($F226,Declarations!$B$6:$F$185,5,FALSE)="","NOT DECLARED",VLOOKUP($F226,Declarations!$B$6:$F$185,5,FALSE)))</f>
        <v/>
      </c>
      <c r="E226" s="112" t="str">
        <f>IF(ISNA(VLOOKUP($F226,Declarations!$B$6:$D$185,3,FALSE)),"",IF(VLOOKUP($F226,Declarations!$B$6:$D$185,3,FALSE)="","NOT DECLARED",VLOOKUP($F226,Declarations!$B$6:$D$185,3,FALSE)&amp;LEFT(VLOOKUP($F226,Declarations!$B$6:$E$185,4,FALSE))))</f>
        <v/>
      </c>
      <c r="F226" s="58"/>
      <c r="G226" s="121"/>
      <c r="H226" s="121"/>
      <c r="I226" s="114" t="str">
        <f>IF(ISNA(VLOOKUP(F226,Declarations!B$6:C$185,2,FALSE)),"",IF(VLOOKUP(F226,Declarations!B$6:C$185,2,FALSE)="","NOT DECLARED",VLOOKUP(F226,Declarations!B$6:C$185,2,FALSE)))</f>
        <v/>
      </c>
      <c r="J226" s="112">
        <f>IF(LOWER(LEFT(G226,1))="n",1,VLOOKUP(G226,ScoringTable!D$2:I$95,6))</f>
        <v>0</v>
      </c>
      <c r="K226" s="112" t="str">
        <f>IF(OR(E226="",G226=""),"",IF(RIGHT(E226,1)="G",_xlfn.XLOOKUP(G226,Data!$D$14:$L$14,Data!$D$9:$L$9,"",-1,1),_xlfn.XLOOKUP(G226,Data!$D$7:$L$7,Data!$D$2:$L$2,"",-1,1)))</f>
        <v/>
      </c>
      <c r="L226" s="160" t="str" cm="1">
        <f t="array" ref="L226">IFERROR(_xlfn.IFNA(
                      _xlfn.IFS(
                      G226="", "",
                      AND(E226="U12B",G226&gt;=Data!$M$7), "U12 Boys record",
                      AND(E226="U12G",G226&gt;=Data!$M$14), "U12 Girls record"
                       ),""), "")</f>
        <v/>
      </c>
      <c r="M226" s="18" cm="1">
        <f t="array" ref="M226">_xlfn.IFS($G226="",0, AND(NOT(ISNUMBER($G226)),LOWER(LEFT($G226,1))&lt;&gt;"n"),"Not a valid distance",OR(LOWER(LEFT($G226,1))="n",$G226&lt;ScoringTable!$O$161),1,RIGHT($E226,1)="B",_xlfn.XLOOKUP($G226,ScoringTable!$O$2:$O$161,ScoringTable!$L$2:$L$161,,-1),TRUE,_xlfn.XLOOKUP($G226,ScoringTable!$U$2:$U$161,ScoringTable!$R$2:$R$161,,-1))</f>
        <v>0</v>
      </c>
    </row>
    <row r="227" spans="1:13" s="7" customFormat="1" ht="16.05" customHeight="1">
      <c r="A227" s="113" t="s">
        <v>99</v>
      </c>
      <c r="B227" s="114" t="str">
        <f>IF(ISNA(VLOOKUP($F227,Declarations!B$6:C$185,2,FALSE)),"",IF(VLOOKUP($F227,Declarations!B$6:C$185,2,FALSE)="","NOT DECLARED",IF(ISNA(_xlfn.TEXTBEFORE(VLOOKUP($F227,Declarations!B$6:C$185,2,FALSE)," ")),VLOOKUP($F227,Declarations!B$6:C$185,2,FALSE),_xlfn.TEXTBEFORE(VLOOKUP($F227,Declarations!B$6:C$185,2,FALSE)," "))))</f>
        <v/>
      </c>
      <c r="C227" s="114" t="str">
        <f>IF(ISNA(VLOOKUP($F227,Declarations!B$6:C$185,2,FALSE)),"",IF(VLOOKUP($F227,Declarations!B$6:C$185,2,FALSE)="","NOT DECLARED",IF(ISNA(_xlfn.TEXTAFTER(VLOOKUP($F227,Declarations!B$6:C$185,2,FALSE)," ")),VLOOKUP($F227,Declarations!B$6:C$185,2,FALSE),_xlfn.TEXTAFTER(VLOOKUP($F227,Declarations!B$6:C$185,2,FALSE)," "))))</f>
        <v/>
      </c>
      <c r="D227" s="114" t="str">
        <f>IF(ISNA(VLOOKUP($F227,Declarations!$B$6:$F$185,5,FALSE)),"",IF(VLOOKUP($F227,Declarations!$B$6:$F$185,5,FALSE)="","NOT DECLARED",VLOOKUP($F227,Declarations!$B$6:$F$185,5,FALSE)))</f>
        <v/>
      </c>
      <c r="E227" s="112" t="str">
        <f>IF(ISNA(VLOOKUP($F227,Declarations!$B$6:$D$185,3,FALSE)),"",IF(VLOOKUP($F227,Declarations!$B$6:$D$185,3,FALSE)="","NOT DECLARED",VLOOKUP($F227,Declarations!$B$6:$D$185,3,FALSE)&amp;LEFT(VLOOKUP($F227,Declarations!$B$6:$E$185,4,FALSE))))</f>
        <v/>
      </c>
      <c r="F227" s="58"/>
      <c r="G227" s="121"/>
      <c r="H227" s="121"/>
      <c r="I227" s="114" t="str">
        <f>IF(ISNA(VLOOKUP(F227,Declarations!B$6:C$185,2,FALSE)),"",IF(VLOOKUP(F227,Declarations!B$6:C$185,2,FALSE)="","NOT DECLARED",VLOOKUP(F227,Declarations!B$6:C$185,2,FALSE)))</f>
        <v/>
      </c>
      <c r="J227" s="112">
        <f>IF(LOWER(LEFT(G227,1))="n",1,VLOOKUP(G227,ScoringTable!D$2:I$95,6))</f>
        <v>0</v>
      </c>
      <c r="K227" s="112" t="str">
        <f>IF(OR(E227="",G227=""),"",IF(RIGHT(E227,1)="G",_xlfn.XLOOKUP(G227,Data!$D$14:$L$14,Data!$D$9:$L$9,"",-1,1),_xlfn.XLOOKUP(G227,Data!$D$7:$L$7,Data!$D$2:$L$2,"",-1,1)))</f>
        <v/>
      </c>
      <c r="L227" s="160" t="str" cm="1">
        <f t="array" ref="L227">IFERROR(_xlfn.IFNA(
                      _xlfn.IFS(
                      G227="", "",
                      AND(E227="U12B",G227&gt;=Data!$M$7), "U12 Boys record",
                      AND(E227="U12G",G227&gt;=Data!$M$14), "U12 Girls record"
                       ),""), "")</f>
        <v/>
      </c>
      <c r="M227" s="18" cm="1">
        <f t="array" ref="M227">_xlfn.IFS($G227="",0, AND(NOT(ISNUMBER($G227)),LOWER(LEFT($G227,1))&lt;&gt;"n"),"Not a valid distance",OR(LOWER(LEFT($G227,1))="n",$G227&lt;ScoringTable!$O$161),1,RIGHT($E227,1)="B",_xlfn.XLOOKUP($G227,ScoringTable!$O$2:$O$161,ScoringTable!$L$2:$L$161,,-1),TRUE,_xlfn.XLOOKUP($G227,ScoringTable!$U$2:$U$161,ScoringTable!$R$2:$R$161,,-1))</f>
        <v>0</v>
      </c>
    </row>
    <row r="228" spans="1:13" s="7" customFormat="1" ht="16.05" customHeight="1">
      <c r="A228" s="113" t="s">
        <v>99</v>
      </c>
      <c r="B228" s="114" t="str">
        <f>IF(ISNA(VLOOKUP($F228,Declarations!B$6:C$185,2,FALSE)),"",IF(VLOOKUP($F228,Declarations!B$6:C$185,2,FALSE)="","NOT DECLARED",IF(ISNA(_xlfn.TEXTBEFORE(VLOOKUP($F228,Declarations!B$6:C$185,2,FALSE)," ")),VLOOKUP($F228,Declarations!B$6:C$185,2,FALSE),_xlfn.TEXTBEFORE(VLOOKUP($F228,Declarations!B$6:C$185,2,FALSE)," "))))</f>
        <v/>
      </c>
      <c r="C228" s="114" t="str">
        <f>IF(ISNA(VLOOKUP($F228,Declarations!B$6:C$185,2,FALSE)),"",IF(VLOOKUP($F228,Declarations!B$6:C$185,2,FALSE)="","NOT DECLARED",IF(ISNA(_xlfn.TEXTAFTER(VLOOKUP($F228,Declarations!B$6:C$185,2,FALSE)," ")),VLOOKUP($F228,Declarations!B$6:C$185,2,FALSE),_xlfn.TEXTAFTER(VLOOKUP($F228,Declarations!B$6:C$185,2,FALSE)," "))))</f>
        <v/>
      </c>
      <c r="D228" s="114" t="str">
        <f>IF(ISNA(VLOOKUP($F228,Declarations!$B$6:$F$185,5,FALSE)),"",IF(VLOOKUP($F228,Declarations!$B$6:$F$185,5,FALSE)="","NOT DECLARED",VLOOKUP($F228,Declarations!$B$6:$F$185,5,FALSE)))</f>
        <v/>
      </c>
      <c r="E228" s="112" t="str">
        <f>IF(ISNA(VLOOKUP($F228,Declarations!$B$6:$D$185,3,FALSE)),"",IF(VLOOKUP($F228,Declarations!$B$6:$D$185,3,FALSE)="","NOT DECLARED",VLOOKUP($F228,Declarations!$B$6:$D$185,3,FALSE)&amp;LEFT(VLOOKUP($F228,Declarations!$B$6:$E$185,4,FALSE))))</f>
        <v/>
      </c>
      <c r="F228" s="58"/>
      <c r="G228" s="121"/>
      <c r="H228" s="121"/>
      <c r="I228" s="114" t="str">
        <f>IF(ISNA(VLOOKUP(F228,Declarations!B$6:C$185,2,FALSE)),"",IF(VLOOKUP(F228,Declarations!B$6:C$185,2,FALSE)="","NOT DECLARED",VLOOKUP(F228,Declarations!B$6:C$185,2,FALSE)))</f>
        <v/>
      </c>
      <c r="J228" s="112">
        <f>IF(LOWER(LEFT(G228,1))="n",1,VLOOKUP(G228,ScoringTable!D$2:I$95,6))</f>
        <v>0</v>
      </c>
      <c r="K228" s="112" t="str">
        <f>IF(OR(E228="",G228=""),"",IF(RIGHT(E228,1)="G",_xlfn.XLOOKUP(G228,Data!$D$14:$L$14,Data!$D$9:$L$9,"",-1,1),_xlfn.XLOOKUP(G228,Data!$D$7:$L$7,Data!$D$2:$L$2,"",-1,1)))</f>
        <v/>
      </c>
      <c r="L228" s="160" t="str" cm="1">
        <f t="array" ref="L228">IFERROR(_xlfn.IFNA(
                      _xlfn.IFS(
                      G228="", "",
                      AND(E228="U12B",G228&gt;=Data!$M$7), "U12 Boys record",
                      AND(E228="U12G",G228&gt;=Data!$M$14), "U12 Girls record"
                       ),""), "")</f>
        <v/>
      </c>
      <c r="M228" s="18" cm="1">
        <f t="array" ref="M228">_xlfn.IFS($G228="",0, AND(NOT(ISNUMBER($G228)),LOWER(LEFT($G228,1))&lt;&gt;"n"),"Not a valid distance",OR(LOWER(LEFT($G228,1))="n",$G228&lt;ScoringTable!$O$161),1,RIGHT($E228,1)="B",_xlfn.XLOOKUP($G228,ScoringTable!$O$2:$O$161,ScoringTable!$L$2:$L$161,,-1),TRUE,_xlfn.XLOOKUP($G228,ScoringTable!$U$2:$U$161,ScoringTable!$R$2:$R$161,,-1))</f>
        <v>0</v>
      </c>
    </row>
    <row r="229" spans="1:13" s="7" customFormat="1" ht="16.05" customHeight="1">
      <c r="A229" s="113" t="s">
        <v>99</v>
      </c>
      <c r="B229" s="114" t="str">
        <f>IF(ISNA(VLOOKUP($F229,Declarations!B$6:C$185,2,FALSE)),"",IF(VLOOKUP($F229,Declarations!B$6:C$185,2,FALSE)="","NOT DECLARED",IF(ISNA(_xlfn.TEXTBEFORE(VLOOKUP($F229,Declarations!B$6:C$185,2,FALSE)," ")),VLOOKUP($F229,Declarations!B$6:C$185,2,FALSE),_xlfn.TEXTBEFORE(VLOOKUP($F229,Declarations!B$6:C$185,2,FALSE)," "))))</f>
        <v/>
      </c>
      <c r="C229" s="114" t="str">
        <f>IF(ISNA(VLOOKUP($F229,Declarations!B$6:C$185,2,FALSE)),"",IF(VLOOKUP($F229,Declarations!B$6:C$185,2,FALSE)="","NOT DECLARED",IF(ISNA(_xlfn.TEXTAFTER(VLOOKUP($F229,Declarations!B$6:C$185,2,FALSE)," ")),VLOOKUP($F229,Declarations!B$6:C$185,2,FALSE),_xlfn.TEXTAFTER(VLOOKUP($F229,Declarations!B$6:C$185,2,FALSE)," "))))</f>
        <v/>
      </c>
      <c r="D229" s="114" t="str">
        <f>IF(ISNA(VLOOKUP($F229,Declarations!$B$6:$F$185,5,FALSE)),"",IF(VLOOKUP($F229,Declarations!$B$6:$F$185,5,FALSE)="","NOT DECLARED",VLOOKUP($F229,Declarations!$B$6:$F$185,5,FALSE)))</f>
        <v/>
      </c>
      <c r="E229" s="112" t="str">
        <f>IF(ISNA(VLOOKUP($F229,Declarations!$B$6:$D$185,3,FALSE)),"",IF(VLOOKUP($F229,Declarations!$B$6:$D$185,3,FALSE)="","NOT DECLARED",VLOOKUP($F229,Declarations!$B$6:$D$185,3,FALSE)&amp;LEFT(VLOOKUP($F229,Declarations!$B$6:$E$185,4,FALSE))))</f>
        <v/>
      </c>
      <c r="F229" s="58"/>
      <c r="G229" s="121"/>
      <c r="H229" s="121"/>
      <c r="I229" s="114" t="str">
        <f>IF(ISNA(VLOOKUP(F229,Declarations!B$6:C$185,2,FALSE)),"",IF(VLOOKUP(F229,Declarations!B$6:C$185,2,FALSE)="","NOT DECLARED",VLOOKUP(F229,Declarations!B$6:C$185,2,FALSE)))</f>
        <v/>
      </c>
      <c r="J229" s="112">
        <f>IF(LOWER(LEFT(G229,1))="n",1,VLOOKUP(G229,ScoringTable!D$2:I$95,6))</f>
        <v>0</v>
      </c>
      <c r="K229" s="112" t="str">
        <f>IF(OR(E229="",G229=""),"",IF(RIGHT(E229,1)="G",_xlfn.XLOOKUP(G229,Data!$D$14:$L$14,Data!$D$9:$L$9,"",-1,1),_xlfn.XLOOKUP(G229,Data!$D$7:$L$7,Data!$D$2:$L$2,"",-1,1)))</f>
        <v/>
      </c>
      <c r="L229" s="160" t="str" cm="1">
        <f t="array" ref="L229">IFERROR(_xlfn.IFNA(
                      _xlfn.IFS(
                      G229="", "",
                      AND(E229="U12B",G229&gt;=Data!$M$7), "U12 Boys record",
                      AND(E229="U12G",G229&gt;=Data!$M$14), "U12 Girls record"
                       ),""), "")</f>
        <v/>
      </c>
      <c r="M229" s="18" cm="1">
        <f t="array" ref="M229">_xlfn.IFS($G229="",0, AND(NOT(ISNUMBER($G229)),LOWER(LEFT($G229,1))&lt;&gt;"n"),"Not a valid distance",OR(LOWER(LEFT($G229,1))="n",$G229&lt;ScoringTable!$O$161),1,RIGHT($E229,1)="B",_xlfn.XLOOKUP($G229,ScoringTable!$O$2:$O$161,ScoringTable!$L$2:$L$161,,-1),TRUE,_xlfn.XLOOKUP($G229,ScoringTable!$U$2:$U$161,ScoringTable!$R$2:$R$161,,-1))</f>
        <v>0</v>
      </c>
    </row>
    <row r="230" spans="1:13" s="7" customFormat="1" ht="16.05" customHeight="1">
      <c r="A230" s="113" t="s">
        <v>99</v>
      </c>
      <c r="B230" s="114" t="str">
        <f>IF(ISNA(VLOOKUP($F230,Declarations!B$6:C$185,2,FALSE)),"",IF(VLOOKUP($F230,Declarations!B$6:C$185,2,FALSE)="","NOT DECLARED",IF(ISNA(_xlfn.TEXTBEFORE(VLOOKUP($F230,Declarations!B$6:C$185,2,FALSE)," ")),VLOOKUP($F230,Declarations!B$6:C$185,2,FALSE),_xlfn.TEXTBEFORE(VLOOKUP($F230,Declarations!B$6:C$185,2,FALSE)," "))))</f>
        <v/>
      </c>
      <c r="C230" s="114" t="str">
        <f>IF(ISNA(VLOOKUP($F230,Declarations!B$6:C$185,2,FALSE)),"",IF(VLOOKUP($F230,Declarations!B$6:C$185,2,FALSE)="","NOT DECLARED",IF(ISNA(_xlfn.TEXTAFTER(VLOOKUP($F230,Declarations!B$6:C$185,2,FALSE)," ")),VLOOKUP($F230,Declarations!B$6:C$185,2,FALSE),_xlfn.TEXTAFTER(VLOOKUP($F230,Declarations!B$6:C$185,2,FALSE)," "))))</f>
        <v/>
      </c>
      <c r="D230" s="114" t="str">
        <f>IF(ISNA(VLOOKUP($F230,Declarations!$B$6:$F$185,5,FALSE)),"",IF(VLOOKUP($F230,Declarations!$B$6:$F$185,5,FALSE)="","NOT DECLARED",VLOOKUP($F230,Declarations!$B$6:$F$185,5,FALSE)))</f>
        <v/>
      </c>
      <c r="E230" s="112" t="str">
        <f>IF(ISNA(VLOOKUP($F230,Declarations!$B$6:$D$185,3,FALSE)),"",IF(VLOOKUP($F230,Declarations!$B$6:$D$185,3,FALSE)="","NOT DECLARED",VLOOKUP($F230,Declarations!$B$6:$D$185,3,FALSE)&amp;LEFT(VLOOKUP($F230,Declarations!$B$6:$E$185,4,FALSE))))</f>
        <v/>
      </c>
      <c r="F230" s="58"/>
      <c r="G230" s="121"/>
      <c r="H230" s="121"/>
      <c r="I230" s="114" t="str">
        <f>IF(ISNA(VLOOKUP(F230,Declarations!B$6:C$185,2,FALSE)),"",IF(VLOOKUP(F230,Declarations!B$6:C$185,2,FALSE)="","NOT DECLARED",VLOOKUP(F230,Declarations!B$6:C$185,2,FALSE)))</f>
        <v/>
      </c>
      <c r="J230" s="112">
        <f>IF(LOWER(LEFT(G230,1))="n",1,VLOOKUP(G230,ScoringTable!D$2:I$95,6))</f>
        <v>0</v>
      </c>
      <c r="K230" s="112" t="str">
        <f>IF(OR(E230="",G230=""),"",IF(RIGHT(E230,1)="G",_xlfn.XLOOKUP(G230,Data!$D$14:$L$14,Data!$D$9:$L$9,"",-1,1),_xlfn.XLOOKUP(G230,Data!$D$7:$L$7,Data!$D$2:$L$2,"",-1,1)))</f>
        <v/>
      </c>
      <c r="L230" s="160" t="str" cm="1">
        <f t="array" ref="L230">IFERROR(_xlfn.IFNA(
                      _xlfn.IFS(
                      G230="", "",
                      AND(E230="U12B",G230&gt;=Data!$M$7), "U12 Boys record",
                      AND(E230="U12G",G230&gt;=Data!$M$14), "U12 Girls record"
                       ),""), "")</f>
        <v/>
      </c>
      <c r="M230" s="18" cm="1">
        <f t="array" ref="M230">_xlfn.IFS($G230="",0, AND(NOT(ISNUMBER($G230)),LOWER(LEFT($G230,1))&lt;&gt;"n"),"Not a valid distance",OR(LOWER(LEFT($G230,1))="n",$G230&lt;ScoringTable!$O$161),1,RIGHT($E230,1)="B",_xlfn.XLOOKUP($G230,ScoringTable!$O$2:$O$161,ScoringTable!$L$2:$L$161,,-1),TRUE,_xlfn.XLOOKUP($G230,ScoringTable!$U$2:$U$161,ScoringTable!$R$2:$R$161,,-1))</f>
        <v>0</v>
      </c>
    </row>
    <row r="231" spans="1:13" s="7" customFormat="1" ht="16.05" customHeight="1">
      <c r="A231" s="113" t="s">
        <v>99</v>
      </c>
      <c r="B231" s="114" t="str">
        <f>IF(ISNA(VLOOKUP($F231,Declarations!B$6:C$185,2,FALSE)),"",IF(VLOOKUP($F231,Declarations!B$6:C$185,2,FALSE)="","NOT DECLARED",IF(ISNA(_xlfn.TEXTBEFORE(VLOOKUP($F231,Declarations!B$6:C$185,2,FALSE)," ")),VLOOKUP($F231,Declarations!B$6:C$185,2,FALSE),_xlfn.TEXTBEFORE(VLOOKUP($F231,Declarations!B$6:C$185,2,FALSE)," "))))</f>
        <v/>
      </c>
      <c r="C231" s="114" t="str">
        <f>IF(ISNA(VLOOKUP($F231,Declarations!B$6:C$185,2,FALSE)),"",IF(VLOOKUP($F231,Declarations!B$6:C$185,2,FALSE)="","NOT DECLARED",IF(ISNA(_xlfn.TEXTAFTER(VLOOKUP($F231,Declarations!B$6:C$185,2,FALSE)," ")),VLOOKUP($F231,Declarations!B$6:C$185,2,FALSE),_xlfn.TEXTAFTER(VLOOKUP($F231,Declarations!B$6:C$185,2,FALSE)," "))))</f>
        <v/>
      </c>
      <c r="D231" s="114" t="str">
        <f>IF(ISNA(VLOOKUP($F231,Declarations!$B$6:$F$185,5,FALSE)),"",IF(VLOOKUP($F231,Declarations!$B$6:$F$185,5,FALSE)="","NOT DECLARED",VLOOKUP($F231,Declarations!$B$6:$F$185,5,FALSE)))</f>
        <v/>
      </c>
      <c r="E231" s="112" t="str">
        <f>IF(ISNA(VLOOKUP($F231,Declarations!$B$6:$D$185,3,FALSE)),"",IF(VLOOKUP($F231,Declarations!$B$6:$D$185,3,FALSE)="","NOT DECLARED",VLOOKUP($F231,Declarations!$B$6:$D$185,3,FALSE)&amp;LEFT(VLOOKUP($F231,Declarations!$B$6:$E$185,4,FALSE))))</f>
        <v/>
      </c>
      <c r="F231" s="58"/>
      <c r="G231" s="121"/>
      <c r="H231" s="121"/>
      <c r="I231" s="114" t="str">
        <f>IF(ISNA(VLOOKUP(F231,Declarations!B$6:C$185,2,FALSE)),"",IF(VLOOKUP(F231,Declarations!B$6:C$185,2,FALSE)="","NOT DECLARED",VLOOKUP(F231,Declarations!B$6:C$185,2,FALSE)))</f>
        <v/>
      </c>
      <c r="J231" s="112">
        <f>IF(LOWER(LEFT(G231,1))="n",1,VLOOKUP(G231,ScoringTable!D$2:I$95,6))</f>
        <v>0</v>
      </c>
      <c r="K231" s="112" t="str">
        <f>IF(OR(E231="",G231=""),"",IF(RIGHT(E231,1)="G",_xlfn.XLOOKUP(G231,Data!$D$14:$L$14,Data!$D$9:$L$9,"",-1,1),_xlfn.XLOOKUP(G231,Data!$D$7:$L$7,Data!$D$2:$L$2,"",-1,1)))</f>
        <v/>
      </c>
      <c r="L231" s="160" t="str" cm="1">
        <f t="array" ref="L231">IFERROR(_xlfn.IFNA(
                      _xlfn.IFS(
                      G231="", "",
                      AND(E231="U12B",G231&gt;=Data!$M$7), "U12 Boys record",
                      AND(E231="U12G",G231&gt;=Data!$M$14), "U12 Girls record"
                       ),""), "")</f>
        <v/>
      </c>
      <c r="M231" s="18" cm="1">
        <f t="array" ref="M231">_xlfn.IFS($G231="",0, AND(NOT(ISNUMBER($G231)),LOWER(LEFT($G231,1))&lt;&gt;"n"),"Not a valid distance",OR(LOWER(LEFT($G231,1))="n",$G231&lt;ScoringTable!$O$161),1,RIGHT($E231,1)="B",_xlfn.XLOOKUP($G231,ScoringTable!$O$2:$O$161,ScoringTable!$L$2:$L$161,,-1),TRUE,_xlfn.XLOOKUP($G231,ScoringTable!$U$2:$U$161,ScoringTable!$R$2:$R$161,,-1))</f>
        <v>0</v>
      </c>
    </row>
    <row r="232" spans="1:13" s="7" customFormat="1" ht="16.05" customHeight="1">
      <c r="A232" s="113" t="s">
        <v>99</v>
      </c>
      <c r="B232" s="114" t="str">
        <f>IF(ISNA(VLOOKUP($F232,Declarations!B$6:C$185,2,FALSE)),"",IF(VLOOKUP($F232,Declarations!B$6:C$185,2,FALSE)="","NOT DECLARED",IF(ISNA(_xlfn.TEXTBEFORE(VLOOKUP($F232,Declarations!B$6:C$185,2,FALSE)," ")),VLOOKUP($F232,Declarations!B$6:C$185,2,FALSE),_xlfn.TEXTBEFORE(VLOOKUP($F232,Declarations!B$6:C$185,2,FALSE)," "))))</f>
        <v/>
      </c>
      <c r="C232" s="114" t="str">
        <f>IF(ISNA(VLOOKUP($F232,Declarations!B$6:C$185,2,FALSE)),"",IF(VLOOKUP($F232,Declarations!B$6:C$185,2,FALSE)="","NOT DECLARED",IF(ISNA(_xlfn.TEXTAFTER(VLOOKUP($F232,Declarations!B$6:C$185,2,FALSE)," ")),VLOOKUP($F232,Declarations!B$6:C$185,2,FALSE),_xlfn.TEXTAFTER(VLOOKUP($F232,Declarations!B$6:C$185,2,FALSE)," "))))</f>
        <v/>
      </c>
      <c r="D232" s="114" t="str">
        <f>IF(ISNA(VLOOKUP($F232,Declarations!$B$6:$F$185,5,FALSE)),"",IF(VLOOKUP($F232,Declarations!$B$6:$F$185,5,FALSE)="","NOT DECLARED",VLOOKUP($F232,Declarations!$B$6:$F$185,5,FALSE)))</f>
        <v/>
      </c>
      <c r="E232" s="112" t="str">
        <f>IF(ISNA(VLOOKUP($F232,Declarations!$B$6:$D$185,3,FALSE)),"",IF(VLOOKUP($F232,Declarations!$B$6:$D$185,3,FALSE)="","NOT DECLARED",VLOOKUP($F232,Declarations!$B$6:$D$185,3,FALSE)&amp;LEFT(VLOOKUP($F232,Declarations!$B$6:$E$185,4,FALSE))))</f>
        <v/>
      </c>
      <c r="F232" s="58"/>
      <c r="G232" s="121"/>
      <c r="H232" s="121"/>
      <c r="I232" s="114" t="str">
        <f>IF(ISNA(VLOOKUP(F232,Declarations!B$6:C$185,2,FALSE)),"",IF(VLOOKUP(F232,Declarations!B$6:C$185,2,FALSE)="","NOT DECLARED",VLOOKUP(F232,Declarations!B$6:C$185,2,FALSE)))</f>
        <v/>
      </c>
      <c r="J232" s="112">
        <f>IF(LOWER(LEFT(G232,1))="n",1,VLOOKUP(G232,ScoringTable!D$2:I$95,6))</f>
        <v>0</v>
      </c>
      <c r="K232" s="112" t="str">
        <f>IF(OR(E232="",G232=""),"",IF(RIGHT(E232,1)="G",_xlfn.XLOOKUP(G232,Data!$D$14:$L$14,Data!$D$9:$L$9,"",-1,1),_xlfn.XLOOKUP(G232,Data!$D$7:$L$7,Data!$D$2:$L$2,"",-1,1)))</f>
        <v/>
      </c>
      <c r="L232" s="160" t="str" cm="1">
        <f t="array" ref="L232">IFERROR(_xlfn.IFNA(
                      _xlfn.IFS(
                      G232="", "",
                      AND(E232="U12B",G232&gt;=Data!$M$7), "U12 Boys record",
                      AND(E232="U12G",G232&gt;=Data!$M$14), "U12 Girls record"
                       ),""), "")</f>
        <v/>
      </c>
      <c r="M232" s="18" cm="1">
        <f t="array" ref="M232">_xlfn.IFS($G232="",0, AND(NOT(ISNUMBER($G232)),LOWER(LEFT($G232,1))&lt;&gt;"n"),"Not a valid distance",OR(LOWER(LEFT($G232,1))="n",$G232&lt;ScoringTable!$O$161),1,RIGHT($E232,1)="B",_xlfn.XLOOKUP($G232,ScoringTable!$O$2:$O$161,ScoringTable!$L$2:$L$161,,-1),TRUE,_xlfn.XLOOKUP($G232,ScoringTable!$U$2:$U$161,ScoringTable!$R$2:$R$161,,-1))</f>
        <v>0</v>
      </c>
    </row>
    <row r="233" spans="1:13" s="7" customFormat="1" ht="16.05" customHeight="1">
      <c r="A233" s="113" t="s">
        <v>99</v>
      </c>
      <c r="B233" s="114" t="str">
        <f>IF(ISNA(VLOOKUP($F233,Declarations!B$6:C$185,2,FALSE)),"",IF(VLOOKUP($F233,Declarations!B$6:C$185,2,FALSE)="","NOT DECLARED",IF(ISNA(_xlfn.TEXTBEFORE(VLOOKUP($F233,Declarations!B$6:C$185,2,FALSE)," ")),VLOOKUP($F233,Declarations!B$6:C$185,2,FALSE),_xlfn.TEXTBEFORE(VLOOKUP($F233,Declarations!B$6:C$185,2,FALSE)," "))))</f>
        <v/>
      </c>
      <c r="C233" s="114" t="str">
        <f>IF(ISNA(VLOOKUP($F233,Declarations!B$6:C$185,2,FALSE)),"",IF(VLOOKUP($F233,Declarations!B$6:C$185,2,FALSE)="","NOT DECLARED",IF(ISNA(_xlfn.TEXTAFTER(VLOOKUP($F233,Declarations!B$6:C$185,2,FALSE)," ")),VLOOKUP($F233,Declarations!B$6:C$185,2,FALSE),_xlfn.TEXTAFTER(VLOOKUP($F233,Declarations!B$6:C$185,2,FALSE)," "))))</f>
        <v/>
      </c>
      <c r="D233" s="114" t="str">
        <f>IF(ISNA(VLOOKUP($F233,Declarations!$B$6:$F$185,5,FALSE)),"",IF(VLOOKUP($F233,Declarations!$B$6:$F$185,5,FALSE)="","NOT DECLARED",VLOOKUP($F233,Declarations!$B$6:$F$185,5,FALSE)))</f>
        <v/>
      </c>
      <c r="E233" s="112" t="str">
        <f>IF(ISNA(VLOOKUP($F233,Declarations!$B$6:$D$185,3,FALSE)),"",IF(VLOOKUP($F233,Declarations!$B$6:$D$185,3,FALSE)="","NOT DECLARED",VLOOKUP($F233,Declarations!$B$6:$D$185,3,FALSE)&amp;LEFT(VLOOKUP($F233,Declarations!$B$6:$E$185,4,FALSE))))</f>
        <v/>
      </c>
      <c r="F233" s="58"/>
      <c r="G233" s="121"/>
      <c r="H233" s="121"/>
      <c r="I233" s="114" t="str">
        <f>IF(ISNA(VLOOKUP(F233,Declarations!B$6:C$185,2,FALSE)),"",IF(VLOOKUP(F233,Declarations!B$6:C$185,2,FALSE)="","NOT DECLARED",VLOOKUP(F233,Declarations!B$6:C$185,2,FALSE)))</f>
        <v/>
      </c>
      <c r="J233" s="112">
        <f>IF(LOWER(LEFT(G233,1))="n",1,VLOOKUP(G233,ScoringTable!D$2:I$95,6))</f>
        <v>0</v>
      </c>
      <c r="K233" s="112" t="str">
        <f>IF(OR(E233="",G233=""),"",IF(RIGHT(E233,1)="G",_xlfn.XLOOKUP(G233,Data!$D$14:$L$14,Data!$D$9:$L$9,"",-1,1),_xlfn.XLOOKUP(G233,Data!$D$7:$L$7,Data!$D$2:$L$2,"",-1,1)))</f>
        <v/>
      </c>
      <c r="L233" s="160" t="str" cm="1">
        <f t="array" ref="L233">IFERROR(_xlfn.IFNA(
                      _xlfn.IFS(
                      G233="", "",
                      AND(E233="U12B",G233&gt;=Data!$M$7), "U12 Boys record",
                      AND(E233="U12G",G233&gt;=Data!$M$14), "U12 Girls record"
                       ),""), "")</f>
        <v/>
      </c>
      <c r="M233" s="18" cm="1">
        <f t="array" ref="M233">_xlfn.IFS($G233="",0, AND(NOT(ISNUMBER($G233)),LOWER(LEFT($G233,1))&lt;&gt;"n"),"Not a valid distance",OR(LOWER(LEFT($G233,1))="n",$G233&lt;ScoringTable!$O$161),1,RIGHT($E233,1)="B",_xlfn.XLOOKUP($G233,ScoringTable!$O$2:$O$161,ScoringTable!$L$2:$L$161,,-1),TRUE,_xlfn.XLOOKUP($G233,ScoringTable!$U$2:$U$161,ScoringTable!$R$2:$R$161,,-1))</f>
        <v>0</v>
      </c>
    </row>
    <row r="234" spans="1:13" s="7" customFormat="1" ht="16.05" customHeight="1">
      <c r="A234" s="113" t="s">
        <v>99</v>
      </c>
      <c r="B234" s="114" t="str">
        <f>IF(ISNA(VLOOKUP($F234,Declarations!B$6:C$185,2,FALSE)),"",IF(VLOOKUP($F234,Declarations!B$6:C$185,2,FALSE)="","NOT DECLARED",IF(ISNA(_xlfn.TEXTBEFORE(VLOOKUP($F234,Declarations!B$6:C$185,2,FALSE)," ")),VLOOKUP($F234,Declarations!B$6:C$185,2,FALSE),_xlfn.TEXTBEFORE(VLOOKUP($F234,Declarations!B$6:C$185,2,FALSE)," "))))</f>
        <v/>
      </c>
      <c r="C234" s="114" t="str">
        <f>IF(ISNA(VLOOKUP($F234,Declarations!B$6:C$185,2,FALSE)),"",IF(VLOOKUP($F234,Declarations!B$6:C$185,2,FALSE)="","NOT DECLARED",IF(ISNA(_xlfn.TEXTAFTER(VLOOKUP($F234,Declarations!B$6:C$185,2,FALSE)," ")),VLOOKUP($F234,Declarations!B$6:C$185,2,FALSE),_xlfn.TEXTAFTER(VLOOKUP($F234,Declarations!B$6:C$185,2,FALSE)," "))))</f>
        <v/>
      </c>
      <c r="D234" s="114" t="str">
        <f>IF(ISNA(VLOOKUP($F234,Declarations!$B$6:$F$185,5,FALSE)),"",IF(VLOOKUP($F234,Declarations!$B$6:$F$185,5,FALSE)="","NOT DECLARED",VLOOKUP($F234,Declarations!$B$6:$F$185,5,FALSE)))</f>
        <v/>
      </c>
      <c r="E234" s="112" t="str">
        <f>IF(ISNA(VLOOKUP($F234,Declarations!$B$6:$D$185,3,FALSE)),"",IF(VLOOKUP($F234,Declarations!$B$6:$D$185,3,FALSE)="","NOT DECLARED",VLOOKUP($F234,Declarations!$B$6:$D$185,3,FALSE)&amp;LEFT(VLOOKUP($F234,Declarations!$B$6:$E$185,4,FALSE))))</f>
        <v/>
      </c>
      <c r="F234" s="58"/>
      <c r="G234" s="121"/>
      <c r="H234" s="121"/>
      <c r="I234" s="114" t="str">
        <f>IF(ISNA(VLOOKUP(F234,Declarations!B$6:C$185,2,FALSE)),"",IF(VLOOKUP(F234,Declarations!B$6:C$185,2,FALSE)="","NOT DECLARED",VLOOKUP(F234,Declarations!B$6:C$185,2,FALSE)))</f>
        <v/>
      </c>
      <c r="J234" s="112">
        <f>IF(LOWER(LEFT(G234,1))="n",1,VLOOKUP(G234,ScoringTable!D$2:I$95,6))</f>
        <v>0</v>
      </c>
      <c r="K234" s="112" t="str">
        <f>IF(OR(E234="",G234=""),"",IF(RIGHT(E234,1)="G",_xlfn.XLOOKUP(G234,Data!$D$14:$L$14,Data!$D$9:$L$9,"",-1,1),_xlfn.XLOOKUP(G234,Data!$D$7:$L$7,Data!$D$2:$L$2,"",-1,1)))</f>
        <v/>
      </c>
      <c r="L234" s="160" t="str" cm="1">
        <f t="array" ref="L234">IFERROR(_xlfn.IFNA(
                      _xlfn.IFS(
                      G234="", "",
                      AND(E234="U12B",G234&gt;=Data!$M$7), "U12 Boys record",
                      AND(E234="U12G",G234&gt;=Data!$M$14), "U12 Girls record"
                       ),""), "")</f>
        <v/>
      </c>
      <c r="M234" s="18" cm="1">
        <f t="array" ref="M234">_xlfn.IFS($G234="",0, AND(NOT(ISNUMBER($G234)),LOWER(LEFT($G234,1))&lt;&gt;"n"),"Not a valid distance",OR(LOWER(LEFT($G234,1))="n",$G234&lt;ScoringTable!$O$161),1,RIGHT($E234,1)="B",_xlfn.XLOOKUP($G234,ScoringTable!$O$2:$O$161,ScoringTable!$L$2:$L$161,,-1),TRUE,_xlfn.XLOOKUP($G234,ScoringTable!$U$2:$U$161,ScoringTable!$R$2:$R$161,,-1))</f>
        <v>0</v>
      </c>
    </row>
    <row r="235" spans="1:13" s="7" customFormat="1" ht="16.05" customHeight="1">
      <c r="A235" s="113" t="s">
        <v>99</v>
      </c>
      <c r="B235" s="114" t="str">
        <f>IF(ISNA(VLOOKUP($F235,Declarations!B$6:C$185,2,FALSE)),"",IF(VLOOKUP($F235,Declarations!B$6:C$185,2,FALSE)="","NOT DECLARED",IF(ISNA(_xlfn.TEXTBEFORE(VLOOKUP($F235,Declarations!B$6:C$185,2,FALSE)," ")),VLOOKUP($F235,Declarations!B$6:C$185,2,FALSE),_xlfn.TEXTBEFORE(VLOOKUP($F235,Declarations!B$6:C$185,2,FALSE)," "))))</f>
        <v/>
      </c>
      <c r="C235" s="114" t="str">
        <f>IF(ISNA(VLOOKUP($F235,Declarations!B$6:C$185,2,FALSE)),"",IF(VLOOKUP($F235,Declarations!B$6:C$185,2,FALSE)="","NOT DECLARED",IF(ISNA(_xlfn.TEXTAFTER(VLOOKUP($F235,Declarations!B$6:C$185,2,FALSE)," ")),VLOOKUP($F235,Declarations!B$6:C$185,2,FALSE),_xlfn.TEXTAFTER(VLOOKUP($F235,Declarations!B$6:C$185,2,FALSE)," "))))</f>
        <v/>
      </c>
      <c r="D235" s="114" t="str">
        <f>IF(ISNA(VLOOKUP($F235,Declarations!$B$6:$F$185,5,FALSE)),"",IF(VLOOKUP($F235,Declarations!$B$6:$F$185,5,FALSE)="","NOT DECLARED",VLOOKUP($F235,Declarations!$B$6:$F$185,5,FALSE)))</f>
        <v/>
      </c>
      <c r="E235" s="112" t="str">
        <f>IF(ISNA(VLOOKUP($F235,Declarations!$B$6:$D$185,3,FALSE)),"",IF(VLOOKUP($F235,Declarations!$B$6:$D$185,3,FALSE)="","NOT DECLARED",VLOOKUP($F235,Declarations!$B$6:$D$185,3,FALSE)&amp;LEFT(VLOOKUP($F235,Declarations!$B$6:$E$185,4,FALSE))))</f>
        <v/>
      </c>
      <c r="F235" s="58"/>
      <c r="G235" s="121"/>
      <c r="H235" s="121"/>
      <c r="I235" s="114" t="str">
        <f>IF(ISNA(VLOOKUP(F235,Declarations!B$6:C$185,2,FALSE)),"",IF(VLOOKUP(F235,Declarations!B$6:C$185,2,FALSE)="","NOT DECLARED",VLOOKUP(F235,Declarations!B$6:C$185,2,FALSE)))</f>
        <v/>
      </c>
      <c r="J235" s="112">
        <f>IF(LOWER(LEFT(G235,1))="n",1,VLOOKUP(G235,ScoringTable!D$2:I$95,6))</f>
        <v>0</v>
      </c>
      <c r="K235" s="112" t="str">
        <f>IF(OR(E235="",G235=""),"",IF(RIGHT(E235,1)="G",_xlfn.XLOOKUP(G235,Data!$D$14:$L$14,Data!$D$9:$L$9,"",-1,1),_xlfn.XLOOKUP(G235,Data!$D$7:$L$7,Data!$D$2:$L$2,"",-1,1)))</f>
        <v/>
      </c>
      <c r="L235" s="160" t="str" cm="1">
        <f t="array" ref="L235">IFERROR(_xlfn.IFNA(
                      _xlfn.IFS(
                      G235="", "",
                      AND(E235="U12B",G235&gt;=Data!$M$7), "U12 Boys record",
                      AND(E235="U12G",G235&gt;=Data!$M$14), "U12 Girls record"
                       ),""), "")</f>
        <v/>
      </c>
      <c r="M235" s="18" cm="1">
        <f t="array" ref="M235">_xlfn.IFS($G235="",0, AND(NOT(ISNUMBER($G235)),LOWER(LEFT($G235,1))&lt;&gt;"n"),"Not a valid distance",OR(LOWER(LEFT($G235,1))="n",$G235&lt;ScoringTable!$O$161),1,RIGHT($E235,1)="B",_xlfn.XLOOKUP($G235,ScoringTable!$O$2:$O$161,ScoringTable!$L$2:$L$161,,-1),TRUE,_xlfn.XLOOKUP($G235,ScoringTable!$U$2:$U$161,ScoringTable!$R$2:$R$161,,-1))</f>
        <v>0</v>
      </c>
    </row>
    <row r="236" spans="1:13" s="7" customFormat="1" ht="16.05" customHeight="1">
      <c r="A236" s="113" t="s">
        <v>99</v>
      </c>
      <c r="B236" s="114" t="str">
        <f>IF(ISNA(VLOOKUP($F236,Declarations!B$6:C$185,2,FALSE)),"",IF(VLOOKUP($F236,Declarations!B$6:C$185,2,FALSE)="","NOT DECLARED",IF(ISNA(_xlfn.TEXTBEFORE(VLOOKUP($F236,Declarations!B$6:C$185,2,FALSE)," ")),VLOOKUP($F236,Declarations!B$6:C$185,2,FALSE),_xlfn.TEXTBEFORE(VLOOKUP($F236,Declarations!B$6:C$185,2,FALSE)," "))))</f>
        <v/>
      </c>
      <c r="C236" s="114" t="str">
        <f>IF(ISNA(VLOOKUP($F236,Declarations!B$6:C$185,2,FALSE)),"",IF(VLOOKUP($F236,Declarations!B$6:C$185,2,FALSE)="","NOT DECLARED",IF(ISNA(_xlfn.TEXTAFTER(VLOOKUP($F236,Declarations!B$6:C$185,2,FALSE)," ")),VLOOKUP($F236,Declarations!B$6:C$185,2,FALSE),_xlfn.TEXTAFTER(VLOOKUP($F236,Declarations!B$6:C$185,2,FALSE)," "))))</f>
        <v/>
      </c>
      <c r="D236" s="114" t="str">
        <f>IF(ISNA(VLOOKUP($F236,Declarations!$B$6:$F$185,5,FALSE)),"",IF(VLOOKUP($F236,Declarations!$B$6:$F$185,5,FALSE)="","NOT DECLARED",VLOOKUP($F236,Declarations!$B$6:$F$185,5,FALSE)))</f>
        <v/>
      </c>
      <c r="E236" s="112" t="str">
        <f>IF(ISNA(VLOOKUP($F236,Declarations!$B$6:$D$185,3,FALSE)),"",IF(VLOOKUP($F236,Declarations!$B$6:$D$185,3,FALSE)="","NOT DECLARED",VLOOKUP($F236,Declarations!$B$6:$D$185,3,FALSE)&amp;LEFT(VLOOKUP($F236,Declarations!$B$6:$E$185,4,FALSE))))</f>
        <v/>
      </c>
      <c r="F236" s="58"/>
      <c r="G236" s="121"/>
      <c r="H236" s="121"/>
      <c r="I236" s="114" t="str">
        <f>IF(ISNA(VLOOKUP(F236,Declarations!B$6:C$185,2,FALSE)),"",IF(VLOOKUP(F236,Declarations!B$6:C$185,2,FALSE)="","NOT DECLARED",VLOOKUP(F236,Declarations!B$6:C$185,2,FALSE)))</f>
        <v/>
      </c>
      <c r="J236" s="112">
        <f>IF(LOWER(LEFT(G236,1))="n",1,VLOOKUP(G236,ScoringTable!D$2:I$95,6))</f>
        <v>0</v>
      </c>
      <c r="K236" s="112" t="str">
        <f>IF(OR(E236="",G236=""),"",IF(RIGHT(E236,1)="G",_xlfn.XLOOKUP(G236,Data!$D$14:$L$14,Data!$D$9:$L$9,"",-1,1),_xlfn.XLOOKUP(G236,Data!$D$7:$L$7,Data!$D$2:$L$2,"",-1,1)))</f>
        <v/>
      </c>
      <c r="L236" s="160" t="str" cm="1">
        <f t="array" ref="L236">IFERROR(_xlfn.IFNA(
                      _xlfn.IFS(
                      G236="", "",
                      AND(E236="U12B",G236&gt;=Data!$M$7), "U12 Boys record",
                      AND(E236="U12G",G236&gt;=Data!$M$14), "U12 Girls record"
                       ),""), "")</f>
        <v/>
      </c>
      <c r="M236" s="18" cm="1">
        <f t="array" ref="M236">_xlfn.IFS($G236="",0, AND(NOT(ISNUMBER($G236)),LOWER(LEFT($G236,1))&lt;&gt;"n"),"Not a valid distance",OR(LOWER(LEFT($G236,1))="n",$G236&lt;ScoringTable!$O$161),1,RIGHT($E236,1)="B",_xlfn.XLOOKUP($G236,ScoringTable!$O$2:$O$161,ScoringTable!$L$2:$L$161,,-1),TRUE,_xlfn.XLOOKUP($G236,ScoringTable!$U$2:$U$161,ScoringTable!$R$2:$R$161,,-1))</f>
        <v>0</v>
      </c>
    </row>
    <row r="237" spans="1:13" s="7" customFormat="1" ht="16.05" customHeight="1">
      <c r="A237" s="113" t="s">
        <v>99</v>
      </c>
      <c r="B237" s="114" t="str">
        <f>IF(ISNA(VLOOKUP($F237,Declarations!B$6:C$185,2,FALSE)),"",IF(VLOOKUP($F237,Declarations!B$6:C$185,2,FALSE)="","NOT DECLARED",IF(ISNA(_xlfn.TEXTBEFORE(VLOOKUP($F237,Declarations!B$6:C$185,2,FALSE)," ")),VLOOKUP($F237,Declarations!B$6:C$185,2,FALSE),_xlfn.TEXTBEFORE(VLOOKUP($F237,Declarations!B$6:C$185,2,FALSE)," "))))</f>
        <v/>
      </c>
      <c r="C237" s="114" t="str">
        <f>IF(ISNA(VLOOKUP($F237,Declarations!B$6:C$185,2,FALSE)),"",IF(VLOOKUP($F237,Declarations!B$6:C$185,2,FALSE)="","NOT DECLARED",IF(ISNA(_xlfn.TEXTAFTER(VLOOKUP($F237,Declarations!B$6:C$185,2,FALSE)," ")),VLOOKUP($F237,Declarations!B$6:C$185,2,FALSE),_xlfn.TEXTAFTER(VLOOKUP($F237,Declarations!B$6:C$185,2,FALSE)," "))))</f>
        <v/>
      </c>
      <c r="D237" s="114" t="str">
        <f>IF(ISNA(VLOOKUP($F237,Declarations!$B$6:$F$185,5,FALSE)),"",IF(VLOOKUP($F237,Declarations!$B$6:$F$185,5,FALSE)="","NOT DECLARED",VLOOKUP($F237,Declarations!$B$6:$F$185,5,FALSE)))</f>
        <v/>
      </c>
      <c r="E237" s="112" t="str">
        <f>IF(ISNA(VLOOKUP($F237,Declarations!$B$6:$D$185,3,FALSE)),"",IF(VLOOKUP($F237,Declarations!$B$6:$D$185,3,FALSE)="","NOT DECLARED",VLOOKUP($F237,Declarations!$B$6:$D$185,3,FALSE)&amp;LEFT(VLOOKUP($F237,Declarations!$B$6:$E$185,4,FALSE))))</f>
        <v/>
      </c>
      <c r="F237" s="58"/>
      <c r="G237" s="121"/>
      <c r="H237" s="121"/>
      <c r="I237" s="114" t="str">
        <f>IF(ISNA(VLOOKUP(F237,Declarations!B$6:C$185,2,FALSE)),"",IF(VLOOKUP(F237,Declarations!B$6:C$185,2,FALSE)="","NOT DECLARED",VLOOKUP(F237,Declarations!B$6:C$185,2,FALSE)))</f>
        <v/>
      </c>
      <c r="J237" s="112">
        <f>IF(LOWER(LEFT(G237,1))="n",1,VLOOKUP(G237,ScoringTable!D$2:I$95,6))</f>
        <v>0</v>
      </c>
      <c r="K237" s="112" t="str">
        <f>IF(OR(E237="",G237=""),"",IF(RIGHT(E237,1)="G",_xlfn.XLOOKUP(G237,Data!$D$14:$L$14,Data!$D$9:$L$9,"",-1,1),_xlfn.XLOOKUP(G237,Data!$D$7:$L$7,Data!$D$2:$L$2,"",-1,1)))</f>
        <v/>
      </c>
      <c r="L237" s="160" t="str" cm="1">
        <f t="array" ref="L237">IFERROR(_xlfn.IFNA(
                      _xlfn.IFS(
                      G237="", "",
                      AND(E237="U12B",G237&gt;=Data!$M$7), "U12 Boys record",
                      AND(E237="U12G",G237&gt;=Data!$M$14), "U12 Girls record"
                       ),""), "")</f>
        <v/>
      </c>
      <c r="M237" s="18" cm="1">
        <f t="array" ref="M237">_xlfn.IFS($G237="",0, AND(NOT(ISNUMBER($G237)),LOWER(LEFT($G237,1))&lt;&gt;"n"),"Not a valid distance",OR(LOWER(LEFT($G237,1))="n",$G237&lt;ScoringTable!$O$161),1,RIGHT($E237,1)="B",_xlfn.XLOOKUP($G237,ScoringTable!$O$2:$O$161,ScoringTable!$L$2:$L$161,,-1),TRUE,_xlfn.XLOOKUP($G237,ScoringTable!$U$2:$U$161,ScoringTable!$R$2:$R$161,,-1))</f>
        <v>0</v>
      </c>
    </row>
    <row r="238" spans="1:13" s="7" customFormat="1" ht="16.05" customHeight="1">
      <c r="A238" s="113" t="s">
        <v>99</v>
      </c>
      <c r="B238" s="114" t="str">
        <f>IF(ISNA(VLOOKUP($F238,Declarations!B$6:C$185,2,FALSE)),"",IF(VLOOKUP($F238,Declarations!B$6:C$185,2,FALSE)="","NOT DECLARED",IF(ISNA(_xlfn.TEXTBEFORE(VLOOKUP($F238,Declarations!B$6:C$185,2,FALSE)," ")),VLOOKUP($F238,Declarations!B$6:C$185,2,FALSE),_xlfn.TEXTBEFORE(VLOOKUP($F238,Declarations!B$6:C$185,2,FALSE)," "))))</f>
        <v/>
      </c>
      <c r="C238" s="114" t="str">
        <f>IF(ISNA(VLOOKUP($F238,Declarations!B$6:C$185,2,FALSE)),"",IF(VLOOKUP($F238,Declarations!B$6:C$185,2,FALSE)="","NOT DECLARED",IF(ISNA(_xlfn.TEXTAFTER(VLOOKUP($F238,Declarations!B$6:C$185,2,FALSE)," ")),VLOOKUP($F238,Declarations!B$6:C$185,2,FALSE),_xlfn.TEXTAFTER(VLOOKUP($F238,Declarations!B$6:C$185,2,FALSE)," "))))</f>
        <v/>
      </c>
      <c r="D238" s="114" t="str">
        <f>IF(ISNA(VLOOKUP($F238,Declarations!$B$6:$F$185,5,FALSE)),"",IF(VLOOKUP($F238,Declarations!$B$6:$F$185,5,FALSE)="","NOT DECLARED",VLOOKUP($F238,Declarations!$B$6:$F$185,5,FALSE)))</f>
        <v/>
      </c>
      <c r="E238" s="112" t="str">
        <f>IF(ISNA(VLOOKUP($F238,Declarations!$B$6:$D$185,3,FALSE)),"",IF(VLOOKUP($F238,Declarations!$B$6:$D$185,3,FALSE)="","NOT DECLARED",VLOOKUP($F238,Declarations!$B$6:$D$185,3,FALSE)&amp;LEFT(VLOOKUP($F238,Declarations!$B$6:$E$185,4,FALSE))))</f>
        <v/>
      </c>
      <c r="F238" s="58"/>
      <c r="G238" s="121"/>
      <c r="H238" s="121"/>
      <c r="I238" s="114" t="str">
        <f>IF(ISNA(VLOOKUP(F238,Declarations!B$6:C$185,2,FALSE)),"",IF(VLOOKUP(F238,Declarations!B$6:C$185,2,FALSE)="","NOT DECLARED",VLOOKUP(F238,Declarations!B$6:C$185,2,FALSE)))</f>
        <v/>
      </c>
      <c r="J238" s="112">
        <f>IF(LOWER(LEFT(G238,1))="n",1,VLOOKUP(G238,ScoringTable!D$2:I$95,6))</f>
        <v>0</v>
      </c>
      <c r="K238" s="112" t="str">
        <f>IF(OR(E238="",G238=""),"",IF(RIGHT(E238,1)="G",_xlfn.XLOOKUP(G238,Data!$D$14:$L$14,Data!$D$9:$L$9,"",-1,1),_xlfn.XLOOKUP(G238,Data!$D$7:$L$7,Data!$D$2:$L$2,"",-1,1)))</f>
        <v/>
      </c>
      <c r="L238" s="160" t="str" cm="1">
        <f t="array" ref="L238">IFERROR(_xlfn.IFNA(
                      _xlfn.IFS(
                      G238="", "",
                      AND(E238="U12B",G238&gt;=Data!$M$7), "U12 Boys record",
                      AND(E238="U12G",G238&gt;=Data!$M$14), "U12 Girls record"
                       ),""), "")</f>
        <v/>
      </c>
      <c r="M238" s="18" cm="1">
        <f t="array" ref="M238">_xlfn.IFS($G238="",0, AND(NOT(ISNUMBER($G238)),LOWER(LEFT($G238,1))&lt;&gt;"n"),"Not a valid distance",OR(LOWER(LEFT($G238,1))="n",$G238&lt;ScoringTable!$O$161),1,RIGHT($E238,1)="B",_xlfn.XLOOKUP($G238,ScoringTable!$O$2:$O$161,ScoringTable!$L$2:$L$161,,-1),TRUE,_xlfn.XLOOKUP($G238,ScoringTable!$U$2:$U$161,ScoringTable!$R$2:$R$161,,-1))</f>
        <v>0</v>
      </c>
    </row>
    <row r="239" spans="1:13" s="7" customFormat="1" ht="16.05" customHeight="1">
      <c r="A239" s="113" t="s">
        <v>99</v>
      </c>
      <c r="B239" s="114" t="str">
        <f>IF(ISNA(VLOOKUP($F239,Declarations!B$6:C$185,2,FALSE)),"",IF(VLOOKUP($F239,Declarations!B$6:C$185,2,FALSE)="","NOT DECLARED",IF(ISNA(_xlfn.TEXTBEFORE(VLOOKUP($F239,Declarations!B$6:C$185,2,FALSE)," ")),VLOOKUP($F239,Declarations!B$6:C$185,2,FALSE),_xlfn.TEXTBEFORE(VLOOKUP($F239,Declarations!B$6:C$185,2,FALSE)," "))))</f>
        <v/>
      </c>
      <c r="C239" s="114" t="str">
        <f>IF(ISNA(VLOOKUP($F239,Declarations!B$6:C$185,2,FALSE)),"",IF(VLOOKUP($F239,Declarations!B$6:C$185,2,FALSE)="","NOT DECLARED",IF(ISNA(_xlfn.TEXTAFTER(VLOOKUP($F239,Declarations!B$6:C$185,2,FALSE)," ")),VLOOKUP($F239,Declarations!B$6:C$185,2,FALSE),_xlfn.TEXTAFTER(VLOOKUP($F239,Declarations!B$6:C$185,2,FALSE)," "))))</f>
        <v/>
      </c>
      <c r="D239" s="114" t="str">
        <f>IF(ISNA(VLOOKUP($F239,Declarations!$B$6:$F$185,5,FALSE)),"",IF(VLOOKUP($F239,Declarations!$B$6:$F$185,5,FALSE)="","NOT DECLARED",VLOOKUP($F239,Declarations!$B$6:$F$185,5,FALSE)))</f>
        <v/>
      </c>
      <c r="E239" s="112" t="str">
        <f>IF(ISNA(VLOOKUP($F239,Declarations!$B$6:$D$185,3,FALSE)),"",IF(VLOOKUP($F239,Declarations!$B$6:$D$185,3,FALSE)="","NOT DECLARED",VLOOKUP($F239,Declarations!$B$6:$D$185,3,FALSE)&amp;LEFT(VLOOKUP($F239,Declarations!$B$6:$E$185,4,FALSE))))</f>
        <v/>
      </c>
      <c r="F239" s="58"/>
      <c r="G239" s="121"/>
      <c r="H239" s="121"/>
      <c r="I239" s="114" t="str">
        <f>IF(ISNA(VLOOKUP(F239,Declarations!B$6:C$185,2,FALSE)),"",IF(VLOOKUP(F239,Declarations!B$6:C$185,2,FALSE)="","NOT DECLARED",VLOOKUP(F239,Declarations!B$6:C$185,2,FALSE)))</f>
        <v/>
      </c>
      <c r="J239" s="112">
        <f>IF(LOWER(LEFT(G239,1))="n",1,VLOOKUP(G239,ScoringTable!D$2:I$95,6))</f>
        <v>0</v>
      </c>
      <c r="K239" s="112" t="str">
        <f>IF(OR(E239="",G239=""),"",IF(RIGHT(E239,1)="G",_xlfn.XLOOKUP(G239,Data!$D$14:$L$14,Data!$D$9:$L$9,"",-1,1),_xlfn.XLOOKUP(G239,Data!$D$7:$L$7,Data!$D$2:$L$2,"",-1,1)))</f>
        <v/>
      </c>
      <c r="L239" s="160" t="str" cm="1">
        <f t="array" ref="L239">IFERROR(_xlfn.IFNA(
                      _xlfn.IFS(
                      G239="", "",
                      AND(E239="U12B",G239&gt;=Data!$M$7), "U12 Boys record",
                      AND(E239="U12G",G239&gt;=Data!$M$14), "U12 Girls record"
                       ),""), "")</f>
        <v/>
      </c>
      <c r="M239" s="18" cm="1">
        <f t="array" ref="M239">_xlfn.IFS($G239="",0, AND(NOT(ISNUMBER($G239)),LOWER(LEFT($G239,1))&lt;&gt;"n"),"Not a valid distance",OR(LOWER(LEFT($G239,1))="n",$G239&lt;ScoringTable!$O$161),1,RIGHT($E239,1)="B",_xlfn.XLOOKUP($G239,ScoringTable!$O$2:$O$161,ScoringTable!$L$2:$L$161,,-1),TRUE,_xlfn.XLOOKUP($G239,ScoringTable!$U$2:$U$161,ScoringTable!$R$2:$R$161,,-1))</f>
        <v>0</v>
      </c>
    </row>
    <row r="240" spans="1:13" s="7" customFormat="1" ht="16.05" customHeight="1">
      <c r="A240" s="113" t="s">
        <v>99</v>
      </c>
      <c r="B240" s="114" t="str">
        <f>IF(ISNA(VLOOKUP($F240,Declarations!B$6:C$185,2,FALSE)),"",IF(VLOOKUP($F240,Declarations!B$6:C$185,2,FALSE)="","NOT DECLARED",IF(ISNA(_xlfn.TEXTBEFORE(VLOOKUP($F240,Declarations!B$6:C$185,2,FALSE)," ")),VLOOKUP($F240,Declarations!B$6:C$185,2,FALSE),_xlfn.TEXTBEFORE(VLOOKUP($F240,Declarations!B$6:C$185,2,FALSE)," "))))</f>
        <v/>
      </c>
      <c r="C240" s="114" t="str">
        <f>IF(ISNA(VLOOKUP($F240,Declarations!B$6:C$185,2,FALSE)),"",IF(VLOOKUP($F240,Declarations!B$6:C$185,2,FALSE)="","NOT DECLARED",IF(ISNA(_xlfn.TEXTAFTER(VLOOKUP($F240,Declarations!B$6:C$185,2,FALSE)," ")),VLOOKUP($F240,Declarations!B$6:C$185,2,FALSE),_xlfn.TEXTAFTER(VLOOKUP($F240,Declarations!B$6:C$185,2,FALSE)," "))))</f>
        <v/>
      </c>
      <c r="D240" s="114" t="str">
        <f>IF(ISNA(VLOOKUP($F240,Declarations!$B$6:$F$185,5,FALSE)),"",IF(VLOOKUP($F240,Declarations!$B$6:$F$185,5,FALSE)="","NOT DECLARED",VLOOKUP($F240,Declarations!$B$6:$F$185,5,FALSE)))</f>
        <v/>
      </c>
      <c r="E240" s="112" t="str">
        <f>IF(ISNA(VLOOKUP($F240,Declarations!$B$6:$D$185,3,FALSE)),"",IF(VLOOKUP($F240,Declarations!$B$6:$D$185,3,FALSE)="","NOT DECLARED",VLOOKUP($F240,Declarations!$B$6:$D$185,3,FALSE)&amp;LEFT(VLOOKUP($F240,Declarations!$B$6:$E$185,4,FALSE))))</f>
        <v/>
      </c>
      <c r="F240" s="58"/>
      <c r="G240" s="121"/>
      <c r="H240" s="121"/>
      <c r="I240" s="114" t="str">
        <f>IF(ISNA(VLOOKUP(F240,Declarations!B$6:C$185,2,FALSE)),"",IF(VLOOKUP(F240,Declarations!B$6:C$185,2,FALSE)="","NOT DECLARED",VLOOKUP(F240,Declarations!B$6:C$185,2,FALSE)))</f>
        <v/>
      </c>
      <c r="J240" s="112">
        <f>IF(LOWER(LEFT(G240,1))="n",1,VLOOKUP(G240,ScoringTable!D$2:I$95,6))</f>
        <v>0</v>
      </c>
      <c r="K240" s="112" t="str">
        <f>IF(OR(E240="",G240=""),"",IF(RIGHT(E240,1)="G",_xlfn.XLOOKUP(G240,Data!$D$14:$L$14,Data!$D$9:$L$9,"",-1,1),_xlfn.XLOOKUP(G240,Data!$D$7:$L$7,Data!$D$2:$L$2,"",-1,1)))</f>
        <v/>
      </c>
      <c r="L240" s="160" t="str" cm="1">
        <f t="array" ref="L240">IFERROR(_xlfn.IFNA(
                      _xlfn.IFS(
                      G240="", "",
                      AND(E240="U12B",G240&gt;=Data!$M$7), "U12 Boys record",
                      AND(E240="U12G",G240&gt;=Data!$M$14), "U12 Girls record"
                       ),""), "")</f>
        <v/>
      </c>
      <c r="M240" s="18" cm="1">
        <f t="array" ref="M240">_xlfn.IFS($G240="",0, AND(NOT(ISNUMBER($G240)),LOWER(LEFT($G240,1))&lt;&gt;"n"),"Not a valid distance",OR(LOWER(LEFT($G240,1))="n",$G240&lt;ScoringTable!$O$161),1,RIGHT($E240,1)="B",_xlfn.XLOOKUP($G240,ScoringTable!$O$2:$O$161,ScoringTable!$L$2:$L$161,,-1),TRUE,_xlfn.XLOOKUP($G240,ScoringTable!$U$2:$U$161,ScoringTable!$R$2:$R$161,,-1))</f>
        <v>0</v>
      </c>
    </row>
    <row r="241" spans="1:13" s="7" customFormat="1" ht="16.05" customHeight="1">
      <c r="A241" s="113" t="s">
        <v>99</v>
      </c>
      <c r="B241" s="114" t="str">
        <f>IF(ISNA(VLOOKUP($F241,Declarations!B$6:C$185,2,FALSE)),"",IF(VLOOKUP($F241,Declarations!B$6:C$185,2,FALSE)="","NOT DECLARED",IF(ISNA(_xlfn.TEXTBEFORE(VLOOKUP($F241,Declarations!B$6:C$185,2,FALSE)," ")),VLOOKUP($F241,Declarations!B$6:C$185,2,FALSE),_xlfn.TEXTBEFORE(VLOOKUP($F241,Declarations!B$6:C$185,2,FALSE)," "))))</f>
        <v/>
      </c>
      <c r="C241" s="114" t="str">
        <f>IF(ISNA(VLOOKUP($F241,Declarations!B$6:C$185,2,FALSE)),"",IF(VLOOKUP($F241,Declarations!B$6:C$185,2,FALSE)="","NOT DECLARED",IF(ISNA(_xlfn.TEXTAFTER(VLOOKUP($F241,Declarations!B$6:C$185,2,FALSE)," ")),VLOOKUP($F241,Declarations!B$6:C$185,2,FALSE),_xlfn.TEXTAFTER(VLOOKUP($F241,Declarations!B$6:C$185,2,FALSE)," "))))</f>
        <v/>
      </c>
      <c r="D241" s="114" t="str">
        <f>IF(ISNA(VLOOKUP($F241,Declarations!$B$6:$F$185,5,FALSE)),"",IF(VLOOKUP($F241,Declarations!$B$6:$F$185,5,FALSE)="","NOT DECLARED",VLOOKUP($F241,Declarations!$B$6:$F$185,5,FALSE)))</f>
        <v/>
      </c>
      <c r="E241" s="112" t="str">
        <f>IF(ISNA(VLOOKUP($F241,Declarations!$B$6:$D$185,3,FALSE)),"",IF(VLOOKUP($F241,Declarations!$B$6:$D$185,3,FALSE)="","NOT DECLARED",VLOOKUP($F241,Declarations!$B$6:$D$185,3,FALSE)&amp;LEFT(VLOOKUP($F241,Declarations!$B$6:$E$185,4,FALSE))))</f>
        <v/>
      </c>
      <c r="F241" s="58"/>
      <c r="G241" s="121"/>
      <c r="H241" s="121"/>
      <c r="I241" s="114" t="str">
        <f>IF(ISNA(VLOOKUP(F241,Declarations!B$6:C$185,2,FALSE)),"",IF(VLOOKUP(F241,Declarations!B$6:C$185,2,FALSE)="","NOT DECLARED",VLOOKUP(F241,Declarations!B$6:C$185,2,FALSE)))</f>
        <v/>
      </c>
      <c r="J241" s="112">
        <f>IF(LOWER(LEFT(G241,1))="n",1,VLOOKUP(G241,ScoringTable!D$2:I$95,6))</f>
        <v>0</v>
      </c>
      <c r="K241" s="112" t="str">
        <f>IF(OR(E241="",G241=""),"",IF(RIGHT(E241,1)="G",_xlfn.XLOOKUP(G241,Data!$D$14:$L$14,Data!$D$9:$L$9,"",-1,1),_xlfn.XLOOKUP(G241,Data!$D$7:$L$7,Data!$D$2:$L$2,"",-1,1)))</f>
        <v/>
      </c>
      <c r="L241" s="160" t="str" cm="1">
        <f t="array" ref="L241">IFERROR(_xlfn.IFNA(
                      _xlfn.IFS(
                      G241="", "",
                      AND(E241="U12B",G241&gt;=Data!$M$7), "U12 Boys record",
                      AND(E241="U12G",G241&gt;=Data!$M$14), "U12 Girls record"
                       ),""), "")</f>
        <v/>
      </c>
      <c r="M241" s="18" cm="1">
        <f t="array" ref="M241">_xlfn.IFS($G241="",0, AND(NOT(ISNUMBER($G241)),LOWER(LEFT($G241,1))&lt;&gt;"n"),"Not a valid distance",OR(LOWER(LEFT($G241,1))="n",$G241&lt;ScoringTable!$O$161),1,RIGHT($E241,1)="B",_xlfn.XLOOKUP($G241,ScoringTable!$O$2:$O$161,ScoringTable!$L$2:$L$161,,-1),TRUE,_xlfn.XLOOKUP($G241,ScoringTable!$U$2:$U$161,ScoringTable!$R$2:$R$161,,-1))</f>
        <v>0</v>
      </c>
    </row>
    <row r="242" spans="1:13" s="7" customFormat="1" ht="16.05" customHeight="1">
      <c r="A242" s="113" t="s">
        <v>99</v>
      </c>
      <c r="B242" s="114" t="str">
        <f>IF(ISNA(VLOOKUP($F242,Declarations!B$6:C$185,2,FALSE)),"",IF(VLOOKUP($F242,Declarations!B$6:C$185,2,FALSE)="","NOT DECLARED",IF(ISNA(_xlfn.TEXTBEFORE(VLOOKUP($F242,Declarations!B$6:C$185,2,FALSE)," ")),VLOOKUP($F242,Declarations!B$6:C$185,2,FALSE),_xlfn.TEXTBEFORE(VLOOKUP($F242,Declarations!B$6:C$185,2,FALSE)," "))))</f>
        <v/>
      </c>
      <c r="C242" s="114" t="str">
        <f>IF(ISNA(VLOOKUP($F242,Declarations!B$6:C$185,2,FALSE)),"",IF(VLOOKUP($F242,Declarations!B$6:C$185,2,FALSE)="","NOT DECLARED",IF(ISNA(_xlfn.TEXTAFTER(VLOOKUP($F242,Declarations!B$6:C$185,2,FALSE)," ")),VLOOKUP($F242,Declarations!B$6:C$185,2,FALSE),_xlfn.TEXTAFTER(VLOOKUP($F242,Declarations!B$6:C$185,2,FALSE)," "))))</f>
        <v/>
      </c>
      <c r="D242" s="114" t="str">
        <f>IF(ISNA(VLOOKUP($F242,Declarations!$B$6:$F$185,5,FALSE)),"",IF(VLOOKUP($F242,Declarations!$B$6:$F$185,5,FALSE)="","NOT DECLARED",VLOOKUP($F242,Declarations!$B$6:$F$185,5,FALSE)))</f>
        <v/>
      </c>
      <c r="E242" s="112" t="str">
        <f>IF(ISNA(VLOOKUP($F242,Declarations!$B$6:$D$185,3,FALSE)),"",IF(VLOOKUP($F242,Declarations!$B$6:$D$185,3,FALSE)="","NOT DECLARED",VLOOKUP($F242,Declarations!$B$6:$D$185,3,FALSE)&amp;LEFT(VLOOKUP($F242,Declarations!$B$6:$E$185,4,FALSE))))</f>
        <v/>
      </c>
      <c r="F242" s="58"/>
      <c r="G242" s="121"/>
      <c r="H242" s="121"/>
      <c r="I242" s="114" t="str">
        <f>IF(ISNA(VLOOKUP(F242,Declarations!B$6:C$185,2,FALSE)),"",IF(VLOOKUP(F242,Declarations!B$6:C$185,2,FALSE)="","NOT DECLARED",VLOOKUP(F242,Declarations!B$6:C$185,2,FALSE)))</f>
        <v/>
      </c>
      <c r="J242" s="112">
        <f>IF(LOWER(LEFT(G242,1))="n",1,VLOOKUP(G242,ScoringTable!D$2:I$95,6))</f>
        <v>0</v>
      </c>
      <c r="K242" s="112" t="str">
        <f>IF(OR(E242="",G242=""),"",IF(RIGHT(E242,1)="G",_xlfn.XLOOKUP(G242,Data!$D$14:$L$14,Data!$D$9:$L$9,"",-1,1),_xlfn.XLOOKUP(G242,Data!$D$7:$L$7,Data!$D$2:$L$2,"",-1,1)))</f>
        <v/>
      </c>
      <c r="L242" s="160" t="str" cm="1">
        <f t="array" ref="L242">IFERROR(_xlfn.IFNA(
                      _xlfn.IFS(
                      G242="", "",
                      AND(E242="U12B",G242&gt;=Data!$M$7), "U12 Boys record",
                      AND(E242="U12G",G242&gt;=Data!$M$14), "U12 Girls record"
                       ),""), "")</f>
        <v/>
      </c>
      <c r="M242" s="18" cm="1">
        <f t="array" ref="M242">_xlfn.IFS($G242="",0, AND(NOT(ISNUMBER($G242)),LOWER(LEFT($G242,1))&lt;&gt;"n"),"Not a valid distance",OR(LOWER(LEFT($G242,1))="n",$G242&lt;ScoringTable!$O$161),1,RIGHT($E242,1)="B",_xlfn.XLOOKUP($G242,ScoringTable!$O$2:$O$161,ScoringTable!$L$2:$L$161,,-1),TRUE,_xlfn.XLOOKUP($G242,ScoringTable!$U$2:$U$161,ScoringTable!$R$2:$R$161,,-1))</f>
        <v>0</v>
      </c>
    </row>
    <row r="243" spans="1:13" s="7" customFormat="1" ht="16.05" customHeight="1">
      <c r="A243" s="113" t="s">
        <v>99</v>
      </c>
      <c r="B243" s="114" t="str">
        <f>IF(ISNA(VLOOKUP($F243,Declarations!B$6:C$185,2,FALSE)),"",IF(VLOOKUP($F243,Declarations!B$6:C$185,2,FALSE)="","NOT DECLARED",IF(ISNA(_xlfn.TEXTBEFORE(VLOOKUP($F243,Declarations!B$6:C$185,2,FALSE)," ")),VLOOKUP($F243,Declarations!B$6:C$185,2,FALSE),_xlfn.TEXTBEFORE(VLOOKUP($F243,Declarations!B$6:C$185,2,FALSE)," "))))</f>
        <v/>
      </c>
      <c r="C243" s="114" t="str">
        <f>IF(ISNA(VLOOKUP($F243,Declarations!B$6:C$185,2,FALSE)),"",IF(VLOOKUP($F243,Declarations!B$6:C$185,2,FALSE)="","NOT DECLARED",IF(ISNA(_xlfn.TEXTAFTER(VLOOKUP($F243,Declarations!B$6:C$185,2,FALSE)," ")),VLOOKUP($F243,Declarations!B$6:C$185,2,FALSE),_xlfn.TEXTAFTER(VLOOKUP($F243,Declarations!B$6:C$185,2,FALSE)," "))))</f>
        <v/>
      </c>
      <c r="D243" s="114" t="str">
        <f>IF(ISNA(VLOOKUP($F243,Declarations!$B$6:$F$185,5,FALSE)),"",IF(VLOOKUP($F243,Declarations!$B$6:$F$185,5,FALSE)="","NOT DECLARED",VLOOKUP($F243,Declarations!$B$6:$F$185,5,FALSE)))</f>
        <v/>
      </c>
      <c r="E243" s="112" t="str">
        <f>IF(ISNA(VLOOKUP($F243,Declarations!$B$6:$D$185,3,FALSE)),"",IF(VLOOKUP($F243,Declarations!$B$6:$D$185,3,FALSE)="","NOT DECLARED",VLOOKUP($F243,Declarations!$B$6:$D$185,3,FALSE)&amp;LEFT(VLOOKUP($F243,Declarations!$B$6:$E$185,4,FALSE))))</f>
        <v/>
      </c>
      <c r="F243" s="58"/>
      <c r="G243" s="121"/>
      <c r="H243" s="121"/>
      <c r="I243" s="114" t="str">
        <f>IF(ISNA(VLOOKUP(F243,Declarations!B$6:C$185,2,FALSE)),"",IF(VLOOKUP(F243,Declarations!B$6:C$185,2,FALSE)="","NOT DECLARED",VLOOKUP(F243,Declarations!B$6:C$185,2,FALSE)))</f>
        <v/>
      </c>
      <c r="J243" s="112">
        <f>IF(LOWER(LEFT(G243,1))="n",1,VLOOKUP(G243,ScoringTable!D$2:I$95,6))</f>
        <v>0</v>
      </c>
      <c r="K243" s="112" t="str">
        <f>IF(OR(E243="",G243=""),"",IF(RIGHT(E243,1)="G",_xlfn.XLOOKUP(G243,Data!$D$14:$L$14,Data!$D$9:$L$9,"",-1,1),_xlfn.XLOOKUP(G243,Data!$D$7:$L$7,Data!$D$2:$L$2,"",-1,1)))</f>
        <v/>
      </c>
      <c r="L243" s="160" t="str" cm="1">
        <f t="array" ref="L243">IFERROR(_xlfn.IFNA(
                      _xlfn.IFS(
                      G243="", "",
                      AND(E243="U12B",G243&gt;=Data!$M$7), "U12 Boys record",
                      AND(E243="U12G",G243&gt;=Data!$M$14), "U12 Girls record"
                       ),""), "")</f>
        <v/>
      </c>
      <c r="M243" s="18" cm="1">
        <f t="array" ref="M243">_xlfn.IFS($G243="",0, AND(NOT(ISNUMBER($G243)),LOWER(LEFT($G243,1))&lt;&gt;"n"),"Not a valid distance",OR(LOWER(LEFT($G243,1))="n",$G243&lt;ScoringTable!$O$161),1,RIGHT($E243,1)="B",_xlfn.XLOOKUP($G243,ScoringTable!$O$2:$O$161,ScoringTable!$L$2:$L$161,,-1),TRUE,_xlfn.XLOOKUP($G243,ScoringTable!$U$2:$U$161,ScoringTable!$R$2:$R$161,,-1))</f>
        <v>0</v>
      </c>
    </row>
    <row r="244" spans="1:13" s="7" customFormat="1" ht="16.05" customHeight="1">
      <c r="A244" s="113" t="s">
        <v>99</v>
      </c>
      <c r="B244" s="114" t="str">
        <f>IF(ISNA(VLOOKUP($F244,Declarations!B$6:C$185,2,FALSE)),"",IF(VLOOKUP($F244,Declarations!B$6:C$185,2,FALSE)="","NOT DECLARED",IF(ISNA(_xlfn.TEXTBEFORE(VLOOKUP($F244,Declarations!B$6:C$185,2,FALSE)," ")),VLOOKUP($F244,Declarations!B$6:C$185,2,FALSE),_xlfn.TEXTBEFORE(VLOOKUP($F244,Declarations!B$6:C$185,2,FALSE)," "))))</f>
        <v/>
      </c>
      <c r="C244" s="114" t="str">
        <f>IF(ISNA(VLOOKUP($F244,Declarations!B$6:C$185,2,FALSE)),"",IF(VLOOKUP($F244,Declarations!B$6:C$185,2,FALSE)="","NOT DECLARED",IF(ISNA(_xlfn.TEXTAFTER(VLOOKUP($F244,Declarations!B$6:C$185,2,FALSE)," ")),VLOOKUP($F244,Declarations!B$6:C$185,2,FALSE),_xlfn.TEXTAFTER(VLOOKUP($F244,Declarations!B$6:C$185,2,FALSE)," "))))</f>
        <v/>
      </c>
      <c r="D244" s="114" t="str">
        <f>IF(ISNA(VLOOKUP($F244,Declarations!$B$6:$F$185,5,FALSE)),"",IF(VLOOKUP($F244,Declarations!$B$6:$F$185,5,FALSE)="","NOT DECLARED",VLOOKUP($F244,Declarations!$B$6:$F$185,5,FALSE)))</f>
        <v/>
      </c>
      <c r="E244" s="112" t="str">
        <f>IF(ISNA(VLOOKUP($F244,Declarations!$B$6:$D$185,3,FALSE)),"",IF(VLOOKUP($F244,Declarations!$B$6:$D$185,3,FALSE)="","NOT DECLARED",VLOOKUP($F244,Declarations!$B$6:$D$185,3,FALSE)&amp;LEFT(VLOOKUP($F244,Declarations!$B$6:$E$185,4,FALSE))))</f>
        <v/>
      </c>
      <c r="F244" s="58"/>
      <c r="G244" s="121"/>
      <c r="H244" s="121"/>
      <c r="I244" s="114" t="str">
        <f>IF(ISNA(VLOOKUP(F244,Declarations!B$6:C$185,2,FALSE)),"",IF(VLOOKUP(F244,Declarations!B$6:C$185,2,FALSE)="","NOT DECLARED",VLOOKUP(F244,Declarations!B$6:C$185,2,FALSE)))</f>
        <v/>
      </c>
      <c r="J244" s="112">
        <f>IF(LOWER(LEFT(G244,1))="n",1,VLOOKUP(G244,ScoringTable!D$2:I$95,6))</f>
        <v>0</v>
      </c>
      <c r="K244" s="112" t="str">
        <f>IF(OR(E244="",G244=""),"",IF(RIGHT(E244,1)="G",_xlfn.XLOOKUP(G244,Data!$D$14:$L$14,Data!$D$9:$L$9,"",-1,1),_xlfn.XLOOKUP(G244,Data!$D$7:$L$7,Data!$D$2:$L$2,"",-1,1)))</f>
        <v/>
      </c>
      <c r="L244" s="160" t="str" cm="1">
        <f t="array" ref="L244">IFERROR(_xlfn.IFNA(
                      _xlfn.IFS(
                      G244="", "",
                      AND(E244="U12B",G244&gt;=Data!$M$7), "U12 Boys record",
                      AND(E244="U12G",G244&gt;=Data!$M$14), "U12 Girls record"
                       ),""), "")</f>
        <v/>
      </c>
      <c r="M244" s="18" cm="1">
        <f t="array" ref="M244">_xlfn.IFS($G244="",0, AND(NOT(ISNUMBER($G244)),LOWER(LEFT($G244,1))&lt;&gt;"n"),"Not a valid distance",OR(LOWER(LEFT($G244,1))="n",$G244&lt;ScoringTable!$O$161),1,RIGHT($E244,1)="B",_xlfn.XLOOKUP($G244,ScoringTable!$O$2:$O$161,ScoringTable!$L$2:$L$161,,-1),TRUE,_xlfn.XLOOKUP($G244,ScoringTable!$U$2:$U$161,ScoringTable!$R$2:$R$161,,-1))</f>
        <v>0</v>
      </c>
    </row>
    <row r="245" spans="1:13" s="7" customFormat="1" ht="16.05" customHeight="1">
      <c r="A245" s="113" t="s">
        <v>99</v>
      </c>
      <c r="B245" s="114" t="str">
        <f>IF(ISNA(VLOOKUP($F245,Declarations!B$6:C$185,2,FALSE)),"",IF(VLOOKUP($F245,Declarations!B$6:C$185,2,FALSE)="","NOT DECLARED",IF(ISNA(_xlfn.TEXTBEFORE(VLOOKUP($F245,Declarations!B$6:C$185,2,FALSE)," ")),VLOOKUP($F245,Declarations!B$6:C$185,2,FALSE),_xlfn.TEXTBEFORE(VLOOKUP($F245,Declarations!B$6:C$185,2,FALSE)," "))))</f>
        <v/>
      </c>
      <c r="C245" s="114" t="str">
        <f>IF(ISNA(VLOOKUP($F245,Declarations!B$6:C$185,2,FALSE)),"",IF(VLOOKUP($F245,Declarations!B$6:C$185,2,FALSE)="","NOT DECLARED",IF(ISNA(_xlfn.TEXTAFTER(VLOOKUP($F245,Declarations!B$6:C$185,2,FALSE)," ")),VLOOKUP($F245,Declarations!B$6:C$185,2,FALSE),_xlfn.TEXTAFTER(VLOOKUP($F245,Declarations!B$6:C$185,2,FALSE)," "))))</f>
        <v/>
      </c>
      <c r="D245" s="114" t="str">
        <f>IF(ISNA(VLOOKUP($F245,Declarations!$B$6:$F$185,5,FALSE)),"",IF(VLOOKUP($F245,Declarations!$B$6:$F$185,5,FALSE)="","NOT DECLARED",VLOOKUP($F245,Declarations!$B$6:$F$185,5,FALSE)))</f>
        <v/>
      </c>
      <c r="E245" s="112" t="str">
        <f>IF(ISNA(VLOOKUP($F245,Declarations!$B$6:$D$185,3,FALSE)),"",IF(VLOOKUP($F245,Declarations!$B$6:$D$185,3,FALSE)="","NOT DECLARED",VLOOKUP($F245,Declarations!$B$6:$D$185,3,FALSE)&amp;LEFT(VLOOKUP($F245,Declarations!$B$6:$E$185,4,FALSE))))</f>
        <v/>
      </c>
      <c r="F245" s="58"/>
      <c r="G245" s="121"/>
      <c r="H245" s="121"/>
      <c r="I245" s="114" t="str">
        <f>IF(ISNA(VLOOKUP(F245,Declarations!B$6:C$185,2,FALSE)),"",IF(VLOOKUP(F245,Declarations!B$6:C$185,2,FALSE)="","NOT DECLARED",VLOOKUP(F245,Declarations!B$6:C$185,2,FALSE)))</f>
        <v/>
      </c>
      <c r="J245" s="112">
        <f>IF(LOWER(LEFT(G245,1))="n",1,VLOOKUP(G245,ScoringTable!D$2:I$95,6))</f>
        <v>0</v>
      </c>
      <c r="K245" s="112" t="str">
        <f>IF(OR(E245="",G245=""),"",IF(RIGHT(E245,1)="G",_xlfn.XLOOKUP(G245,Data!$D$14:$L$14,Data!$D$9:$L$9,"",-1,1),_xlfn.XLOOKUP(G245,Data!$D$7:$L$7,Data!$D$2:$L$2,"",-1,1)))</f>
        <v/>
      </c>
      <c r="L245" s="160" t="str" cm="1">
        <f t="array" ref="L245">IFERROR(_xlfn.IFNA(
                      _xlfn.IFS(
                      G245="", "",
                      AND(E245="U12B",G245&gt;=Data!$M$7), "U12 Boys record",
                      AND(E245="U12G",G245&gt;=Data!$M$14), "U12 Girls record"
                       ),""), "")</f>
        <v/>
      </c>
      <c r="M245" s="18" cm="1">
        <f t="array" ref="M245">_xlfn.IFS($G245="",0, AND(NOT(ISNUMBER($G245)),LOWER(LEFT($G245,1))&lt;&gt;"n"),"Not a valid distance",OR(LOWER(LEFT($G245,1))="n",$G245&lt;ScoringTable!$O$161),1,RIGHT($E245,1)="B",_xlfn.XLOOKUP($G245,ScoringTable!$O$2:$O$161,ScoringTable!$L$2:$L$161,,-1),TRUE,_xlfn.XLOOKUP($G245,ScoringTable!$U$2:$U$161,ScoringTable!$R$2:$R$161,,-1))</f>
        <v>0</v>
      </c>
    </row>
    <row r="246" spans="1:13" s="7" customFormat="1" ht="16.05" customHeight="1">
      <c r="A246" s="113" t="s">
        <v>99</v>
      </c>
      <c r="B246" s="114" t="str">
        <f>IF(ISNA(VLOOKUP($F246,Declarations!B$6:C$185,2,FALSE)),"",IF(VLOOKUP($F246,Declarations!B$6:C$185,2,FALSE)="","NOT DECLARED",IF(ISNA(_xlfn.TEXTBEFORE(VLOOKUP($F246,Declarations!B$6:C$185,2,FALSE)," ")),VLOOKUP($F246,Declarations!B$6:C$185,2,FALSE),_xlfn.TEXTBEFORE(VLOOKUP($F246,Declarations!B$6:C$185,2,FALSE)," "))))</f>
        <v/>
      </c>
      <c r="C246" s="114" t="str">
        <f>IF(ISNA(VLOOKUP($F246,Declarations!B$6:C$185,2,FALSE)),"",IF(VLOOKUP($F246,Declarations!B$6:C$185,2,FALSE)="","NOT DECLARED",IF(ISNA(_xlfn.TEXTAFTER(VLOOKUP($F246,Declarations!B$6:C$185,2,FALSE)," ")),VLOOKUP($F246,Declarations!B$6:C$185,2,FALSE),_xlfn.TEXTAFTER(VLOOKUP($F246,Declarations!B$6:C$185,2,FALSE)," "))))</f>
        <v/>
      </c>
      <c r="D246" s="114" t="str">
        <f>IF(ISNA(VLOOKUP($F246,Declarations!$B$6:$F$185,5,FALSE)),"",IF(VLOOKUP($F246,Declarations!$B$6:$F$185,5,FALSE)="","NOT DECLARED",VLOOKUP($F246,Declarations!$B$6:$F$185,5,FALSE)))</f>
        <v/>
      </c>
      <c r="E246" s="112" t="str">
        <f>IF(ISNA(VLOOKUP($F246,Declarations!$B$6:$D$185,3,FALSE)),"",IF(VLOOKUP($F246,Declarations!$B$6:$D$185,3,FALSE)="","NOT DECLARED",VLOOKUP($F246,Declarations!$B$6:$D$185,3,FALSE)&amp;LEFT(VLOOKUP($F246,Declarations!$B$6:$E$185,4,FALSE))))</f>
        <v/>
      </c>
      <c r="F246" s="58"/>
      <c r="G246" s="121"/>
      <c r="H246" s="121"/>
      <c r="I246" s="114" t="str">
        <f>IF(ISNA(VLOOKUP(F246,Declarations!B$6:C$185,2,FALSE)),"",IF(VLOOKUP(F246,Declarations!B$6:C$185,2,FALSE)="","NOT DECLARED",VLOOKUP(F246,Declarations!B$6:C$185,2,FALSE)))</f>
        <v/>
      </c>
      <c r="J246" s="112">
        <f>IF(LOWER(LEFT(G246,1))="n",1,VLOOKUP(G246,ScoringTable!D$2:I$95,6))</f>
        <v>0</v>
      </c>
      <c r="K246" s="112" t="str">
        <f>IF(OR(E246="",G246=""),"",IF(RIGHT(E246,1)="G",_xlfn.XLOOKUP(G246,Data!$D$14:$L$14,Data!$D$9:$L$9,"",-1,1),_xlfn.XLOOKUP(G246,Data!$D$7:$L$7,Data!$D$2:$L$2,"",-1,1)))</f>
        <v/>
      </c>
      <c r="L246" s="160" t="str" cm="1">
        <f t="array" ref="L246">IFERROR(_xlfn.IFNA(
                      _xlfn.IFS(
                      G246="", "",
                      AND(E246="U12B",G246&gt;=Data!$M$7), "U12 Boys record",
                      AND(E246="U12G",G246&gt;=Data!$M$14), "U12 Girls record"
                       ),""), "")</f>
        <v/>
      </c>
      <c r="M246" s="18" cm="1">
        <f t="array" ref="M246">_xlfn.IFS($G246="",0, AND(NOT(ISNUMBER($G246)),LOWER(LEFT($G246,1))&lt;&gt;"n"),"Not a valid distance",OR(LOWER(LEFT($G246,1))="n",$G246&lt;ScoringTable!$O$161),1,RIGHT($E246,1)="B",_xlfn.XLOOKUP($G246,ScoringTable!$O$2:$O$161,ScoringTable!$L$2:$L$161,,-1),TRUE,_xlfn.XLOOKUP($G246,ScoringTable!$U$2:$U$161,ScoringTable!$R$2:$R$161,,-1))</f>
        <v>0</v>
      </c>
    </row>
    <row r="247" spans="1:13" s="7" customFormat="1" ht="16.05" customHeight="1">
      <c r="A247" s="113" t="s">
        <v>99</v>
      </c>
      <c r="B247" s="114" t="str">
        <f>IF(ISNA(VLOOKUP($F247,Declarations!B$6:C$185,2,FALSE)),"",IF(VLOOKUP($F247,Declarations!B$6:C$185,2,FALSE)="","NOT DECLARED",IF(ISNA(_xlfn.TEXTBEFORE(VLOOKUP($F247,Declarations!B$6:C$185,2,FALSE)," ")),VLOOKUP($F247,Declarations!B$6:C$185,2,FALSE),_xlfn.TEXTBEFORE(VLOOKUP($F247,Declarations!B$6:C$185,2,FALSE)," "))))</f>
        <v/>
      </c>
      <c r="C247" s="114" t="str">
        <f>IF(ISNA(VLOOKUP($F247,Declarations!B$6:C$185,2,FALSE)),"",IF(VLOOKUP($F247,Declarations!B$6:C$185,2,FALSE)="","NOT DECLARED",IF(ISNA(_xlfn.TEXTAFTER(VLOOKUP($F247,Declarations!B$6:C$185,2,FALSE)," ")),VLOOKUP($F247,Declarations!B$6:C$185,2,FALSE),_xlfn.TEXTAFTER(VLOOKUP($F247,Declarations!B$6:C$185,2,FALSE)," "))))</f>
        <v/>
      </c>
      <c r="D247" s="114" t="str">
        <f>IF(ISNA(VLOOKUP($F247,Declarations!$B$6:$F$185,5,FALSE)),"",IF(VLOOKUP($F247,Declarations!$B$6:$F$185,5,FALSE)="","NOT DECLARED",VLOOKUP($F247,Declarations!$B$6:$F$185,5,FALSE)))</f>
        <v/>
      </c>
      <c r="E247" s="112" t="str">
        <f>IF(ISNA(VLOOKUP($F247,Declarations!$B$6:$D$185,3,FALSE)),"",IF(VLOOKUP($F247,Declarations!$B$6:$D$185,3,FALSE)="","NOT DECLARED",VLOOKUP($F247,Declarations!$B$6:$D$185,3,FALSE)&amp;LEFT(VLOOKUP($F247,Declarations!$B$6:$E$185,4,FALSE))))</f>
        <v/>
      </c>
      <c r="F247" s="58"/>
      <c r="G247" s="121"/>
      <c r="H247" s="121"/>
      <c r="I247" s="114" t="str">
        <f>IF(ISNA(VLOOKUP(F247,Declarations!B$6:C$185,2,FALSE)),"",IF(VLOOKUP(F247,Declarations!B$6:C$185,2,FALSE)="","NOT DECLARED",VLOOKUP(F247,Declarations!B$6:C$185,2,FALSE)))</f>
        <v/>
      </c>
      <c r="J247" s="112">
        <f>IF(LOWER(LEFT(G247,1))="n",1,VLOOKUP(G247,ScoringTable!D$2:I$95,6))</f>
        <v>0</v>
      </c>
      <c r="K247" s="112" t="str">
        <f>IF(OR(E247="",G247=""),"",IF(RIGHT(E247,1)="G",_xlfn.XLOOKUP(G247,Data!$D$14:$L$14,Data!$D$9:$L$9,"",-1,1),_xlfn.XLOOKUP(G247,Data!$D$7:$L$7,Data!$D$2:$L$2,"",-1,1)))</f>
        <v/>
      </c>
      <c r="L247" s="160" t="str" cm="1">
        <f t="array" ref="L247">IFERROR(_xlfn.IFNA(
                      _xlfn.IFS(
                      G247="", "",
                      AND(E247="U12B",G247&gt;=Data!$M$7), "U12 Boys record",
                      AND(E247="U12G",G247&gt;=Data!$M$14), "U12 Girls record"
                       ),""), "")</f>
        <v/>
      </c>
      <c r="M247" s="18" cm="1">
        <f t="array" ref="M247">_xlfn.IFS($G247="",0, AND(NOT(ISNUMBER($G247)),LOWER(LEFT($G247,1))&lt;&gt;"n"),"Not a valid distance",OR(LOWER(LEFT($G247,1))="n",$G247&lt;ScoringTable!$O$161),1,RIGHT($E247,1)="B",_xlfn.XLOOKUP($G247,ScoringTable!$O$2:$O$161,ScoringTable!$L$2:$L$161,,-1),TRUE,_xlfn.XLOOKUP($G247,ScoringTable!$U$2:$U$161,ScoringTable!$R$2:$R$161,,-1))</f>
        <v>0</v>
      </c>
    </row>
    <row r="248" spans="1:13" s="7" customFormat="1" ht="16.05" customHeight="1">
      <c r="A248" s="113" t="s">
        <v>99</v>
      </c>
      <c r="B248" s="114" t="str">
        <f>IF(ISNA(VLOOKUP($F248,Declarations!B$6:C$185,2,FALSE)),"",IF(VLOOKUP($F248,Declarations!B$6:C$185,2,FALSE)="","NOT DECLARED",IF(ISNA(_xlfn.TEXTBEFORE(VLOOKUP($F248,Declarations!B$6:C$185,2,FALSE)," ")),VLOOKUP($F248,Declarations!B$6:C$185,2,FALSE),_xlfn.TEXTBEFORE(VLOOKUP($F248,Declarations!B$6:C$185,2,FALSE)," "))))</f>
        <v/>
      </c>
      <c r="C248" s="114" t="str">
        <f>IF(ISNA(VLOOKUP($F248,Declarations!B$6:C$185,2,FALSE)),"",IF(VLOOKUP($F248,Declarations!B$6:C$185,2,FALSE)="","NOT DECLARED",IF(ISNA(_xlfn.TEXTAFTER(VLOOKUP($F248,Declarations!B$6:C$185,2,FALSE)," ")),VLOOKUP($F248,Declarations!B$6:C$185,2,FALSE),_xlfn.TEXTAFTER(VLOOKUP($F248,Declarations!B$6:C$185,2,FALSE)," "))))</f>
        <v/>
      </c>
      <c r="D248" s="114" t="str">
        <f>IF(ISNA(VLOOKUP($F248,Declarations!$B$6:$F$185,5,FALSE)),"",IF(VLOOKUP($F248,Declarations!$B$6:$F$185,5,FALSE)="","NOT DECLARED",VLOOKUP($F248,Declarations!$B$6:$F$185,5,FALSE)))</f>
        <v/>
      </c>
      <c r="E248" s="112" t="str">
        <f>IF(ISNA(VLOOKUP($F248,Declarations!$B$6:$D$185,3,FALSE)),"",IF(VLOOKUP($F248,Declarations!$B$6:$D$185,3,FALSE)="","NOT DECLARED",VLOOKUP($F248,Declarations!$B$6:$D$185,3,FALSE)&amp;LEFT(VLOOKUP($F248,Declarations!$B$6:$E$185,4,FALSE))))</f>
        <v/>
      </c>
      <c r="F248" s="58"/>
      <c r="G248" s="121"/>
      <c r="H248" s="121"/>
      <c r="I248" s="114" t="str">
        <f>IF(ISNA(VLOOKUP(F248,Declarations!B$6:C$185,2,FALSE)),"",IF(VLOOKUP(F248,Declarations!B$6:C$185,2,FALSE)="","NOT DECLARED",VLOOKUP(F248,Declarations!B$6:C$185,2,FALSE)))</f>
        <v/>
      </c>
      <c r="J248" s="112">
        <f>IF(LOWER(LEFT(G248,1))="n",1,VLOOKUP(G248,ScoringTable!D$2:I$95,6))</f>
        <v>0</v>
      </c>
      <c r="K248" s="112" t="str">
        <f>IF(OR(E248="",G248=""),"",IF(RIGHT(E248,1)="G",_xlfn.XLOOKUP(G248,Data!$D$14:$L$14,Data!$D$9:$L$9,"",-1,1),_xlfn.XLOOKUP(G248,Data!$D$7:$L$7,Data!$D$2:$L$2,"",-1,1)))</f>
        <v/>
      </c>
      <c r="L248" s="160" t="str" cm="1">
        <f t="array" ref="L248">IFERROR(_xlfn.IFNA(
                      _xlfn.IFS(
                      G248="", "",
                      AND(E248="U12B",G248&gt;=Data!$M$7), "U12 Boys record",
                      AND(E248="U12G",G248&gt;=Data!$M$14), "U12 Girls record"
                       ),""), "")</f>
        <v/>
      </c>
      <c r="M248" s="18" cm="1">
        <f t="array" ref="M248">_xlfn.IFS($G248="",0, AND(NOT(ISNUMBER($G248)),LOWER(LEFT($G248,1))&lt;&gt;"n"),"Not a valid distance",OR(LOWER(LEFT($G248,1))="n",$G248&lt;ScoringTable!$O$161),1,RIGHT($E248,1)="B",_xlfn.XLOOKUP($G248,ScoringTable!$O$2:$O$161,ScoringTable!$L$2:$L$161,,-1),TRUE,_xlfn.XLOOKUP($G248,ScoringTable!$U$2:$U$161,ScoringTable!$R$2:$R$161,,-1))</f>
        <v>0</v>
      </c>
    </row>
    <row r="249" spans="1:13" s="7" customFormat="1" ht="16.05" customHeight="1">
      <c r="A249" s="113" t="s">
        <v>99</v>
      </c>
      <c r="B249" s="114" t="str">
        <f>IF(ISNA(VLOOKUP($F249,Declarations!B$6:C$185,2,FALSE)),"",IF(VLOOKUP($F249,Declarations!B$6:C$185,2,FALSE)="","NOT DECLARED",IF(ISNA(_xlfn.TEXTBEFORE(VLOOKUP($F249,Declarations!B$6:C$185,2,FALSE)," ")),VLOOKUP($F249,Declarations!B$6:C$185,2,FALSE),_xlfn.TEXTBEFORE(VLOOKUP($F249,Declarations!B$6:C$185,2,FALSE)," "))))</f>
        <v/>
      </c>
      <c r="C249" s="114" t="str">
        <f>IF(ISNA(VLOOKUP($F249,Declarations!B$6:C$185,2,FALSE)),"",IF(VLOOKUP($F249,Declarations!B$6:C$185,2,FALSE)="","NOT DECLARED",IF(ISNA(_xlfn.TEXTAFTER(VLOOKUP($F249,Declarations!B$6:C$185,2,FALSE)," ")),VLOOKUP($F249,Declarations!B$6:C$185,2,FALSE),_xlfn.TEXTAFTER(VLOOKUP($F249,Declarations!B$6:C$185,2,FALSE)," "))))</f>
        <v/>
      </c>
      <c r="D249" s="114" t="str">
        <f>IF(ISNA(VLOOKUP($F249,Declarations!$B$6:$F$185,5,FALSE)),"",IF(VLOOKUP($F249,Declarations!$B$6:$F$185,5,FALSE)="","NOT DECLARED",VLOOKUP($F249,Declarations!$B$6:$F$185,5,FALSE)))</f>
        <v/>
      </c>
      <c r="E249" s="112" t="str">
        <f>IF(ISNA(VLOOKUP($F249,Declarations!$B$6:$D$185,3,FALSE)),"",IF(VLOOKUP($F249,Declarations!$B$6:$D$185,3,FALSE)="","NOT DECLARED",VLOOKUP($F249,Declarations!$B$6:$D$185,3,FALSE)&amp;LEFT(VLOOKUP($F249,Declarations!$B$6:$E$185,4,FALSE))))</f>
        <v/>
      </c>
      <c r="F249" s="58"/>
      <c r="G249" s="121"/>
      <c r="H249" s="121"/>
      <c r="I249" s="114" t="str">
        <f>IF(ISNA(VLOOKUP(F249,Declarations!B$6:C$185,2,FALSE)),"",IF(VLOOKUP(F249,Declarations!B$6:C$185,2,FALSE)="","NOT DECLARED",VLOOKUP(F249,Declarations!B$6:C$185,2,FALSE)))</f>
        <v/>
      </c>
      <c r="J249" s="112">
        <f>IF(LOWER(LEFT(G249,1))="n",1,VLOOKUP(G249,ScoringTable!D$2:I$95,6))</f>
        <v>0</v>
      </c>
      <c r="K249" s="112" t="str">
        <f>IF(OR(E249="",G249=""),"",IF(RIGHT(E249,1)="G",_xlfn.XLOOKUP(G249,Data!$D$14:$L$14,Data!$D$9:$L$9,"",-1,1),_xlfn.XLOOKUP(G249,Data!$D$7:$L$7,Data!$D$2:$L$2,"",-1,1)))</f>
        <v/>
      </c>
      <c r="L249" s="160" t="str" cm="1">
        <f t="array" ref="L249">IFERROR(_xlfn.IFNA(
                      _xlfn.IFS(
                      G249="", "",
                      AND(E249="U12B",G249&gt;=Data!$M$7), "U12 Boys record",
                      AND(E249="U12G",G249&gt;=Data!$M$14), "U12 Girls record"
                       ),""), "")</f>
        <v/>
      </c>
      <c r="M249" s="18" cm="1">
        <f t="array" ref="M249">_xlfn.IFS($G249="",0, AND(NOT(ISNUMBER($G249)),LOWER(LEFT($G249,1))&lt;&gt;"n"),"Not a valid distance",OR(LOWER(LEFT($G249,1))="n",$G249&lt;ScoringTable!$O$161),1,RIGHT($E249,1)="B",_xlfn.XLOOKUP($G249,ScoringTable!$O$2:$O$161,ScoringTable!$L$2:$L$161,,-1),TRUE,_xlfn.XLOOKUP($G249,ScoringTable!$U$2:$U$161,ScoringTable!$R$2:$R$161,,-1))</f>
        <v>0</v>
      </c>
    </row>
    <row r="250" spans="1:13" s="7" customFormat="1" ht="16.05" customHeight="1">
      <c r="A250" s="113" t="s">
        <v>99</v>
      </c>
      <c r="B250" s="114" t="str">
        <f>IF(ISNA(VLOOKUP($F250,Declarations!B$6:C$185,2,FALSE)),"",IF(VLOOKUP($F250,Declarations!B$6:C$185,2,FALSE)="","NOT DECLARED",IF(ISNA(_xlfn.TEXTBEFORE(VLOOKUP($F250,Declarations!B$6:C$185,2,FALSE)," ")),VLOOKUP($F250,Declarations!B$6:C$185,2,FALSE),_xlfn.TEXTBEFORE(VLOOKUP($F250,Declarations!B$6:C$185,2,FALSE)," "))))</f>
        <v/>
      </c>
      <c r="C250" s="114" t="str">
        <f>IF(ISNA(VLOOKUP($F250,Declarations!B$6:C$185,2,FALSE)),"",IF(VLOOKUP($F250,Declarations!B$6:C$185,2,FALSE)="","NOT DECLARED",IF(ISNA(_xlfn.TEXTAFTER(VLOOKUP($F250,Declarations!B$6:C$185,2,FALSE)," ")),VLOOKUP($F250,Declarations!B$6:C$185,2,FALSE),_xlfn.TEXTAFTER(VLOOKUP($F250,Declarations!B$6:C$185,2,FALSE)," "))))</f>
        <v/>
      </c>
      <c r="D250" s="114" t="str">
        <f>IF(ISNA(VLOOKUP($F250,Declarations!$B$6:$F$185,5,FALSE)),"",IF(VLOOKUP($F250,Declarations!$B$6:$F$185,5,FALSE)="","NOT DECLARED",VLOOKUP($F250,Declarations!$B$6:$F$185,5,FALSE)))</f>
        <v/>
      </c>
      <c r="E250" s="112" t="str">
        <f>IF(ISNA(VLOOKUP($F250,Declarations!$B$6:$D$185,3,FALSE)),"",IF(VLOOKUP($F250,Declarations!$B$6:$D$185,3,FALSE)="","NOT DECLARED",VLOOKUP($F250,Declarations!$B$6:$D$185,3,FALSE)&amp;LEFT(VLOOKUP($F250,Declarations!$B$6:$E$185,4,FALSE))))</f>
        <v/>
      </c>
      <c r="F250" s="58"/>
      <c r="G250" s="121"/>
      <c r="H250" s="121"/>
      <c r="I250" s="114" t="str">
        <f>IF(ISNA(VLOOKUP(F250,Declarations!B$6:C$185,2,FALSE)),"",IF(VLOOKUP(F250,Declarations!B$6:C$185,2,FALSE)="","NOT DECLARED",VLOOKUP(F250,Declarations!B$6:C$185,2,FALSE)))</f>
        <v/>
      </c>
      <c r="J250" s="112">
        <f>IF(LOWER(LEFT(G250,1))="n",1,VLOOKUP(G250,ScoringTable!D$2:I$95,6))</f>
        <v>0</v>
      </c>
      <c r="K250" s="112" t="str">
        <f>IF(OR(E250="",G250=""),"",IF(RIGHT(E250,1)="G",_xlfn.XLOOKUP(G250,Data!$D$14:$L$14,Data!$D$9:$L$9,"",-1,1),_xlfn.XLOOKUP(G250,Data!$D$7:$L$7,Data!$D$2:$L$2,"",-1,1)))</f>
        <v/>
      </c>
      <c r="L250" s="160" t="str" cm="1">
        <f t="array" ref="L250">IFERROR(_xlfn.IFNA(
                      _xlfn.IFS(
                      G250="", "",
                      AND(E250="U12B",G250&gt;=Data!$M$7), "U12 Boys record",
                      AND(E250="U12G",G250&gt;=Data!$M$14), "U12 Girls record"
                       ),""), "")</f>
        <v/>
      </c>
      <c r="M250" s="18" cm="1">
        <f t="array" ref="M250">_xlfn.IFS($G250="",0, AND(NOT(ISNUMBER($G250)),LOWER(LEFT($G250,1))&lt;&gt;"n"),"Not a valid distance",OR(LOWER(LEFT($G250,1))="n",$G250&lt;ScoringTable!$O$161),1,RIGHT($E250,1)="B",_xlfn.XLOOKUP($G250,ScoringTable!$O$2:$O$161,ScoringTable!$L$2:$L$161,,-1),TRUE,_xlfn.XLOOKUP($G250,ScoringTable!$U$2:$U$161,ScoringTable!$R$2:$R$161,,-1))</f>
        <v>0</v>
      </c>
    </row>
    <row r="251" spans="1:13" s="7" customFormat="1" ht="16.05" customHeight="1">
      <c r="A251" s="113" t="s">
        <v>99</v>
      </c>
      <c r="B251" s="114" t="str">
        <f>IF(ISNA(VLOOKUP($F251,Declarations!B$6:C$185,2,FALSE)),"",IF(VLOOKUP($F251,Declarations!B$6:C$185,2,FALSE)="","NOT DECLARED",IF(ISNA(_xlfn.TEXTBEFORE(VLOOKUP($F251,Declarations!B$6:C$185,2,FALSE)," ")),VLOOKUP($F251,Declarations!B$6:C$185,2,FALSE),_xlfn.TEXTBEFORE(VLOOKUP($F251,Declarations!B$6:C$185,2,FALSE)," "))))</f>
        <v/>
      </c>
      <c r="C251" s="114" t="str">
        <f>IF(ISNA(VLOOKUP($F251,Declarations!B$6:C$185,2,FALSE)),"",IF(VLOOKUP($F251,Declarations!B$6:C$185,2,FALSE)="","NOT DECLARED",IF(ISNA(_xlfn.TEXTAFTER(VLOOKUP($F251,Declarations!B$6:C$185,2,FALSE)," ")),VLOOKUP($F251,Declarations!B$6:C$185,2,FALSE),_xlfn.TEXTAFTER(VLOOKUP($F251,Declarations!B$6:C$185,2,FALSE)," "))))</f>
        <v/>
      </c>
      <c r="D251" s="114" t="str">
        <f>IF(ISNA(VLOOKUP($F251,Declarations!$B$6:$F$185,5,FALSE)),"",IF(VLOOKUP($F251,Declarations!$B$6:$F$185,5,FALSE)="","NOT DECLARED",VLOOKUP($F251,Declarations!$B$6:$F$185,5,FALSE)))</f>
        <v/>
      </c>
      <c r="E251" s="112" t="str">
        <f>IF(ISNA(VLOOKUP($F251,Declarations!$B$6:$D$185,3,FALSE)),"",IF(VLOOKUP($F251,Declarations!$B$6:$D$185,3,FALSE)="","NOT DECLARED",VLOOKUP($F251,Declarations!$B$6:$D$185,3,FALSE)&amp;LEFT(VLOOKUP($F251,Declarations!$B$6:$E$185,4,FALSE))))</f>
        <v/>
      </c>
      <c r="F251" s="58"/>
      <c r="G251" s="121"/>
      <c r="H251" s="121"/>
      <c r="I251" s="114" t="str">
        <f>IF(ISNA(VLOOKUP(F251,Declarations!B$6:C$185,2,FALSE)),"",IF(VLOOKUP(F251,Declarations!B$6:C$185,2,FALSE)="","NOT DECLARED",VLOOKUP(F251,Declarations!B$6:C$185,2,FALSE)))</f>
        <v/>
      </c>
      <c r="J251" s="112">
        <f>IF(LOWER(LEFT(G251,1))="n",1,VLOOKUP(G251,ScoringTable!D$2:I$95,6))</f>
        <v>0</v>
      </c>
      <c r="K251" s="112" t="str">
        <f>IF(OR(E251="",G251=""),"",IF(RIGHT(E251,1)="G",_xlfn.XLOOKUP(G251,Data!$D$14:$L$14,Data!$D$9:$L$9,"",-1,1),_xlfn.XLOOKUP(G251,Data!$D$7:$L$7,Data!$D$2:$L$2,"",-1,1)))</f>
        <v/>
      </c>
      <c r="L251" s="160" t="str" cm="1">
        <f t="array" ref="L251">IFERROR(_xlfn.IFNA(
                      _xlfn.IFS(
                      G251="", "",
                      AND(E251="U12B",G251&gt;=Data!$M$7), "U12 Boys record",
                      AND(E251="U12G",G251&gt;=Data!$M$14), "U12 Girls record"
                       ),""), "")</f>
        <v/>
      </c>
      <c r="M251" s="18" cm="1">
        <f t="array" ref="M251">_xlfn.IFS($G251="",0, AND(NOT(ISNUMBER($G251)),LOWER(LEFT($G251,1))&lt;&gt;"n"),"Not a valid distance",OR(LOWER(LEFT($G251,1))="n",$G251&lt;ScoringTable!$O$161),1,RIGHT($E251,1)="B",_xlfn.XLOOKUP($G251,ScoringTable!$O$2:$O$161,ScoringTable!$L$2:$L$161,,-1),TRUE,_xlfn.XLOOKUP($G251,ScoringTable!$U$2:$U$161,ScoringTable!$R$2:$R$161,,-1))</f>
        <v>0</v>
      </c>
    </row>
    <row r="252" spans="1:13" s="7" customFormat="1" ht="16.05" customHeight="1">
      <c r="A252" s="113" t="s">
        <v>99</v>
      </c>
      <c r="B252" s="114" t="str">
        <f>IF(ISNA(VLOOKUP($F252,Declarations!B$6:C$185,2,FALSE)),"",IF(VLOOKUP($F252,Declarations!B$6:C$185,2,FALSE)="","NOT DECLARED",IF(ISNA(_xlfn.TEXTBEFORE(VLOOKUP($F252,Declarations!B$6:C$185,2,FALSE)," ")),VLOOKUP($F252,Declarations!B$6:C$185,2,FALSE),_xlfn.TEXTBEFORE(VLOOKUP($F252,Declarations!B$6:C$185,2,FALSE)," "))))</f>
        <v/>
      </c>
      <c r="C252" s="114" t="str">
        <f>IF(ISNA(VLOOKUP($F252,Declarations!B$6:C$185,2,FALSE)),"",IF(VLOOKUP($F252,Declarations!B$6:C$185,2,FALSE)="","NOT DECLARED",IF(ISNA(_xlfn.TEXTAFTER(VLOOKUP($F252,Declarations!B$6:C$185,2,FALSE)," ")),VLOOKUP($F252,Declarations!B$6:C$185,2,FALSE),_xlfn.TEXTAFTER(VLOOKUP($F252,Declarations!B$6:C$185,2,FALSE)," "))))</f>
        <v/>
      </c>
      <c r="D252" s="114" t="str">
        <f>IF(ISNA(VLOOKUP($F252,Declarations!$B$6:$F$185,5,FALSE)),"",IF(VLOOKUP($F252,Declarations!$B$6:$F$185,5,FALSE)="","NOT DECLARED",VLOOKUP($F252,Declarations!$B$6:$F$185,5,FALSE)))</f>
        <v/>
      </c>
      <c r="E252" s="112" t="str">
        <f>IF(ISNA(VLOOKUP($F252,Declarations!$B$6:$D$185,3,FALSE)),"",IF(VLOOKUP($F252,Declarations!$B$6:$D$185,3,FALSE)="","NOT DECLARED",VLOOKUP($F252,Declarations!$B$6:$D$185,3,FALSE)&amp;LEFT(VLOOKUP($F252,Declarations!$B$6:$E$185,4,FALSE))))</f>
        <v/>
      </c>
      <c r="F252" s="58"/>
      <c r="G252" s="121"/>
      <c r="H252" s="121"/>
      <c r="I252" s="114" t="str">
        <f>IF(ISNA(VLOOKUP(F252,Declarations!B$6:C$185,2,FALSE)),"",IF(VLOOKUP(F252,Declarations!B$6:C$185,2,FALSE)="","NOT DECLARED",VLOOKUP(F252,Declarations!B$6:C$185,2,FALSE)))</f>
        <v/>
      </c>
      <c r="J252" s="112">
        <f>IF(LOWER(LEFT(G252,1))="n",1,VLOOKUP(G252,ScoringTable!D$2:I$95,6))</f>
        <v>0</v>
      </c>
      <c r="K252" s="112" t="str">
        <f>IF(OR(E252="",G252=""),"",IF(RIGHT(E252,1)="G",_xlfn.XLOOKUP(G252,Data!$D$14:$L$14,Data!$D$9:$L$9,"",-1,1),_xlfn.XLOOKUP(G252,Data!$D$7:$L$7,Data!$D$2:$L$2,"",-1,1)))</f>
        <v/>
      </c>
      <c r="L252" s="160" t="str" cm="1">
        <f t="array" ref="L252">IFERROR(_xlfn.IFNA(
                      _xlfn.IFS(
                      G252="", "",
                      AND(E252="U12B",G252&gt;=Data!$M$7), "U12 Boys record",
                      AND(E252="U12G",G252&gt;=Data!$M$14), "U12 Girls record"
                       ),""), "")</f>
        <v/>
      </c>
      <c r="M252" s="18" cm="1">
        <f t="array" ref="M252">_xlfn.IFS($G252="",0, AND(NOT(ISNUMBER($G252)),LOWER(LEFT($G252,1))&lt;&gt;"n"),"Not a valid distance",OR(LOWER(LEFT($G252,1))="n",$G252&lt;ScoringTable!$O$161),1,RIGHT($E252,1)="B",_xlfn.XLOOKUP($G252,ScoringTable!$O$2:$O$161,ScoringTable!$L$2:$L$161,,-1),TRUE,_xlfn.XLOOKUP($G252,ScoringTable!$U$2:$U$161,ScoringTable!$R$2:$R$161,,-1))</f>
        <v>0</v>
      </c>
    </row>
    <row r="253" spans="1:13" s="7" customFormat="1" ht="16.05" customHeight="1">
      <c r="A253" s="113" t="s">
        <v>99</v>
      </c>
      <c r="B253" s="114" t="str">
        <f>IF(ISNA(VLOOKUP($F253,Declarations!B$6:C$185,2,FALSE)),"",IF(VLOOKUP($F253,Declarations!B$6:C$185,2,FALSE)="","NOT DECLARED",IF(ISNA(_xlfn.TEXTBEFORE(VLOOKUP($F253,Declarations!B$6:C$185,2,FALSE)," ")),VLOOKUP($F253,Declarations!B$6:C$185,2,FALSE),_xlfn.TEXTBEFORE(VLOOKUP($F253,Declarations!B$6:C$185,2,FALSE)," "))))</f>
        <v/>
      </c>
      <c r="C253" s="114" t="str">
        <f>IF(ISNA(VLOOKUP($F253,Declarations!B$6:C$185,2,FALSE)),"",IF(VLOOKUP($F253,Declarations!B$6:C$185,2,FALSE)="","NOT DECLARED",IF(ISNA(_xlfn.TEXTAFTER(VLOOKUP($F253,Declarations!B$6:C$185,2,FALSE)," ")),VLOOKUP($F253,Declarations!B$6:C$185,2,FALSE),_xlfn.TEXTAFTER(VLOOKUP($F253,Declarations!B$6:C$185,2,FALSE)," "))))</f>
        <v/>
      </c>
      <c r="D253" s="114" t="str">
        <f>IF(ISNA(VLOOKUP($F253,Declarations!$B$6:$F$185,5,FALSE)),"",IF(VLOOKUP($F253,Declarations!$B$6:$F$185,5,FALSE)="","NOT DECLARED",VLOOKUP($F253,Declarations!$B$6:$F$185,5,FALSE)))</f>
        <v/>
      </c>
      <c r="E253" s="112" t="str">
        <f>IF(ISNA(VLOOKUP($F253,Declarations!$B$6:$D$185,3,FALSE)),"",IF(VLOOKUP($F253,Declarations!$B$6:$D$185,3,FALSE)="","NOT DECLARED",VLOOKUP($F253,Declarations!$B$6:$D$185,3,FALSE)&amp;LEFT(VLOOKUP($F253,Declarations!$B$6:$E$185,4,FALSE))))</f>
        <v/>
      </c>
      <c r="F253" s="58"/>
      <c r="G253" s="121"/>
      <c r="H253" s="121"/>
      <c r="I253" s="114" t="str">
        <f>IF(ISNA(VLOOKUP(F253,Declarations!B$6:C$185,2,FALSE)),"",IF(VLOOKUP(F253,Declarations!B$6:C$185,2,FALSE)="","NOT DECLARED",VLOOKUP(F253,Declarations!B$6:C$185,2,FALSE)))</f>
        <v/>
      </c>
      <c r="J253" s="112">
        <f>IF(LOWER(LEFT(G253,1))="n",1,VLOOKUP(G253,ScoringTable!D$2:I$95,6))</f>
        <v>0</v>
      </c>
      <c r="K253" s="112" t="str">
        <f>IF(OR(E253="",G253=""),"",IF(RIGHT(E253,1)="G",_xlfn.XLOOKUP(G253,Data!$D$14:$L$14,Data!$D$9:$L$9,"",-1,1),_xlfn.XLOOKUP(G253,Data!$D$7:$L$7,Data!$D$2:$L$2,"",-1,1)))</f>
        <v/>
      </c>
      <c r="L253" s="160" t="str" cm="1">
        <f t="array" ref="L253">IFERROR(_xlfn.IFNA(
                      _xlfn.IFS(
                      G253="", "",
                      AND(E253="U12B",G253&gt;=Data!$M$7), "U12 Boys record",
                      AND(E253="U12G",G253&gt;=Data!$M$14), "U12 Girls record"
                       ),""), "")</f>
        <v/>
      </c>
      <c r="M253" s="18" cm="1">
        <f t="array" ref="M253">_xlfn.IFS($G253="",0, AND(NOT(ISNUMBER($G253)),LOWER(LEFT($G253,1))&lt;&gt;"n"),"Not a valid distance",OR(LOWER(LEFT($G253,1))="n",$G253&lt;ScoringTable!$O$161),1,RIGHT($E253,1)="B",_xlfn.XLOOKUP($G253,ScoringTable!$O$2:$O$161,ScoringTable!$L$2:$L$161,,-1),TRUE,_xlfn.XLOOKUP($G253,ScoringTable!$U$2:$U$161,ScoringTable!$R$2:$R$161,,-1))</f>
        <v>0</v>
      </c>
    </row>
    <row r="254" spans="1:13" s="7" customFormat="1" ht="16.05" customHeight="1">
      <c r="A254" s="113" t="s">
        <v>99</v>
      </c>
      <c r="B254" s="114" t="str">
        <f>IF(ISNA(VLOOKUP($F254,Declarations!B$6:C$185,2,FALSE)),"",IF(VLOOKUP($F254,Declarations!B$6:C$185,2,FALSE)="","NOT DECLARED",IF(ISNA(_xlfn.TEXTBEFORE(VLOOKUP($F254,Declarations!B$6:C$185,2,FALSE)," ")),VLOOKUP($F254,Declarations!B$6:C$185,2,FALSE),_xlfn.TEXTBEFORE(VLOOKUP($F254,Declarations!B$6:C$185,2,FALSE)," "))))</f>
        <v/>
      </c>
      <c r="C254" s="114" t="str">
        <f>IF(ISNA(VLOOKUP($F254,Declarations!B$6:C$185,2,FALSE)),"",IF(VLOOKUP($F254,Declarations!B$6:C$185,2,FALSE)="","NOT DECLARED",IF(ISNA(_xlfn.TEXTAFTER(VLOOKUP($F254,Declarations!B$6:C$185,2,FALSE)," ")),VLOOKUP($F254,Declarations!B$6:C$185,2,FALSE),_xlfn.TEXTAFTER(VLOOKUP($F254,Declarations!B$6:C$185,2,FALSE)," "))))</f>
        <v/>
      </c>
      <c r="D254" s="114" t="str">
        <f>IF(ISNA(VLOOKUP($F254,Declarations!$B$6:$F$185,5,FALSE)),"",IF(VLOOKUP($F254,Declarations!$B$6:$F$185,5,FALSE)="","NOT DECLARED",VLOOKUP($F254,Declarations!$B$6:$F$185,5,FALSE)))</f>
        <v/>
      </c>
      <c r="E254" s="112" t="str">
        <f>IF(ISNA(VLOOKUP($F254,Declarations!$B$6:$D$185,3,FALSE)),"",IF(VLOOKUP($F254,Declarations!$B$6:$D$185,3,FALSE)="","NOT DECLARED",VLOOKUP($F254,Declarations!$B$6:$D$185,3,FALSE)&amp;LEFT(VLOOKUP($F254,Declarations!$B$6:$E$185,4,FALSE))))</f>
        <v/>
      </c>
      <c r="F254" s="58"/>
      <c r="G254" s="121"/>
      <c r="H254" s="121"/>
      <c r="I254" s="114" t="str">
        <f>IF(ISNA(VLOOKUP(F254,Declarations!B$6:C$185,2,FALSE)),"",IF(VLOOKUP(F254,Declarations!B$6:C$185,2,FALSE)="","NOT DECLARED",VLOOKUP(F254,Declarations!B$6:C$185,2,FALSE)))</f>
        <v/>
      </c>
      <c r="J254" s="112">
        <f>IF(LOWER(LEFT(G254,1))="n",1,VLOOKUP(G254,ScoringTable!D$2:I$95,6))</f>
        <v>0</v>
      </c>
      <c r="K254" s="112" t="str">
        <f>IF(OR(E254="",G254=""),"",IF(RIGHT(E254,1)="G",_xlfn.XLOOKUP(G254,Data!$D$14:$L$14,Data!$D$9:$L$9,"",-1,1),_xlfn.XLOOKUP(G254,Data!$D$7:$L$7,Data!$D$2:$L$2,"",-1,1)))</f>
        <v/>
      </c>
      <c r="L254" s="160" t="str" cm="1">
        <f t="array" ref="L254">IFERROR(_xlfn.IFNA(
                      _xlfn.IFS(
                      G254="", "",
                      AND(E254="U12B",G254&gt;=Data!$M$7), "U12 Boys record",
                      AND(E254="U12G",G254&gt;=Data!$M$14), "U12 Girls record"
                       ),""), "")</f>
        <v/>
      </c>
      <c r="M254" s="18" cm="1">
        <f t="array" ref="M254">_xlfn.IFS($G254="",0, AND(NOT(ISNUMBER($G254)),LOWER(LEFT($G254,1))&lt;&gt;"n"),"Not a valid distance",OR(LOWER(LEFT($G254,1))="n",$G254&lt;ScoringTable!$O$161),1,RIGHT($E254,1)="B",_xlfn.XLOOKUP($G254,ScoringTable!$O$2:$O$161,ScoringTable!$L$2:$L$161,,-1),TRUE,_xlfn.XLOOKUP($G254,ScoringTable!$U$2:$U$161,ScoringTable!$R$2:$R$161,,-1))</f>
        <v>0</v>
      </c>
    </row>
    <row r="255" spans="1:13" s="7" customFormat="1" ht="16.05" customHeight="1">
      <c r="A255" s="113" t="s">
        <v>99</v>
      </c>
      <c r="B255" s="114" t="str">
        <f>IF(ISNA(VLOOKUP($F255,Declarations!B$6:C$185,2,FALSE)),"",IF(VLOOKUP($F255,Declarations!B$6:C$185,2,FALSE)="","NOT DECLARED",IF(ISNA(_xlfn.TEXTBEFORE(VLOOKUP($F255,Declarations!B$6:C$185,2,FALSE)," ")),VLOOKUP($F255,Declarations!B$6:C$185,2,FALSE),_xlfn.TEXTBEFORE(VLOOKUP($F255,Declarations!B$6:C$185,2,FALSE)," "))))</f>
        <v/>
      </c>
      <c r="C255" s="114" t="str">
        <f>IF(ISNA(VLOOKUP($F255,Declarations!B$6:C$185,2,FALSE)),"",IF(VLOOKUP($F255,Declarations!B$6:C$185,2,FALSE)="","NOT DECLARED",IF(ISNA(_xlfn.TEXTAFTER(VLOOKUP($F255,Declarations!B$6:C$185,2,FALSE)," ")),VLOOKUP($F255,Declarations!B$6:C$185,2,FALSE),_xlfn.TEXTAFTER(VLOOKUP($F255,Declarations!B$6:C$185,2,FALSE)," "))))</f>
        <v/>
      </c>
      <c r="D255" s="114" t="str">
        <f>IF(ISNA(VLOOKUP($F255,Declarations!$B$6:$F$185,5,FALSE)),"",IF(VLOOKUP($F255,Declarations!$B$6:$F$185,5,FALSE)="","NOT DECLARED",VLOOKUP($F255,Declarations!$B$6:$F$185,5,FALSE)))</f>
        <v/>
      </c>
      <c r="E255" s="112" t="str">
        <f>IF(ISNA(VLOOKUP($F255,Declarations!$B$6:$D$185,3,FALSE)),"",IF(VLOOKUP($F255,Declarations!$B$6:$D$185,3,FALSE)="","NOT DECLARED",VLOOKUP($F255,Declarations!$B$6:$D$185,3,FALSE)&amp;LEFT(VLOOKUP($F255,Declarations!$B$6:$E$185,4,FALSE))))</f>
        <v/>
      </c>
      <c r="F255" s="58"/>
      <c r="G255" s="121"/>
      <c r="H255" s="121"/>
      <c r="I255" s="114" t="str">
        <f>IF(ISNA(VLOOKUP(F255,Declarations!B$6:C$185,2,FALSE)),"",IF(VLOOKUP(F255,Declarations!B$6:C$185,2,FALSE)="","NOT DECLARED",VLOOKUP(F255,Declarations!B$6:C$185,2,FALSE)))</f>
        <v/>
      </c>
      <c r="J255" s="112">
        <f>IF(LOWER(LEFT(G255,1))="n",1,VLOOKUP(G255,ScoringTable!D$2:I$95,6))</f>
        <v>0</v>
      </c>
      <c r="K255" s="112" t="str">
        <f>IF(OR(E255="",G255=""),"",IF(RIGHT(E255,1)="G",_xlfn.XLOOKUP(G255,Data!$D$14:$L$14,Data!$D$9:$L$9,"",-1,1),_xlfn.XLOOKUP(G255,Data!$D$7:$L$7,Data!$D$2:$L$2,"",-1,1)))</f>
        <v/>
      </c>
      <c r="L255" s="160" t="str" cm="1">
        <f t="array" ref="L255">IFERROR(_xlfn.IFNA(
                      _xlfn.IFS(
                      G255="", "",
                      AND(E255="U12B",G255&gt;=Data!$M$7), "U12 Boys record",
                      AND(E255="U12G",G255&gt;=Data!$M$14), "U12 Girls record"
                       ),""), "")</f>
        <v/>
      </c>
      <c r="M255" s="18" cm="1">
        <f t="array" ref="M255">_xlfn.IFS($G255="",0, AND(NOT(ISNUMBER($G255)),LOWER(LEFT($G255,1))&lt;&gt;"n"),"Not a valid distance",OR(LOWER(LEFT($G255,1))="n",$G255&lt;ScoringTable!$O$161),1,RIGHT($E255,1)="B",_xlfn.XLOOKUP($G255,ScoringTable!$O$2:$O$161,ScoringTable!$L$2:$L$161,,-1),TRUE,_xlfn.XLOOKUP($G255,ScoringTable!$U$2:$U$161,ScoringTable!$R$2:$R$161,,-1))</f>
        <v>0</v>
      </c>
    </row>
    <row r="256" spans="1:13" s="7" customFormat="1" ht="16.05" customHeight="1">
      <c r="A256" s="113" t="s">
        <v>99</v>
      </c>
      <c r="B256" s="114" t="str">
        <f>IF(ISNA(VLOOKUP($F256,Declarations!B$6:C$185,2,FALSE)),"",IF(VLOOKUP($F256,Declarations!B$6:C$185,2,FALSE)="","NOT DECLARED",IF(ISNA(_xlfn.TEXTBEFORE(VLOOKUP($F256,Declarations!B$6:C$185,2,FALSE)," ")),VLOOKUP($F256,Declarations!B$6:C$185,2,FALSE),_xlfn.TEXTBEFORE(VLOOKUP($F256,Declarations!B$6:C$185,2,FALSE)," "))))</f>
        <v/>
      </c>
      <c r="C256" s="114" t="str">
        <f>IF(ISNA(VLOOKUP($F256,Declarations!B$6:C$185,2,FALSE)),"",IF(VLOOKUP($F256,Declarations!B$6:C$185,2,FALSE)="","NOT DECLARED",IF(ISNA(_xlfn.TEXTAFTER(VLOOKUP($F256,Declarations!B$6:C$185,2,FALSE)," ")),VLOOKUP($F256,Declarations!B$6:C$185,2,FALSE),_xlfn.TEXTAFTER(VLOOKUP($F256,Declarations!B$6:C$185,2,FALSE)," "))))</f>
        <v/>
      </c>
      <c r="D256" s="114" t="str">
        <f>IF(ISNA(VLOOKUP($F256,Declarations!$B$6:$F$185,5,FALSE)),"",IF(VLOOKUP($F256,Declarations!$B$6:$F$185,5,FALSE)="","NOT DECLARED",VLOOKUP($F256,Declarations!$B$6:$F$185,5,FALSE)))</f>
        <v/>
      </c>
      <c r="E256" s="112" t="str">
        <f>IF(ISNA(VLOOKUP($F256,Declarations!$B$6:$D$185,3,FALSE)),"",IF(VLOOKUP($F256,Declarations!$B$6:$D$185,3,FALSE)="","NOT DECLARED",VLOOKUP($F256,Declarations!$B$6:$D$185,3,FALSE)&amp;LEFT(VLOOKUP($F256,Declarations!$B$6:$E$185,4,FALSE))))</f>
        <v/>
      </c>
      <c r="F256" s="58"/>
      <c r="G256" s="121"/>
      <c r="H256" s="121"/>
      <c r="I256" s="114" t="str">
        <f>IF(ISNA(VLOOKUP(F256,Declarations!B$6:C$185,2,FALSE)),"",IF(VLOOKUP(F256,Declarations!B$6:C$185,2,FALSE)="","NOT DECLARED",VLOOKUP(F256,Declarations!B$6:C$185,2,FALSE)))</f>
        <v/>
      </c>
      <c r="J256" s="112">
        <f>IF(LOWER(LEFT(G256,1))="n",1,VLOOKUP(G256,ScoringTable!D$2:I$95,6))</f>
        <v>0</v>
      </c>
      <c r="K256" s="112" t="str">
        <f>IF(OR(E256="",G256=""),"",IF(RIGHT(E256,1)="G",_xlfn.XLOOKUP(G256,Data!$D$14:$L$14,Data!$D$9:$L$9,"",-1,1),_xlfn.XLOOKUP(G256,Data!$D$7:$L$7,Data!$D$2:$L$2,"",-1,1)))</f>
        <v/>
      </c>
      <c r="L256" s="160" t="str" cm="1">
        <f t="array" ref="L256">IFERROR(_xlfn.IFNA(
                      _xlfn.IFS(
                      G256="", "",
                      AND(E256="U12B",G256&gt;=Data!$M$7), "U12 Boys record",
                      AND(E256="U12G",G256&gt;=Data!$M$14), "U12 Girls record"
                       ),""), "")</f>
        <v/>
      </c>
      <c r="M256" s="18" cm="1">
        <f t="array" ref="M256">_xlfn.IFS($G256="",0, AND(NOT(ISNUMBER($G256)),LOWER(LEFT($G256,1))&lt;&gt;"n"),"Not a valid distance",OR(LOWER(LEFT($G256,1))="n",$G256&lt;ScoringTable!$O$161),1,RIGHT($E256,1)="B",_xlfn.XLOOKUP($G256,ScoringTable!$O$2:$O$161,ScoringTable!$L$2:$L$161,,-1),TRUE,_xlfn.XLOOKUP($G256,ScoringTable!$U$2:$U$161,ScoringTable!$R$2:$R$161,,-1))</f>
        <v>0</v>
      </c>
    </row>
    <row r="257" spans="1:13" s="7" customFormat="1" ht="16.05" customHeight="1">
      <c r="A257" s="113" t="s">
        <v>99</v>
      </c>
      <c r="B257" s="114" t="str">
        <f>IF(ISNA(VLOOKUP($F257,Declarations!B$6:C$185,2,FALSE)),"",IF(VLOOKUP($F257,Declarations!B$6:C$185,2,FALSE)="","NOT DECLARED",IF(ISNA(_xlfn.TEXTBEFORE(VLOOKUP($F257,Declarations!B$6:C$185,2,FALSE)," ")),VLOOKUP($F257,Declarations!B$6:C$185,2,FALSE),_xlfn.TEXTBEFORE(VLOOKUP($F257,Declarations!B$6:C$185,2,FALSE)," "))))</f>
        <v/>
      </c>
      <c r="C257" s="114" t="str">
        <f>IF(ISNA(VLOOKUP($F257,Declarations!B$6:C$185,2,FALSE)),"",IF(VLOOKUP($F257,Declarations!B$6:C$185,2,FALSE)="","NOT DECLARED",IF(ISNA(_xlfn.TEXTAFTER(VLOOKUP($F257,Declarations!B$6:C$185,2,FALSE)," ")),VLOOKUP($F257,Declarations!B$6:C$185,2,FALSE),_xlfn.TEXTAFTER(VLOOKUP($F257,Declarations!B$6:C$185,2,FALSE)," "))))</f>
        <v/>
      </c>
      <c r="D257" s="114" t="str">
        <f>IF(ISNA(VLOOKUP($F257,Declarations!$B$6:$F$185,5,FALSE)),"",IF(VLOOKUP($F257,Declarations!$B$6:$F$185,5,FALSE)="","NOT DECLARED",VLOOKUP($F257,Declarations!$B$6:$F$185,5,FALSE)))</f>
        <v/>
      </c>
      <c r="E257" s="112" t="str">
        <f>IF(ISNA(VLOOKUP($F257,Declarations!$B$6:$D$185,3,FALSE)),"",IF(VLOOKUP($F257,Declarations!$B$6:$D$185,3,FALSE)="","NOT DECLARED",VLOOKUP($F257,Declarations!$B$6:$D$185,3,FALSE)&amp;LEFT(VLOOKUP($F257,Declarations!$B$6:$E$185,4,FALSE))))</f>
        <v/>
      </c>
      <c r="F257" s="58"/>
      <c r="G257" s="121"/>
      <c r="H257" s="121"/>
      <c r="I257" s="114" t="str">
        <f>IF(ISNA(VLOOKUP(F257,Declarations!B$6:C$185,2,FALSE)),"",IF(VLOOKUP(F257,Declarations!B$6:C$185,2,FALSE)="","NOT DECLARED",VLOOKUP(F257,Declarations!B$6:C$185,2,FALSE)))</f>
        <v/>
      </c>
      <c r="J257" s="112">
        <f>IF(LOWER(LEFT(G257,1))="n",1,VLOOKUP(G257,ScoringTable!D$2:I$95,6))</f>
        <v>0</v>
      </c>
      <c r="K257" s="112" t="str">
        <f>IF(OR(E257="",G257=""),"",IF(RIGHT(E257,1)="G",_xlfn.XLOOKUP(G257,Data!$D$14:$L$14,Data!$D$9:$L$9,"",-1,1),_xlfn.XLOOKUP(G257,Data!$D$7:$L$7,Data!$D$2:$L$2,"",-1,1)))</f>
        <v/>
      </c>
      <c r="L257" s="160" t="str" cm="1">
        <f t="array" ref="L257">IFERROR(_xlfn.IFNA(
                      _xlfn.IFS(
                      G257="", "",
                      AND(E257="U12B",G257&gt;=Data!$M$7), "U12 Boys record",
                      AND(E257="U12G",G257&gt;=Data!$M$14), "U12 Girls record"
                       ),""), "")</f>
        <v/>
      </c>
      <c r="M257" s="18" cm="1">
        <f t="array" ref="M257">_xlfn.IFS($G257="",0, AND(NOT(ISNUMBER($G257)),LOWER(LEFT($G257,1))&lt;&gt;"n"),"Not a valid distance",OR(LOWER(LEFT($G257,1))="n",$G257&lt;ScoringTable!$O$161),1,RIGHT($E257,1)="B",_xlfn.XLOOKUP($G257,ScoringTable!$O$2:$O$161,ScoringTable!$L$2:$L$161,,-1),TRUE,_xlfn.XLOOKUP($G257,ScoringTable!$U$2:$U$161,ScoringTable!$R$2:$R$161,,-1))</f>
        <v>0</v>
      </c>
    </row>
    <row r="258" spans="1:13" s="7" customFormat="1" ht="16.05" customHeight="1">
      <c r="A258" s="113" t="s">
        <v>99</v>
      </c>
      <c r="B258" s="114" t="str">
        <f>IF(ISNA(VLOOKUP($F258,Declarations!B$6:C$185,2,FALSE)),"",IF(VLOOKUP($F258,Declarations!B$6:C$185,2,FALSE)="","NOT DECLARED",IF(ISNA(_xlfn.TEXTBEFORE(VLOOKUP($F258,Declarations!B$6:C$185,2,FALSE)," ")),VLOOKUP($F258,Declarations!B$6:C$185,2,FALSE),_xlfn.TEXTBEFORE(VLOOKUP($F258,Declarations!B$6:C$185,2,FALSE)," "))))</f>
        <v/>
      </c>
      <c r="C258" s="114" t="str">
        <f>IF(ISNA(VLOOKUP($F258,Declarations!B$6:C$185,2,FALSE)),"",IF(VLOOKUP($F258,Declarations!B$6:C$185,2,FALSE)="","NOT DECLARED",IF(ISNA(_xlfn.TEXTAFTER(VLOOKUP($F258,Declarations!B$6:C$185,2,FALSE)," ")),VLOOKUP($F258,Declarations!B$6:C$185,2,FALSE),_xlfn.TEXTAFTER(VLOOKUP($F258,Declarations!B$6:C$185,2,FALSE)," "))))</f>
        <v/>
      </c>
      <c r="D258" s="114" t="str">
        <f>IF(ISNA(VLOOKUP($F258,Declarations!$B$6:$F$185,5,FALSE)),"",IF(VLOOKUP($F258,Declarations!$B$6:$F$185,5,FALSE)="","NOT DECLARED",VLOOKUP($F258,Declarations!$B$6:$F$185,5,FALSE)))</f>
        <v/>
      </c>
      <c r="E258" s="112" t="str">
        <f>IF(ISNA(VLOOKUP($F258,Declarations!$B$6:$D$185,3,FALSE)),"",IF(VLOOKUP($F258,Declarations!$B$6:$D$185,3,FALSE)="","NOT DECLARED",VLOOKUP($F258,Declarations!$B$6:$D$185,3,FALSE)&amp;LEFT(VLOOKUP($F258,Declarations!$B$6:$E$185,4,FALSE))))</f>
        <v/>
      </c>
      <c r="F258" s="58"/>
      <c r="G258" s="121"/>
      <c r="H258" s="121"/>
      <c r="I258" s="114" t="str">
        <f>IF(ISNA(VLOOKUP(F258,Declarations!B$6:C$185,2,FALSE)),"",IF(VLOOKUP(F258,Declarations!B$6:C$185,2,FALSE)="","NOT DECLARED",VLOOKUP(F258,Declarations!B$6:C$185,2,FALSE)))</f>
        <v/>
      </c>
      <c r="J258" s="112">
        <f>IF(LOWER(LEFT(G258,1))="n",1,VLOOKUP(G258,ScoringTable!D$2:I$95,6))</f>
        <v>0</v>
      </c>
      <c r="K258" s="112" t="str">
        <f>IF(OR(E258="",G258=""),"",IF(RIGHT(E258,1)="G",_xlfn.XLOOKUP(G258,Data!$D$14:$L$14,Data!$D$9:$L$9,"",-1,1),_xlfn.XLOOKUP(G258,Data!$D$7:$L$7,Data!$D$2:$L$2,"",-1,1)))</f>
        <v/>
      </c>
      <c r="L258" s="160" t="str" cm="1">
        <f t="array" ref="L258">IFERROR(_xlfn.IFNA(
                      _xlfn.IFS(
                      G258="", "",
                      AND(E258="U12B",G258&gt;=Data!$M$7), "U12 Boys record",
                      AND(E258="U12G",G258&gt;=Data!$M$14), "U12 Girls record"
                       ),""), "")</f>
        <v/>
      </c>
      <c r="M258" s="18" cm="1">
        <f t="array" ref="M258">_xlfn.IFS($G258="",0, AND(NOT(ISNUMBER($G258)),LOWER(LEFT($G258,1))&lt;&gt;"n"),"Not a valid distance",OR(LOWER(LEFT($G258,1))="n",$G258&lt;ScoringTable!$O$161),1,RIGHT($E258,1)="B",_xlfn.XLOOKUP($G258,ScoringTable!$O$2:$O$161,ScoringTable!$L$2:$L$161,,-1),TRUE,_xlfn.XLOOKUP($G258,ScoringTable!$U$2:$U$161,ScoringTable!$R$2:$R$161,,-1))</f>
        <v>0</v>
      </c>
    </row>
    <row r="259" spans="1:13" s="7" customFormat="1" ht="16.05" customHeight="1">
      <c r="A259" s="113" t="s">
        <v>99</v>
      </c>
      <c r="B259" s="114" t="str">
        <f>IF(ISNA(VLOOKUP($F259,Declarations!B$6:C$185,2,FALSE)),"",IF(VLOOKUP($F259,Declarations!B$6:C$185,2,FALSE)="","NOT DECLARED",IF(ISNA(_xlfn.TEXTBEFORE(VLOOKUP($F259,Declarations!B$6:C$185,2,FALSE)," ")),VLOOKUP($F259,Declarations!B$6:C$185,2,FALSE),_xlfn.TEXTBEFORE(VLOOKUP($F259,Declarations!B$6:C$185,2,FALSE)," "))))</f>
        <v/>
      </c>
      <c r="C259" s="114" t="str">
        <f>IF(ISNA(VLOOKUP($F259,Declarations!B$6:C$185,2,FALSE)),"",IF(VLOOKUP($F259,Declarations!B$6:C$185,2,FALSE)="","NOT DECLARED",IF(ISNA(_xlfn.TEXTAFTER(VLOOKUP($F259,Declarations!B$6:C$185,2,FALSE)," ")),VLOOKUP($F259,Declarations!B$6:C$185,2,FALSE),_xlfn.TEXTAFTER(VLOOKUP($F259,Declarations!B$6:C$185,2,FALSE)," "))))</f>
        <v/>
      </c>
      <c r="D259" s="114" t="str">
        <f>IF(ISNA(VLOOKUP($F259,Declarations!$B$6:$F$185,5,FALSE)),"",IF(VLOOKUP($F259,Declarations!$B$6:$F$185,5,FALSE)="","NOT DECLARED",VLOOKUP($F259,Declarations!$B$6:$F$185,5,FALSE)))</f>
        <v/>
      </c>
      <c r="E259" s="112" t="str">
        <f>IF(ISNA(VLOOKUP($F259,Declarations!$B$6:$D$185,3,FALSE)),"",IF(VLOOKUP($F259,Declarations!$B$6:$D$185,3,FALSE)="","NOT DECLARED",VLOOKUP($F259,Declarations!$B$6:$D$185,3,FALSE)&amp;LEFT(VLOOKUP($F259,Declarations!$B$6:$E$185,4,FALSE))))</f>
        <v/>
      </c>
      <c r="F259" s="58"/>
      <c r="G259" s="121"/>
      <c r="H259" s="121"/>
      <c r="I259" s="114" t="str">
        <f>IF(ISNA(VLOOKUP(F259,Declarations!B$6:C$185,2,FALSE)),"",IF(VLOOKUP(F259,Declarations!B$6:C$185,2,FALSE)="","NOT DECLARED",VLOOKUP(F259,Declarations!B$6:C$185,2,FALSE)))</f>
        <v/>
      </c>
      <c r="J259" s="112">
        <f>IF(LOWER(LEFT(G259,1))="n",1,VLOOKUP(G259,ScoringTable!D$2:I$95,6))</f>
        <v>0</v>
      </c>
      <c r="K259" s="112" t="str">
        <f>IF(OR(E259="",G259=""),"",IF(RIGHT(E259,1)="G",_xlfn.XLOOKUP(G259,Data!$D$14:$L$14,Data!$D$9:$L$9,"",-1,1),_xlfn.XLOOKUP(G259,Data!$D$7:$L$7,Data!$D$2:$L$2,"",-1,1)))</f>
        <v/>
      </c>
      <c r="L259" s="160" t="str" cm="1">
        <f t="array" ref="L259">IFERROR(_xlfn.IFNA(
                      _xlfn.IFS(
                      G259="", "",
                      AND(E259="U12B",G259&gt;=Data!$M$7), "U12 Boys record",
                      AND(E259="U12G",G259&gt;=Data!$M$14), "U12 Girls record"
                       ),""), "")</f>
        <v/>
      </c>
      <c r="M259" s="18" cm="1">
        <f t="array" ref="M259">_xlfn.IFS($G259="",0, AND(NOT(ISNUMBER($G259)),LOWER(LEFT($G259,1))&lt;&gt;"n"),"Not a valid distance",OR(LOWER(LEFT($G259,1))="n",$G259&lt;ScoringTable!$O$161),1,RIGHT($E259,1)="B",_xlfn.XLOOKUP($G259,ScoringTable!$O$2:$O$161,ScoringTable!$L$2:$L$161,,-1),TRUE,_xlfn.XLOOKUP($G259,ScoringTable!$U$2:$U$161,ScoringTable!$R$2:$R$161,,-1))</f>
        <v>0</v>
      </c>
    </row>
    <row r="260" spans="1:13" s="7" customFormat="1" ht="16.05" customHeight="1">
      <c r="A260" s="113" t="s">
        <v>99</v>
      </c>
      <c r="B260" s="114" t="str">
        <f>IF(ISNA(VLOOKUP($F260,Declarations!B$6:C$185,2,FALSE)),"",IF(VLOOKUP($F260,Declarations!B$6:C$185,2,FALSE)="","NOT DECLARED",IF(ISNA(_xlfn.TEXTBEFORE(VLOOKUP($F260,Declarations!B$6:C$185,2,FALSE)," ")),VLOOKUP($F260,Declarations!B$6:C$185,2,FALSE),_xlfn.TEXTBEFORE(VLOOKUP($F260,Declarations!B$6:C$185,2,FALSE)," "))))</f>
        <v/>
      </c>
      <c r="C260" s="114" t="str">
        <f>IF(ISNA(VLOOKUP($F260,Declarations!B$6:C$185,2,FALSE)),"",IF(VLOOKUP($F260,Declarations!B$6:C$185,2,FALSE)="","NOT DECLARED",IF(ISNA(_xlfn.TEXTAFTER(VLOOKUP($F260,Declarations!B$6:C$185,2,FALSE)," ")),VLOOKUP($F260,Declarations!B$6:C$185,2,FALSE),_xlfn.TEXTAFTER(VLOOKUP($F260,Declarations!B$6:C$185,2,FALSE)," "))))</f>
        <v/>
      </c>
      <c r="D260" s="114" t="str">
        <f>IF(ISNA(VLOOKUP($F260,Declarations!$B$6:$F$185,5,FALSE)),"",IF(VLOOKUP($F260,Declarations!$B$6:$F$185,5,FALSE)="","NOT DECLARED",VLOOKUP($F260,Declarations!$B$6:$F$185,5,FALSE)))</f>
        <v/>
      </c>
      <c r="E260" s="112" t="str">
        <f>IF(ISNA(VLOOKUP($F260,Declarations!$B$6:$D$185,3,FALSE)),"",IF(VLOOKUP($F260,Declarations!$B$6:$D$185,3,FALSE)="","NOT DECLARED",VLOOKUP($F260,Declarations!$B$6:$D$185,3,FALSE)&amp;LEFT(VLOOKUP($F260,Declarations!$B$6:$E$185,4,FALSE))))</f>
        <v/>
      </c>
      <c r="F260" s="58"/>
      <c r="G260" s="121"/>
      <c r="H260" s="121"/>
      <c r="I260" s="114" t="str">
        <f>IF(ISNA(VLOOKUP(F260,Declarations!B$6:C$185,2,FALSE)),"",IF(VLOOKUP(F260,Declarations!B$6:C$185,2,FALSE)="","NOT DECLARED",VLOOKUP(F260,Declarations!B$6:C$185,2,FALSE)))</f>
        <v/>
      </c>
      <c r="J260" s="112">
        <f>IF(LOWER(LEFT(G260,1))="n",1,VLOOKUP(G260,ScoringTable!D$2:I$95,6))</f>
        <v>0</v>
      </c>
      <c r="K260" s="112" t="str">
        <f>IF(OR(E260="",G260=""),"",IF(RIGHT(E260,1)="G",_xlfn.XLOOKUP(G260,Data!$D$14:$L$14,Data!$D$9:$L$9,"",-1,1),_xlfn.XLOOKUP(G260,Data!$D$7:$L$7,Data!$D$2:$L$2,"",-1,1)))</f>
        <v/>
      </c>
      <c r="L260" s="160" t="str" cm="1">
        <f t="array" ref="L260">IFERROR(_xlfn.IFNA(
                      _xlfn.IFS(
                      G260="", "",
                      AND(E260="U12B",G260&gt;=Data!$M$7), "U12 Boys record",
                      AND(E260="U12G",G260&gt;=Data!$M$14), "U12 Girls record"
                       ),""), "")</f>
        <v/>
      </c>
      <c r="M260" s="18" cm="1">
        <f t="array" ref="M260">_xlfn.IFS($G260="",0, AND(NOT(ISNUMBER($G260)),LOWER(LEFT($G260,1))&lt;&gt;"n"),"Not a valid distance",OR(LOWER(LEFT($G260,1))="n",$G260&lt;ScoringTable!$O$161),1,RIGHT($E260,1)="B",_xlfn.XLOOKUP($G260,ScoringTable!$O$2:$O$161,ScoringTable!$L$2:$L$161,,-1),TRUE,_xlfn.XLOOKUP($G260,ScoringTable!$U$2:$U$161,ScoringTable!$R$2:$R$161,,-1))</f>
        <v>0</v>
      </c>
    </row>
    <row r="261" spans="1:13" s="7" customFormat="1" ht="16.05" customHeight="1">
      <c r="A261" s="113" t="s">
        <v>99</v>
      </c>
      <c r="B261" s="114" t="str">
        <f>IF(ISNA(VLOOKUP($F261,Declarations!B$6:C$185,2,FALSE)),"",IF(VLOOKUP($F261,Declarations!B$6:C$185,2,FALSE)="","NOT DECLARED",IF(ISNA(_xlfn.TEXTBEFORE(VLOOKUP($F261,Declarations!B$6:C$185,2,FALSE)," ")),VLOOKUP($F261,Declarations!B$6:C$185,2,FALSE),_xlfn.TEXTBEFORE(VLOOKUP($F261,Declarations!B$6:C$185,2,FALSE)," "))))</f>
        <v/>
      </c>
      <c r="C261" s="114" t="str">
        <f>IF(ISNA(VLOOKUP($F261,Declarations!B$6:C$185,2,FALSE)),"",IF(VLOOKUP($F261,Declarations!B$6:C$185,2,FALSE)="","NOT DECLARED",IF(ISNA(_xlfn.TEXTAFTER(VLOOKUP($F261,Declarations!B$6:C$185,2,FALSE)," ")),VLOOKUP($F261,Declarations!B$6:C$185,2,FALSE),_xlfn.TEXTAFTER(VLOOKUP($F261,Declarations!B$6:C$185,2,FALSE)," "))))</f>
        <v/>
      </c>
      <c r="D261" s="114" t="str">
        <f>IF(ISNA(VLOOKUP($F261,Declarations!$B$6:$F$185,5,FALSE)),"",IF(VLOOKUP($F261,Declarations!$B$6:$F$185,5,FALSE)="","NOT DECLARED",VLOOKUP($F261,Declarations!$B$6:$F$185,5,FALSE)))</f>
        <v/>
      </c>
      <c r="E261" s="112" t="str">
        <f>IF(ISNA(VLOOKUP($F261,Declarations!$B$6:$D$185,3,FALSE)),"",IF(VLOOKUP($F261,Declarations!$B$6:$D$185,3,FALSE)="","NOT DECLARED",VLOOKUP($F261,Declarations!$B$6:$D$185,3,FALSE)&amp;LEFT(VLOOKUP($F261,Declarations!$B$6:$E$185,4,FALSE))))</f>
        <v/>
      </c>
      <c r="F261" s="58"/>
      <c r="G261" s="121"/>
      <c r="H261" s="121"/>
      <c r="I261" s="114" t="str">
        <f>IF(ISNA(VLOOKUP(F261,Declarations!B$6:C$185,2,FALSE)),"",IF(VLOOKUP(F261,Declarations!B$6:C$185,2,FALSE)="","NOT DECLARED",VLOOKUP(F261,Declarations!B$6:C$185,2,FALSE)))</f>
        <v/>
      </c>
      <c r="J261" s="112">
        <f>IF(LOWER(LEFT(G261,1))="n",1,VLOOKUP(G261,ScoringTable!D$2:I$95,6))</f>
        <v>0</v>
      </c>
      <c r="K261" s="112" t="str">
        <f>IF(OR(E261="",G261=""),"",IF(RIGHT(E261,1)="G",_xlfn.XLOOKUP(G261,Data!$D$14:$L$14,Data!$D$9:$L$9,"",-1,1),_xlfn.XLOOKUP(G261,Data!$D$7:$L$7,Data!$D$2:$L$2,"",-1,1)))</f>
        <v/>
      </c>
      <c r="L261" s="160" t="str" cm="1">
        <f t="array" ref="L261">IFERROR(_xlfn.IFNA(
                      _xlfn.IFS(
                      G261="", "",
                      AND(E261="U12B",G261&gt;=Data!$M$7), "U12 Boys record",
                      AND(E261="U12G",G261&gt;=Data!$M$14), "U12 Girls record"
                       ),""), "")</f>
        <v/>
      </c>
      <c r="M261" s="18" cm="1">
        <f t="array" ref="M261">_xlfn.IFS($G261="",0, AND(NOT(ISNUMBER($G261)),LOWER(LEFT($G261,1))&lt;&gt;"n"),"Not a valid distance",OR(LOWER(LEFT($G261,1))="n",$G261&lt;ScoringTable!$O$161),1,RIGHT($E261,1)="B",_xlfn.XLOOKUP($G261,ScoringTable!$O$2:$O$161,ScoringTable!$L$2:$L$161,,-1),TRUE,_xlfn.XLOOKUP($G261,ScoringTable!$U$2:$U$161,ScoringTable!$R$2:$R$161,,-1))</f>
        <v>0</v>
      </c>
    </row>
    <row r="262" spans="1:13" s="7" customFormat="1" ht="16.05" customHeight="1">
      <c r="A262" s="113" t="s">
        <v>99</v>
      </c>
      <c r="B262" s="114" t="str">
        <f>IF(ISNA(VLOOKUP($F262,Declarations!B$6:C$185,2,FALSE)),"",IF(VLOOKUP($F262,Declarations!B$6:C$185,2,FALSE)="","NOT DECLARED",IF(ISNA(_xlfn.TEXTBEFORE(VLOOKUP($F262,Declarations!B$6:C$185,2,FALSE)," ")),VLOOKUP($F262,Declarations!B$6:C$185,2,FALSE),_xlfn.TEXTBEFORE(VLOOKUP($F262,Declarations!B$6:C$185,2,FALSE)," "))))</f>
        <v/>
      </c>
      <c r="C262" s="114" t="str">
        <f>IF(ISNA(VLOOKUP($F262,Declarations!B$6:C$185,2,FALSE)),"",IF(VLOOKUP($F262,Declarations!B$6:C$185,2,FALSE)="","NOT DECLARED",IF(ISNA(_xlfn.TEXTAFTER(VLOOKUP($F262,Declarations!B$6:C$185,2,FALSE)," ")),VLOOKUP($F262,Declarations!B$6:C$185,2,FALSE),_xlfn.TEXTAFTER(VLOOKUP($F262,Declarations!B$6:C$185,2,FALSE)," "))))</f>
        <v/>
      </c>
      <c r="D262" s="114" t="str">
        <f>IF(ISNA(VLOOKUP($F262,Declarations!$B$6:$F$185,5,FALSE)),"",IF(VLOOKUP($F262,Declarations!$B$6:$F$185,5,FALSE)="","NOT DECLARED",VLOOKUP($F262,Declarations!$B$6:$F$185,5,FALSE)))</f>
        <v/>
      </c>
      <c r="E262" s="112" t="str">
        <f>IF(ISNA(VLOOKUP($F262,Declarations!$B$6:$D$185,3,FALSE)),"",IF(VLOOKUP($F262,Declarations!$B$6:$D$185,3,FALSE)="","NOT DECLARED",VLOOKUP($F262,Declarations!$B$6:$D$185,3,FALSE)&amp;LEFT(VLOOKUP($F262,Declarations!$B$6:$E$185,4,FALSE))))</f>
        <v/>
      </c>
      <c r="F262" s="58"/>
      <c r="G262" s="121"/>
      <c r="H262" s="121"/>
      <c r="I262" s="114" t="str">
        <f>IF(ISNA(VLOOKUP(F262,Declarations!B$6:C$185,2,FALSE)),"",IF(VLOOKUP(F262,Declarations!B$6:C$185,2,FALSE)="","NOT DECLARED",VLOOKUP(F262,Declarations!B$6:C$185,2,FALSE)))</f>
        <v/>
      </c>
      <c r="J262" s="112">
        <f>IF(LOWER(LEFT(G262,1))="n",1,VLOOKUP(G262,ScoringTable!D$2:I$95,6))</f>
        <v>0</v>
      </c>
      <c r="K262" s="112" t="str">
        <f>IF(OR(E262="",G262=""),"",IF(RIGHT(E262,1)="G",_xlfn.XLOOKUP(G262,Data!$D$14:$L$14,Data!$D$9:$L$9,"",-1,1),_xlfn.XLOOKUP(G262,Data!$D$7:$L$7,Data!$D$2:$L$2,"",-1,1)))</f>
        <v/>
      </c>
      <c r="L262" s="160" t="str" cm="1">
        <f t="array" ref="L262">IFERROR(_xlfn.IFNA(
                      _xlfn.IFS(
                      G262="", "",
                      AND(E262="U12B",G262&gt;=Data!$M$7), "U12 Boys record",
                      AND(E262="U12G",G262&gt;=Data!$M$14), "U12 Girls record"
                       ),""), "")</f>
        <v/>
      </c>
      <c r="M262" s="18" cm="1">
        <f t="array" ref="M262">_xlfn.IFS($G262="",0, AND(NOT(ISNUMBER($G262)),LOWER(LEFT($G262,1))&lt;&gt;"n"),"Not a valid distance",OR(LOWER(LEFT($G262,1))="n",$G262&lt;ScoringTable!$O$161),1,RIGHT($E262,1)="B",_xlfn.XLOOKUP($G262,ScoringTable!$O$2:$O$161,ScoringTable!$L$2:$L$161,,-1),TRUE,_xlfn.XLOOKUP($G262,ScoringTable!$U$2:$U$161,ScoringTable!$R$2:$R$161,,-1))</f>
        <v>0</v>
      </c>
    </row>
    <row r="263" spans="1:13" s="7" customFormat="1" ht="16.05" customHeight="1">
      <c r="A263" s="113" t="s">
        <v>99</v>
      </c>
      <c r="B263" s="114" t="str">
        <f>IF(ISNA(VLOOKUP($F263,Declarations!B$6:C$185,2,FALSE)),"",IF(VLOOKUP($F263,Declarations!B$6:C$185,2,FALSE)="","NOT DECLARED",IF(ISNA(_xlfn.TEXTBEFORE(VLOOKUP($F263,Declarations!B$6:C$185,2,FALSE)," ")),VLOOKUP($F263,Declarations!B$6:C$185,2,FALSE),_xlfn.TEXTBEFORE(VLOOKUP($F263,Declarations!B$6:C$185,2,FALSE)," "))))</f>
        <v/>
      </c>
      <c r="C263" s="114" t="str">
        <f>IF(ISNA(VLOOKUP($F263,Declarations!B$6:C$185,2,FALSE)),"",IF(VLOOKUP($F263,Declarations!B$6:C$185,2,FALSE)="","NOT DECLARED",IF(ISNA(_xlfn.TEXTAFTER(VLOOKUP($F263,Declarations!B$6:C$185,2,FALSE)," ")),VLOOKUP($F263,Declarations!B$6:C$185,2,FALSE),_xlfn.TEXTAFTER(VLOOKUP($F263,Declarations!B$6:C$185,2,FALSE)," "))))</f>
        <v/>
      </c>
      <c r="D263" s="114" t="str">
        <f>IF(ISNA(VLOOKUP($F263,Declarations!$B$6:$F$185,5,FALSE)),"",IF(VLOOKUP($F263,Declarations!$B$6:$F$185,5,FALSE)="","NOT DECLARED",VLOOKUP($F263,Declarations!$B$6:$F$185,5,FALSE)))</f>
        <v/>
      </c>
      <c r="E263" s="112" t="str">
        <f>IF(ISNA(VLOOKUP($F263,Declarations!$B$6:$D$185,3,FALSE)),"",IF(VLOOKUP($F263,Declarations!$B$6:$D$185,3,FALSE)="","NOT DECLARED",VLOOKUP($F263,Declarations!$B$6:$D$185,3,FALSE)&amp;LEFT(VLOOKUP($F263,Declarations!$B$6:$E$185,4,FALSE))))</f>
        <v/>
      </c>
      <c r="F263" s="58"/>
      <c r="G263" s="121"/>
      <c r="H263" s="121"/>
      <c r="I263" s="114" t="str">
        <f>IF(ISNA(VLOOKUP(F263,Declarations!B$6:C$185,2,FALSE)),"",IF(VLOOKUP(F263,Declarations!B$6:C$185,2,FALSE)="","NOT DECLARED",VLOOKUP(F263,Declarations!B$6:C$185,2,FALSE)))</f>
        <v/>
      </c>
      <c r="J263" s="112">
        <f>IF(LOWER(LEFT(G263,1))="n",1,VLOOKUP(G263,ScoringTable!D$2:I$95,6))</f>
        <v>0</v>
      </c>
      <c r="K263" s="112" t="str">
        <f>IF(OR(E263="",G263=""),"",IF(RIGHT(E263,1)="G",_xlfn.XLOOKUP(G263,Data!$D$14:$L$14,Data!$D$9:$L$9,"",-1,1),_xlfn.XLOOKUP(G263,Data!$D$7:$L$7,Data!$D$2:$L$2,"",-1,1)))</f>
        <v/>
      </c>
      <c r="L263" s="160" t="str" cm="1">
        <f t="array" ref="L263">IFERROR(_xlfn.IFNA(
                      _xlfn.IFS(
                      G263="", "",
                      AND(E263="U12B",G263&gt;=Data!$M$7), "U12 Boys record",
                      AND(E263="U12G",G263&gt;=Data!$M$14), "U12 Girls record"
                       ),""), "")</f>
        <v/>
      </c>
      <c r="M263" s="18" cm="1">
        <f t="array" ref="M263">_xlfn.IFS($G263="",0, AND(NOT(ISNUMBER($G263)),LOWER(LEFT($G263,1))&lt;&gt;"n"),"Not a valid distance",OR(LOWER(LEFT($G263,1))="n",$G263&lt;ScoringTable!$O$161),1,RIGHT($E263,1)="B",_xlfn.XLOOKUP($G263,ScoringTable!$O$2:$O$161,ScoringTable!$L$2:$L$161,,-1),TRUE,_xlfn.XLOOKUP($G263,ScoringTable!$U$2:$U$161,ScoringTable!$R$2:$R$161,,-1))</f>
        <v>0</v>
      </c>
    </row>
    <row r="264" spans="1:13" s="7" customFormat="1" ht="16.05" customHeight="1">
      <c r="A264" s="113" t="s">
        <v>99</v>
      </c>
      <c r="B264" s="114" t="str">
        <f>IF(ISNA(VLOOKUP($F264,Declarations!B$6:C$185,2,FALSE)),"",IF(VLOOKUP($F264,Declarations!B$6:C$185,2,FALSE)="","NOT DECLARED",IF(ISNA(_xlfn.TEXTBEFORE(VLOOKUP($F264,Declarations!B$6:C$185,2,FALSE)," ")),VLOOKUP($F264,Declarations!B$6:C$185,2,FALSE),_xlfn.TEXTBEFORE(VLOOKUP($F264,Declarations!B$6:C$185,2,FALSE)," "))))</f>
        <v/>
      </c>
      <c r="C264" s="114" t="str">
        <f>IF(ISNA(VLOOKUP($F264,Declarations!B$6:C$185,2,FALSE)),"",IF(VLOOKUP($F264,Declarations!B$6:C$185,2,FALSE)="","NOT DECLARED",IF(ISNA(_xlfn.TEXTAFTER(VLOOKUP($F264,Declarations!B$6:C$185,2,FALSE)," ")),VLOOKUP($F264,Declarations!B$6:C$185,2,FALSE),_xlfn.TEXTAFTER(VLOOKUP($F264,Declarations!B$6:C$185,2,FALSE)," "))))</f>
        <v/>
      </c>
      <c r="D264" s="114" t="str">
        <f>IF(ISNA(VLOOKUP($F264,Declarations!$B$6:$F$185,5,FALSE)),"",IF(VLOOKUP($F264,Declarations!$B$6:$F$185,5,FALSE)="","NOT DECLARED",VLOOKUP($F264,Declarations!$B$6:$F$185,5,FALSE)))</f>
        <v/>
      </c>
      <c r="E264" s="112" t="str">
        <f>IF(ISNA(VLOOKUP($F264,Declarations!$B$6:$D$185,3,FALSE)),"",IF(VLOOKUP($F264,Declarations!$B$6:$D$185,3,FALSE)="","NOT DECLARED",VLOOKUP($F264,Declarations!$B$6:$D$185,3,FALSE)&amp;LEFT(VLOOKUP($F264,Declarations!$B$6:$E$185,4,FALSE))))</f>
        <v/>
      </c>
      <c r="F264" s="58"/>
      <c r="G264" s="121"/>
      <c r="H264" s="121"/>
      <c r="I264" s="114" t="str">
        <f>IF(ISNA(VLOOKUP(F264,Declarations!B$6:C$185,2,FALSE)),"",IF(VLOOKUP(F264,Declarations!B$6:C$185,2,FALSE)="","NOT DECLARED",VLOOKUP(F264,Declarations!B$6:C$185,2,FALSE)))</f>
        <v/>
      </c>
      <c r="J264" s="112">
        <f>IF(LOWER(LEFT(G264,1))="n",1,VLOOKUP(G264,ScoringTable!D$2:I$95,6))</f>
        <v>0</v>
      </c>
      <c r="K264" s="112" t="str">
        <f>IF(OR(E264="",G264=""),"",IF(RIGHT(E264,1)="G",_xlfn.XLOOKUP(G264,Data!$D$14:$L$14,Data!$D$9:$L$9,"",-1,1),_xlfn.XLOOKUP(G264,Data!$D$7:$L$7,Data!$D$2:$L$2,"",-1,1)))</f>
        <v/>
      </c>
      <c r="L264" s="160" t="str" cm="1">
        <f t="array" ref="L264">IFERROR(_xlfn.IFNA(
                      _xlfn.IFS(
                      G264="", "",
                      AND(E264="U12B",G264&gt;=Data!$M$7), "U12 Boys record",
                      AND(E264="U12G",G264&gt;=Data!$M$14), "U12 Girls record"
                       ),""), "")</f>
        <v/>
      </c>
      <c r="M264" s="18" cm="1">
        <f t="array" ref="M264">_xlfn.IFS($G264="",0, AND(NOT(ISNUMBER($G264)),LOWER(LEFT($G264,1))&lt;&gt;"n"),"Not a valid distance",OR(LOWER(LEFT($G264,1))="n",$G264&lt;ScoringTable!$O$161),1,RIGHT($E264,1)="B",_xlfn.XLOOKUP($G264,ScoringTable!$O$2:$O$161,ScoringTable!$L$2:$L$161,,-1),TRUE,_xlfn.XLOOKUP($G264,ScoringTable!$U$2:$U$161,ScoringTable!$R$2:$R$161,,-1))</f>
        <v>0</v>
      </c>
    </row>
    <row r="265" spans="1:13" s="7" customFormat="1" ht="16.05" customHeight="1">
      <c r="A265" s="113" t="s">
        <v>99</v>
      </c>
      <c r="B265" s="114" t="str">
        <f>IF(ISNA(VLOOKUP($F265,Declarations!B$6:C$185,2,FALSE)),"",IF(VLOOKUP($F265,Declarations!B$6:C$185,2,FALSE)="","NOT DECLARED",IF(ISNA(_xlfn.TEXTBEFORE(VLOOKUP($F265,Declarations!B$6:C$185,2,FALSE)," ")),VLOOKUP($F265,Declarations!B$6:C$185,2,FALSE),_xlfn.TEXTBEFORE(VLOOKUP($F265,Declarations!B$6:C$185,2,FALSE)," "))))</f>
        <v/>
      </c>
      <c r="C265" s="114" t="str">
        <f>IF(ISNA(VLOOKUP($F265,Declarations!B$6:C$185,2,FALSE)),"",IF(VLOOKUP($F265,Declarations!B$6:C$185,2,FALSE)="","NOT DECLARED",IF(ISNA(_xlfn.TEXTAFTER(VLOOKUP($F265,Declarations!B$6:C$185,2,FALSE)," ")),VLOOKUP($F265,Declarations!B$6:C$185,2,FALSE),_xlfn.TEXTAFTER(VLOOKUP($F265,Declarations!B$6:C$185,2,FALSE)," "))))</f>
        <v/>
      </c>
      <c r="D265" s="114" t="str">
        <f>IF(ISNA(VLOOKUP($F265,Declarations!$B$6:$F$185,5,FALSE)),"",IF(VLOOKUP($F265,Declarations!$B$6:$F$185,5,FALSE)="","NOT DECLARED",VLOOKUP($F265,Declarations!$B$6:$F$185,5,FALSE)))</f>
        <v/>
      </c>
      <c r="E265" s="112" t="str">
        <f>IF(ISNA(VLOOKUP($F265,Declarations!$B$6:$D$185,3,FALSE)),"",IF(VLOOKUP($F265,Declarations!$B$6:$D$185,3,FALSE)="","NOT DECLARED",VLOOKUP($F265,Declarations!$B$6:$D$185,3,FALSE)&amp;LEFT(VLOOKUP($F265,Declarations!$B$6:$E$185,4,FALSE))))</f>
        <v/>
      </c>
      <c r="F265" s="58"/>
      <c r="G265" s="121"/>
      <c r="H265" s="121"/>
      <c r="I265" s="114" t="str">
        <f>IF(ISNA(VLOOKUP(F265,Declarations!B$6:C$185,2,FALSE)),"",IF(VLOOKUP(F265,Declarations!B$6:C$185,2,FALSE)="","NOT DECLARED",VLOOKUP(F265,Declarations!B$6:C$185,2,FALSE)))</f>
        <v/>
      </c>
      <c r="J265" s="112">
        <f>IF(LOWER(LEFT(G265,1))="n",1,VLOOKUP(G265,ScoringTable!D$2:I$95,6))</f>
        <v>0</v>
      </c>
      <c r="K265" s="112" t="str">
        <f>IF(OR(E265="",G265=""),"",IF(RIGHT(E265,1)="G",_xlfn.XLOOKUP(G265,Data!$D$14:$L$14,Data!$D$9:$L$9,"",-1,1),_xlfn.XLOOKUP(G265,Data!$D$7:$L$7,Data!$D$2:$L$2,"",-1,1)))</f>
        <v/>
      </c>
      <c r="L265" s="160" t="str" cm="1">
        <f t="array" ref="L265">IFERROR(_xlfn.IFNA(
                      _xlfn.IFS(
                      G265="", "",
                      AND(E265="U12B",G265&gt;=Data!$M$7), "U12 Boys record",
                      AND(E265="U12G",G265&gt;=Data!$M$14), "U12 Girls record"
                       ),""), "")</f>
        <v/>
      </c>
      <c r="M265" s="18" cm="1">
        <f t="array" ref="M265">_xlfn.IFS($G265="",0, AND(NOT(ISNUMBER($G265)),LOWER(LEFT($G265,1))&lt;&gt;"n"),"Not a valid distance",OR(LOWER(LEFT($G265,1))="n",$G265&lt;ScoringTable!$O$161),1,RIGHT($E265,1)="B",_xlfn.XLOOKUP($G265,ScoringTable!$O$2:$O$161,ScoringTable!$L$2:$L$161,,-1),TRUE,_xlfn.XLOOKUP($G265,ScoringTable!$U$2:$U$161,ScoringTable!$R$2:$R$161,,-1))</f>
        <v>0</v>
      </c>
    </row>
    <row r="266" spans="1:13" s="7" customFormat="1" ht="16.05" customHeight="1">
      <c r="A266" s="113" t="s">
        <v>99</v>
      </c>
      <c r="B266" s="114" t="str">
        <f>IF(ISNA(VLOOKUP($F266,Declarations!B$6:C$185,2,FALSE)),"",IF(VLOOKUP($F266,Declarations!B$6:C$185,2,FALSE)="","NOT DECLARED",IF(ISNA(_xlfn.TEXTBEFORE(VLOOKUP($F266,Declarations!B$6:C$185,2,FALSE)," ")),VLOOKUP($F266,Declarations!B$6:C$185,2,FALSE),_xlfn.TEXTBEFORE(VLOOKUP($F266,Declarations!B$6:C$185,2,FALSE)," "))))</f>
        <v/>
      </c>
      <c r="C266" s="114" t="str">
        <f>IF(ISNA(VLOOKUP($F266,Declarations!B$6:C$185,2,FALSE)),"",IF(VLOOKUP($F266,Declarations!B$6:C$185,2,FALSE)="","NOT DECLARED",IF(ISNA(_xlfn.TEXTAFTER(VLOOKUP($F266,Declarations!B$6:C$185,2,FALSE)," ")),VLOOKUP($F266,Declarations!B$6:C$185,2,FALSE),_xlfn.TEXTAFTER(VLOOKUP($F266,Declarations!B$6:C$185,2,FALSE)," "))))</f>
        <v/>
      </c>
      <c r="D266" s="114" t="str">
        <f>IF(ISNA(VLOOKUP($F266,Declarations!$B$6:$F$185,5,FALSE)),"",IF(VLOOKUP($F266,Declarations!$B$6:$F$185,5,FALSE)="","NOT DECLARED",VLOOKUP($F266,Declarations!$B$6:$F$185,5,FALSE)))</f>
        <v/>
      </c>
      <c r="E266" s="112" t="str">
        <f>IF(ISNA(VLOOKUP($F266,Declarations!$B$6:$D$185,3,FALSE)),"",IF(VLOOKUP($F266,Declarations!$B$6:$D$185,3,FALSE)="","NOT DECLARED",VLOOKUP($F266,Declarations!$B$6:$D$185,3,FALSE)&amp;LEFT(VLOOKUP($F266,Declarations!$B$6:$E$185,4,FALSE))))</f>
        <v/>
      </c>
      <c r="F266" s="58"/>
      <c r="G266" s="121"/>
      <c r="H266" s="121"/>
      <c r="I266" s="114" t="str">
        <f>IF(ISNA(VLOOKUP(F266,Declarations!B$6:C$185,2,FALSE)),"",IF(VLOOKUP(F266,Declarations!B$6:C$185,2,FALSE)="","NOT DECLARED",VLOOKUP(F266,Declarations!B$6:C$185,2,FALSE)))</f>
        <v/>
      </c>
      <c r="J266" s="112">
        <f>IF(LOWER(LEFT(G266,1))="n",1,VLOOKUP(G266,ScoringTable!D$2:I$95,6))</f>
        <v>0</v>
      </c>
      <c r="K266" s="112" t="str">
        <f>IF(OR(E266="",G266=""),"",IF(RIGHT(E266,1)="G",_xlfn.XLOOKUP(G266,Data!$D$14:$L$14,Data!$D$9:$L$9,"",-1,1),_xlfn.XLOOKUP(G266,Data!$D$7:$L$7,Data!$D$2:$L$2,"",-1,1)))</f>
        <v/>
      </c>
      <c r="L266" s="160" t="str" cm="1">
        <f t="array" ref="L266">IFERROR(_xlfn.IFNA(
                      _xlfn.IFS(
                      G266="", "",
                      AND(E266="U12B",G266&gt;=Data!$M$7), "U12 Boys record",
                      AND(E266="U12G",G266&gt;=Data!$M$14), "U12 Girls record"
                       ),""), "")</f>
        <v/>
      </c>
      <c r="M266" s="18" cm="1">
        <f t="array" ref="M266">_xlfn.IFS($G266="",0, AND(NOT(ISNUMBER($G266)),LOWER(LEFT($G266,1))&lt;&gt;"n"),"Not a valid distance",OR(LOWER(LEFT($G266,1))="n",$G266&lt;ScoringTable!$O$161),1,RIGHT($E266,1)="B",_xlfn.XLOOKUP($G266,ScoringTable!$O$2:$O$161,ScoringTable!$L$2:$L$161,,-1),TRUE,_xlfn.XLOOKUP($G266,ScoringTable!$U$2:$U$161,ScoringTable!$R$2:$R$161,,-1))</f>
        <v>0</v>
      </c>
    </row>
    <row r="267" spans="1:13" s="7" customFormat="1" ht="16.05" customHeight="1">
      <c r="A267" s="113" t="s">
        <v>99</v>
      </c>
      <c r="B267" s="114" t="str">
        <f>IF(ISNA(VLOOKUP($F267,Declarations!B$6:C$185,2,FALSE)),"",IF(VLOOKUP($F267,Declarations!B$6:C$185,2,FALSE)="","NOT DECLARED",IF(ISNA(_xlfn.TEXTBEFORE(VLOOKUP($F267,Declarations!B$6:C$185,2,FALSE)," ")),VLOOKUP($F267,Declarations!B$6:C$185,2,FALSE),_xlfn.TEXTBEFORE(VLOOKUP($F267,Declarations!B$6:C$185,2,FALSE)," "))))</f>
        <v/>
      </c>
      <c r="C267" s="114" t="str">
        <f>IF(ISNA(VLOOKUP($F267,Declarations!B$6:C$185,2,FALSE)),"",IF(VLOOKUP($F267,Declarations!B$6:C$185,2,FALSE)="","NOT DECLARED",IF(ISNA(_xlfn.TEXTAFTER(VLOOKUP($F267,Declarations!B$6:C$185,2,FALSE)," ")),VLOOKUP($F267,Declarations!B$6:C$185,2,FALSE),_xlfn.TEXTAFTER(VLOOKUP($F267,Declarations!B$6:C$185,2,FALSE)," "))))</f>
        <v/>
      </c>
      <c r="D267" s="114" t="str">
        <f>IF(ISNA(VLOOKUP($F267,Declarations!$B$6:$F$185,5,FALSE)),"",IF(VLOOKUP($F267,Declarations!$B$6:$F$185,5,FALSE)="","NOT DECLARED",VLOOKUP($F267,Declarations!$B$6:$F$185,5,FALSE)))</f>
        <v/>
      </c>
      <c r="E267" s="112" t="str">
        <f>IF(ISNA(VLOOKUP($F267,Declarations!$B$6:$D$185,3,FALSE)),"",IF(VLOOKUP($F267,Declarations!$B$6:$D$185,3,FALSE)="","NOT DECLARED",VLOOKUP($F267,Declarations!$B$6:$D$185,3,FALSE)&amp;LEFT(VLOOKUP($F267,Declarations!$B$6:$E$185,4,FALSE))))</f>
        <v/>
      </c>
      <c r="F267" s="58"/>
      <c r="G267" s="121"/>
      <c r="H267" s="121"/>
      <c r="I267" s="114" t="str">
        <f>IF(ISNA(VLOOKUP(F267,Declarations!B$6:C$185,2,FALSE)),"",IF(VLOOKUP(F267,Declarations!B$6:C$185,2,FALSE)="","NOT DECLARED",VLOOKUP(F267,Declarations!B$6:C$185,2,FALSE)))</f>
        <v/>
      </c>
      <c r="J267" s="112">
        <f>IF(LOWER(LEFT(G267,1))="n",1,VLOOKUP(G267,ScoringTable!D$2:I$95,6))</f>
        <v>0</v>
      </c>
      <c r="K267" s="112" t="str">
        <f>IF(OR(E267="",G267=""),"",IF(RIGHT(E267,1)="G",_xlfn.XLOOKUP(G267,Data!$D$14:$L$14,Data!$D$9:$L$9,"",-1,1),_xlfn.XLOOKUP(G267,Data!$D$7:$L$7,Data!$D$2:$L$2,"",-1,1)))</f>
        <v/>
      </c>
      <c r="L267" s="160" t="str" cm="1">
        <f t="array" ref="L267">IFERROR(_xlfn.IFNA(
                      _xlfn.IFS(
                      G267="", "",
                      AND(E267="U12B",G267&gt;=Data!$M$7), "U12 Boys record",
                      AND(E267="U12G",G267&gt;=Data!$M$14), "U12 Girls record"
                       ),""), "")</f>
        <v/>
      </c>
      <c r="M267" s="18" cm="1">
        <f t="array" ref="M267">_xlfn.IFS($G267="",0, AND(NOT(ISNUMBER($G267)),LOWER(LEFT($G267,1))&lt;&gt;"n"),"Not a valid distance",OR(LOWER(LEFT($G267,1))="n",$G267&lt;ScoringTable!$O$161),1,RIGHT($E267,1)="B",_xlfn.XLOOKUP($G267,ScoringTable!$O$2:$O$161,ScoringTable!$L$2:$L$161,,-1),TRUE,_xlfn.XLOOKUP($G267,ScoringTable!$U$2:$U$161,ScoringTable!$R$2:$R$161,,-1))</f>
        <v>0</v>
      </c>
    </row>
    <row r="268" spans="1:13" s="7" customFormat="1" ht="16.05" customHeight="1">
      <c r="A268" s="113" t="s">
        <v>99</v>
      </c>
      <c r="B268" s="114" t="str">
        <f>IF(ISNA(VLOOKUP($F268,Declarations!B$6:C$185,2,FALSE)),"",IF(VLOOKUP($F268,Declarations!B$6:C$185,2,FALSE)="","NOT DECLARED",IF(ISNA(_xlfn.TEXTBEFORE(VLOOKUP($F268,Declarations!B$6:C$185,2,FALSE)," ")),VLOOKUP($F268,Declarations!B$6:C$185,2,FALSE),_xlfn.TEXTBEFORE(VLOOKUP($F268,Declarations!B$6:C$185,2,FALSE)," "))))</f>
        <v/>
      </c>
      <c r="C268" s="114" t="str">
        <f>IF(ISNA(VLOOKUP($F268,Declarations!B$6:C$185,2,FALSE)),"",IF(VLOOKUP($F268,Declarations!B$6:C$185,2,FALSE)="","NOT DECLARED",IF(ISNA(_xlfn.TEXTAFTER(VLOOKUP($F268,Declarations!B$6:C$185,2,FALSE)," ")),VLOOKUP($F268,Declarations!B$6:C$185,2,FALSE),_xlfn.TEXTAFTER(VLOOKUP($F268,Declarations!B$6:C$185,2,FALSE)," "))))</f>
        <v/>
      </c>
      <c r="D268" s="114" t="str">
        <f>IF(ISNA(VLOOKUP($F268,Declarations!$B$6:$F$185,5,FALSE)),"",IF(VLOOKUP($F268,Declarations!$B$6:$F$185,5,FALSE)="","NOT DECLARED",VLOOKUP($F268,Declarations!$B$6:$F$185,5,FALSE)))</f>
        <v/>
      </c>
      <c r="E268" s="112" t="str">
        <f>IF(ISNA(VLOOKUP($F268,Declarations!$B$6:$D$185,3,FALSE)),"",IF(VLOOKUP($F268,Declarations!$B$6:$D$185,3,FALSE)="","NOT DECLARED",VLOOKUP($F268,Declarations!$B$6:$D$185,3,FALSE)&amp;LEFT(VLOOKUP($F268,Declarations!$B$6:$E$185,4,FALSE))))</f>
        <v/>
      </c>
      <c r="F268" s="58"/>
      <c r="G268" s="121"/>
      <c r="H268" s="121"/>
      <c r="I268" s="114" t="str">
        <f>IF(ISNA(VLOOKUP(F268,Declarations!B$6:C$185,2,FALSE)),"",IF(VLOOKUP(F268,Declarations!B$6:C$185,2,FALSE)="","NOT DECLARED",VLOOKUP(F268,Declarations!B$6:C$185,2,FALSE)))</f>
        <v/>
      </c>
      <c r="J268" s="112">
        <f>IF(LOWER(LEFT(G268,1))="n",1,VLOOKUP(G268,ScoringTable!D$2:I$95,6))</f>
        <v>0</v>
      </c>
      <c r="K268" s="112" t="str">
        <f>IF(OR(E268="",G268=""),"",IF(RIGHT(E268,1)="G",_xlfn.XLOOKUP(G268,Data!$D$14:$L$14,Data!$D$9:$L$9,"",-1,1),_xlfn.XLOOKUP(G268,Data!$D$7:$L$7,Data!$D$2:$L$2,"",-1,1)))</f>
        <v/>
      </c>
      <c r="L268" s="160" t="str" cm="1">
        <f t="array" ref="L268">IFERROR(_xlfn.IFNA(
                      _xlfn.IFS(
                      G268="", "",
                      AND(E268="U12B",G268&gt;=Data!$M$7), "U12 Boys record",
                      AND(E268="U12G",G268&gt;=Data!$M$14), "U12 Girls record"
                       ),""), "")</f>
        <v/>
      </c>
      <c r="M268" s="18" cm="1">
        <f t="array" ref="M268">_xlfn.IFS($G268="",0, AND(NOT(ISNUMBER($G268)),LOWER(LEFT($G268,1))&lt;&gt;"n"),"Not a valid distance",OR(LOWER(LEFT($G268,1))="n",$G268&lt;ScoringTable!$O$161),1,RIGHT($E268,1)="B",_xlfn.XLOOKUP($G268,ScoringTable!$O$2:$O$161,ScoringTable!$L$2:$L$161,,-1),TRUE,_xlfn.XLOOKUP($G268,ScoringTable!$U$2:$U$161,ScoringTable!$R$2:$R$161,,-1))</f>
        <v>0</v>
      </c>
    </row>
    <row r="269" spans="1:13" s="7" customFormat="1" ht="16.05" customHeight="1">
      <c r="A269" s="113" t="s">
        <v>99</v>
      </c>
      <c r="B269" s="114" t="str">
        <f>IF(ISNA(VLOOKUP($F269,Declarations!B$6:C$185,2,FALSE)),"",IF(VLOOKUP($F269,Declarations!B$6:C$185,2,FALSE)="","NOT DECLARED",IF(ISNA(_xlfn.TEXTBEFORE(VLOOKUP($F269,Declarations!B$6:C$185,2,FALSE)," ")),VLOOKUP($F269,Declarations!B$6:C$185,2,FALSE),_xlfn.TEXTBEFORE(VLOOKUP($F269,Declarations!B$6:C$185,2,FALSE)," "))))</f>
        <v/>
      </c>
      <c r="C269" s="114" t="str">
        <f>IF(ISNA(VLOOKUP($F269,Declarations!B$6:C$185,2,FALSE)),"",IF(VLOOKUP($F269,Declarations!B$6:C$185,2,FALSE)="","NOT DECLARED",IF(ISNA(_xlfn.TEXTAFTER(VLOOKUP($F269,Declarations!B$6:C$185,2,FALSE)," ")),VLOOKUP($F269,Declarations!B$6:C$185,2,FALSE),_xlfn.TEXTAFTER(VLOOKUP($F269,Declarations!B$6:C$185,2,FALSE)," "))))</f>
        <v/>
      </c>
      <c r="D269" s="114" t="str">
        <f>IF(ISNA(VLOOKUP($F269,Declarations!$B$6:$F$185,5,FALSE)),"",IF(VLOOKUP($F269,Declarations!$B$6:$F$185,5,FALSE)="","NOT DECLARED",VLOOKUP($F269,Declarations!$B$6:$F$185,5,FALSE)))</f>
        <v/>
      </c>
      <c r="E269" s="112" t="str">
        <f>IF(ISNA(VLOOKUP($F269,Declarations!$B$6:$D$185,3,FALSE)),"",IF(VLOOKUP($F269,Declarations!$B$6:$D$185,3,FALSE)="","NOT DECLARED",VLOOKUP($F269,Declarations!$B$6:$D$185,3,FALSE)&amp;LEFT(VLOOKUP($F269,Declarations!$B$6:$E$185,4,FALSE))))</f>
        <v/>
      </c>
      <c r="F269" s="58"/>
      <c r="G269" s="121"/>
      <c r="H269" s="121"/>
      <c r="I269" s="114" t="str">
        <f>IF(ISNA(VLOOKUP(F269,Declarations!B$6:C$185,2,FALSE)),"",IF(VLOOKUP(F269,Declarations!B$6:C$185,2,FALSE)="","NOT DECLARED",VLOOKUP(F269,Declarations!B$6:C$185,2,FALSE)))</f>
        <v/>
      </c>
      <c r="J269" s="112">
        <f>IF(LOWER(LEFT(G269,1))="n",1,VLOOKUP(G269,ScoringTable!D$2:I$95,6))</f>
        <v>0</v>
      </c>
      <c r="K269" s="112" t="str">
        <f>IF(OR(E269="",G269=""),"",IF(RIGHT(E269,1)="G",_xlfn.XLOOKUP(G269,Data!$D$14:$L$14,Data!$D$9:$L$9,"",-1,1),_xlfn.XLOOKUP(G269,Data!$D$7:$L$7,Data!$D$2:$L$2,"",-1,1)))</f>
        <v/>
      </c>
      <c r="L269" s="160" t="str" cm="1">
        <f t="array" ref="L269">IFERROR(_xlfn.IFNA(
                      _xlfn.IFS(
                      G269="", "",
                      AND(E269="U12B",G269&gt;=Data!$M$7), "U12 Boys record",
                      AND(E269="U12G",G269&gt;=Data!$M$14), "U12 Girls record"
                       ),""), "")</f>
        <v/>
      </c>
      <c r="M269" s="18" cm="1">
        <f t="array" ref="M269">_xlfn.IFS($G269="",0, AND(NOT(ISNUMBER($G269)),LOWER(LEFT($G269,1))&lt;&gt;"n"),"Not a valid distance",OR(LOWER(LEFT($G269,1))="n",$G269&lt;ScoringTable!$O$161),1,RIGHT($E269,1)="B",_xlfn.XLOOKUP($G269,ScoringTable!$O$2:$O$161,ScoringTable!$L$2:$L$161,,-1),TRUE,_xlfn.XLOOKUP($G269,ScoringTable!$U$2:$U$161,ScoringTable!$R$2:$R$161,,-1))</f>
        <v>0</v>
      </c>
    </row>
    <row r="270" spans="1:13" s="7" customFormat="1" ht="16.05" customHeight="1">
      <c r="A270" s="113" t="s">
        <v>99</v>
      </c>
      <c r="B270" s="114" t="str">
        <f>IF(ISNA(VLOOKUP($F270,Declarations!B$6:C$185,2,FALSE)),"",IF(VLOOKUP($F270,Declarations!B$6:C$185,2,FALSE)="","NOT DECLARED",IF(ISNA(_xlfn.TEXTBEFORE(VLOOKUP($F270,Declarations!B$6:C$185,2,FALSE)," ")),VLOOKUP($F270,Declarations!B$6:C$185,2,FALSE),_xlfn.TEXTBEFORE(VLOOKUP($F270,Declarations!B$6:C$185,2,FALSE)," "))))</f>
        <v/>
      </c>
      <c r="C270" s="114" t="str">
        <f>IF(ISNA(VLOOKUP($F270,Declarations!B$6:C$185,2,FALSE)),"",IF(VLOOKUP($F270,Declarations!B$6:C$185,2,FALSE)="","NOT DECLARED",IF(ISNA(_xlfn.TEXTAFTER(VLOOKUP($F270,Declarations!B$6:C$185,2,FALSE)," ")),VLOOKUP($F270,Declarations!B$6:C$185,2,FALSE),_xlfn.TEXTAFTER(VLOOKUP($F270,Declarations!B$6:C$185,2,FALSE)," "))))</f>
        <v/>
      </c>
      <c r="D270" s="114" t="str">
        <f>IF(ISNA(VLOOKUP($F270,Declarations!$B$6:$F$185,5,FALSE)),"",IF(VLOOKUP($F270,Declarations!$B$6:$F$185,5,FALSE)="","NOT DECLARED",VLOOKUP($F270,Declarations!$B$6:$F$185,5,FALSE)))</f>
        <v/>
      </c>
      <c r="E270" s="112" t="str">
        <f>IF(ISNA(VLOOKUP($F270,Declarations!$B$6:$D$185,3,FALSE)),"",IF(VLOOKUP($F270,Declarations!$B$6:$D$185,3,FALSE)="","NOT DECLARED",VLOOKUP($F270,Declarations!$B$6:$D$185,3,FALSE)&amp;LEFT(VLOOKUP($F270,Declarations!$B$6:$E$185,4,FALSE))))</f>
        <v/>
      </c>
      <c r="F270" s="58"/>
      <c r="G270" s="121"/>
      <c r="H270" s="121"/>
      <c r="I270" s="114" t="str">
        <f>IF(ISNA(VLOOKUP(F270,Declarations!B$6:C$185,2,FALSE)),"",IF(VLOOKUP(F270,Declarations!B$6:C$185,2,FALSE)="","NOT DECLARED",VLOOKUP(F270,Declarations!B$6:C$185,2,FALSE)))</f>
        <v/>
      </c>
      <c r="J270" s="112">
        <f>IF(LOWER(LEFT(G270,1))="n",1,VLOOKUP(G270,ScoringTable!D$2:I$95,6))</f>
        <v>0</v>
      </c>
      <c r="K270" s="112" t="str">
        <f>IF(OR(E270="",G270=""),"",IF(RIGHT(E270,1)="G",_xlfn.XLOOKUP(G270,Data!$D$14:$L$14,Data!$D$9:$L$9,"",-1,1),_xlfn.XLOOKUP(G270,Data!$D$7:$L$7,Data!$D$2:$L$2,"",-1,1)))</f>
        <v/>
      </c>
      <c r="L270" s="160" t="str" cm="1">
        <f t="array" ref="L270">IFERROR(_xlfn.IFNA(
                      _xlfn.IFS(
                      G270="", "",
                      AND(E270="U12B",G270&gt;=Data!$M$7), "U12 Boys record",
                      AND(E270="U12G",G270&gt;=Data!$M$14), "U12 Girls record"
                       ),""), "")</f>
        <v/>
      </c>
      <c r="M270" s="18" cm="1">
        <f t="array" ref="M270">_xlfn.IFS($G270="",0, AND(NOT(ISNUMBER($G270)),LOWER(LEFT($G270,1))&lt;&gt;"n"),"Not a valid distance",OR(LOWER(LEFT($G270,1))="n",$G270&lt;ScoringTable!$O$161),1,RIGHT($E270,1)="B",_xlfn.XLOOKUP($G270,ScoringTable!$O$2:$O$161,ScoringTable!$L$2:$L$161,,-1),TRUE,_xlfn.XLOOKUP($G270,ScoringTable!$U$2:$U$161,ScoringTable!$R$2:$R$161,,-1))</f>
        <v>0</v>
      </c>
    </row>
    <row r="271" spans="1:13" s="7" customFormat="1" ht="16.05" customHeight="1">
      <c r="A271" s="113" t="s">
        <v>99</v>
      </c>
      <c r="B271" s="114" t="str">
        <f>IF(ISNA(VLOOKUP($F271,Declarations!B$6:C$185,2,FALSE)),"",IF(VLOOKUP($F271,Declarations!B$6:C$185,2,FALSE)="","NOT DECLARED",IF(ISNA(_xlfn.TEXTBEFORE(VLOOKUP($F271,Declarations!B$6:C$185,2,FALSE)," ")),VLOOKUP($F271,Declarations!B$6:C$185,2,FALSE),_xlfn.TEXTBEFORE(VLOOKUP($F271,Declarations!B$6:C$185,2,FALSE)," "))))</f>
        <v/>
      </c>
      <c r="C271" s="114" t="str">
        <f>IF(ISNA(VLOOKUP($F271,Declarations!B$6:C$185,2,FALSE)),"",IF(VLOOKUP($F271,Declarations!B$6:C$185,2,FALSE)="","NOT DECLARED",IF(ISNA(_xlfn.TEXTAFTER(VLOOKUP($F271,Declarations!B$6:C$185,2,FALSE)," ")),VLOOKUP($F271,Declarations!B$6:C$185,2,FALSE),_xlfn.TEXTAFTER(VLOOKUP($F271,Declarations!B$6:C$185,2,FALSE)," "))))</f>
        <v/>
      </c>
      <c r="D271" s="114" t="str">
        <f>IF(ISNA(VLOOKUP($F271,Declarations!$B$6:$F$185,5,FALSE)),"",IF(VLOOKUP($F271,Declarations!$B$6:$F$185,5,FALSE)="","NOT DECLARED",VLOOKUP($F271,Declarations!$B$6:$F$185,5,FALSE)))</f>
        <v/>
      </c>
      <c r="E271" s="112" t="str">
        <f>IF(ISNA(VLOOKUP($F271,Declarations!$B$6:$D$185,3,FALSE)),"",IF(VLOOKUP($F271,Declarations!$B$6:$D$185,3,FALSE)="","NOT DECLARED",VLOOKUP($F271,Declarations!$B$6:$D$185,3,FALSE)&amp;LEFT(VLOOKUP($F271,Declarations!$B$6:$E$185,4,FALSE))))</f>
        <v/>
      </c>
      <c r="F271" s="58"/>
      <c r="G271" s="121"/>
      <c r="H271" s="121"/>
      <c r="I271" s="114" t="str">
        <f>IF(ISNA(VLOOKUP(F271,Declarations!B$6:C$185,2,FALSE)),"",IF(VLOOKUP(F271,Declarations!B$6:C$185,2,FALSE)="","NOT DECLARED",VLOOKUP(F271,Declarations!B$6:C$185,2,FALSE)))</f>
        <v/>
      </c>
      <c r="J271" s="112">
        <f>IF(LOWER(LEFT(G271,1))="n",1,VLOOKUP(G271,ScoringTable!D$2:I$95,6))</f>
        <v>0</v>
      </c>
      <c r="K271" s="112" t="str">
        <f>IF(OR(E271="",G271=""),"",IF(RIGHT(E271,1)="G",_xlfn.XLOOKUP(G271,Data!$D$14:$L$14,Data!$D$9:$L$9,"",-1,1),_xlfn.XLOOKUP(G271,Data!$D$7:$L$7,Data!$D$2:$L$2,"",-1,1)))</f>
        <v/>
      </c>
      <c r="L271" s="160" t="str" cm="1">
        <f t="array" ref="L271">IFERROR(_xlfn.IFNA(
                      _xlfn.IFS(
                      G271="", "",
                      AND(E271="U12B",G271&gt;=Data!$M$7), "U12 Boys record",
                      AND(E271="U12G",G271&gt;=Data!$M$14), "U12 Girls record"
                       ),""), "")</f>
        <v/>
      </c>
      <c r="M271" s="18" cm="1">
        <f t="array" ref="M271">_xlfn.IFS($G271="",0, AND(NOT(ISNUMBER($G271)),LOWER(LEFT($G271,1))&lt;&gt;"n"),"Not a valid distance",OR(LOWER(LEFT($G271,1))="n",$G271&lt;ScoringTable!$O$161),1,RIGHT($E271,1)="B",_xlfn.XLOOKUP($G271,ScoringTable!$O$2:$O$161,ScoringTable!$L$2:$L$161,,-1),TRUE,_xlfn.XLOOKUP($G271,ScoringTable!$U$2:$U$161,ScoringTable!$R$2:$R$161,,-1))</f>
        <v>0</v>
      </c>
    </row>
    <row r="272" spans="1:13" s="7" customFormat="1" ht="16.05" customHeight="1">
      <c r="A272" s="113" t="s">
        <v>99</v>
      </c>
      <c r="B272" s="114" t="str">
        <f>IF(ISNA(VLOOKUP($F272,Declarations!B$6:C$185,2,FALSE)),"",IF(VLOOKUP($F272,Declarations!B$6:C$185,2,FALSE)="","NOT DECLARED",IF(ISNA(_xlfn.TEXTBEFORE(VLOOKUP($F272,Declarations!B$6:C$185,2,FALSE)," ")),VLOOKUP($F272,Declarations!B$6:C$185,2,FALSE),_xlfn.TEXTBEFORE(VLOOKUP($F272,Declarations!B$6:C$185,2,FALSE)," "))))</f>
        <v/>
      </c>
      <c r="C272" s="114" t="str">
        <f>IF(ISNA(VLOOKUP($F272,Declarations!B$6:C$185,2,FALSE)),"",IF(VLOOKUP($F272,Declarations!B$6:C$185,2,FALSE)="","NOT DECLARED",IF(ISNA(_xlfn.TEXTAFTER(VLOOKUP($F272,Declarations!B$6:C$185,2,FALSE)," ")),VLOOKUP($F272,Declarations!B$6:C$185,2,FALSE),_xlfn.TEXTAFTER(VLOOKUP($F272,Declarations!B$6:C$185,2,FALSE)," "))))</f>
        <v/>
      </c>
      <c r="D272" s="114" t="str">
        <f>IF(ISNA(VLOOKUP($F272,Declarations!$B$6:$F$185,5,FALSE)),"",IF(VLOOKUP($F272,Declarations!$B$6:$F$185,5,FALSE)="","NOT DECLARED",VLOOKUP($F272,Declarations!$B$6:$F$185,5,FALSE)))</f>
        <v/>
      </c>
      <c r="E272" s="112" t="str">
        <f>IF(ISNA(VLOOKUP($F272,Declarations!$B$6:$D$185,3,FALSE)),"",IF(VLOOKUP($F272,Declarations!$B$6:$D$185,3,FALSE)="","NOT DECLARED",VLOOKUP($F272,Declarations!$B$6:$D$185,3,FALSE)&amp;LEFT(VLOOKUP($F272,Declarations!$B$6:$E$185,4,FALSE))))</f>
        <v/>
      </c>
      <c r="F272" s="58"/>
      <c r="G272" s="121"/>
      <c r="H272" s="121"/>
      <c r="I272" s="114" t="str">
        <f>IF(ISNA(VLOOKUP(F272,Declarations!B$6:C$185,2,FALSE)),"",IF(VLOOKUP(F272,Declarations!B$6:C$185,2,FALSE)="","NOT DECLARED",VLOOKUP(F272,Declarations!B$6:C$185,2,FALSE)))</f>
        <v/>
      </c>
      <c r="J272" s="112">
        <f>IF(LOWER(LEFT(G272,1))="n",1,VLOOKUP(G272,ScoringTable!D$2:I$95,6))</f>
        <v>0</v>
      </c>
      <c r="K272" s="112" t="str">
        <f>IF(OR(E272="",G272=""),"",IF(RIGHT(E272,1)="G",_xlfn.XLOOKUP(G272,Data!$D$14:$L$14,Data!$D$9:$L$9,"",-1,1),_xlfn.XLOOKUP(G272,Data!$D$7:$L$7,Data!$D$2:$L$2,"",-1,1)))</f>
        <v/>
      </c>
      <c r="L272" s="160" t="str" cm="1">
        <f t="array" ref="L272">IFERROR(_xlfn.IFNA(
                      _xlfn.IFS(
                      G272="", "",
                      AND(E272="U12B",G272&gt;=Data!$M$7), "U12 Boys record",
                      AND(E272="U12G",G272&gt;=Data!$M$14), "U12 Girls record"
                       ),""), "")</f>
        <v/>
      </c>
      <c r="M272" s="18" cm="1">
        <f t="array" ref="M272">_xlfn.IFS($G272="",0, AND(NOT(ISNUMBER($G272)),LOWER(LEFT($G272,1))&lt;&gt;"n"),"Not a valid distance",OR(LOWER(LEFT($G272,1))="n",$G272&lt;ScoringTable!$O$161),1,RIGHT($E272,1)="B",_xlfn.XLOOKUP($G272,ScoringTable!$O$2:$O$161,ScoringTable!$L$2:$L$161,,-1),TRUE,_xlfn.XLOOKUP($G272,ScoringTable!$U$2:$U$161,ScoringTable!$R$2:$R$161,,-1))</f>
        <v>0</v>
      </c>
    </row>
    <row r="273" spans="1:13" s="7" customFormat="1" ht="16.05" customHeight="1">
      <c r="A273" s="113" t="s">
        <v>99</v>
      </c>
      <c r="B273" s="114" t="str">
        <f>IF(ISNA(VLOOKUP($F273,Declarations!B$6:C$185,2,FALSE)),"",IF(VLOOKUP($F273,Declarations!B$6:C$185,2,FALSE)="","NOT DECLARED",IF(ISNA(_xlfn.TEXTBEFORE(VLOOKUP($F273,Declarations!B$6:C$185,2,FALSE)," ")),VLOOKUP($F273,Declarations!B$6:C$185,2,FALSE),_xlfn.TEXTBEFORE(VLOOKUP($F273,Declarations!B$6:C$185,2,FALSE)," "))))</f>
        <v/>
      </c>
      <c r="C273" s="114" t="str">
        <f>IF(ISNA(VLOOKUP($F273,Declarations!B$6:C$185,2,FALSE)),"",IF(VLOOKUP($F273,Declarations!B$6:C$185,2,FALSE)="","NOT DECLARED",IF(ISNA(_xlfn.TEXTAFTER(VLOOKUP($F273,Declarations!B$6:C$185,2,FALSE)," ")),VLOOKUP($F273,Declarations!B$6:C$185,2,FALSE),_xlfn.TEXTAFTER(VLOOKUP($F273,Declarations!B$6:C$185,2,FALSE)," "))))</f>
        <v/>
      </c>
      <c r="D273" s="114" t="str">
        <f>IF(ISNA(VLOOKUP($F273,Declarations!$B$6:$F$185,5,FALSE)),"",IF(VLOOKUP($F273,Declarations!$B$6:$F$185,5,FALSE)="","NOT DECLARED",VLOOKUP($F273,Declarations!$B$6:$F$185,5,FALSE)))</f>
        <v/>
      </c>
      <c r="E273" s="112" t="str">
        <f>IF(ISNA(VLOOKUP($F273,Declarations!$B$6:$D$185,3,FALSE)),"",IF(VLOOKUP($F273,Declarations!$B$6:$D$185,3,FALSE)="","NOT DECLARED",VLOOKUP($F273,Declarations!$B$6:$D$185,3,FALSE)&amp;LEFT(VLOOKUP($F273,Declarations!$B$6:$E$185,4,FALSE))))</f>
        <v/>
      </c>
      <c r="F273" s="58"/>
      <c r="G273" s="121"/>
      <c r="H273" s="121"/>
      <c r="I273" s="114" t="str">
        <f>IF(ISNA(VLOOKUP(F273,Declarations!B$6:C$185,2,FALSE)),"",IF(VLOOKUP(F273,Declarations!B$6:C$185,2,FALSE)="","NOT DECLARED",VLOOKUP(F273,Declarations!B$6:C$185,2,FALSE)))</f>
        <v/>
      </c>
      <c r="J273" s="112">
        <f>IF(LOWER(LEFT(G273,1))="n",1,VLOOKUP(G273,ScoringTable!D$2:I$95,6))</f>
        <v>0</v>
      </c>
      <c r="K273" s="112" t="str">
        <f>IF(OR(E273="",G273=""),"",IF(RIGHT(E273,1)="G",_xlfn.XLOOKUP(G273,Data!$D$14:$L$14,Data!$D$9:$L$9,"",-1,1),_xlfn.XLOOKUP(G273,Data!$D$7:$L$7,Data!$D$2:$L$2,"",-1,1)))</f>
        <v/>
      </c>
      <c r="L273" s="160" t="str" cm="1">
        <f t="array" ref="L273">IFERROR(_xlfn.IFNA(
                      _xlfn.IFS(
                      G273="", "",
                      AND(E273="U12B",G273&gt;=Data!$M$7), "U12 Boys record",
                      AND(E273="U12G",G273&gt;=Data!$M$14), "U12 Girls record"
                       ),""), "")</f>
        <v/>
      </c>
      <c r="M273" s="18" cm="1">
        <f t="array" ref="M273">_xlfn.IFS($G273="",0, AND(NOT(ISNUMBER($G273)),LOWER(LEFT($G273,1))&lt;&gt;"n"),"Not a valid distance",OR(LOWER(LEFT($G273,1))="n",$G273&lt;ScoringTable!$O$161),1,RIGHT($E273,1)="B",_xlfn.XLOOKUP($G273,ScoringTable!$O$2:$O$161,ScoringTable!$L$2:$L$161,,-1),TRUE,_xlfn.XLOOKUP($G273,ScoringTable!$U$2:$U$161,ScoringTable!$R$2:$R$161,,-1))</f>
        <v>0</v>
      </c>
    </row>
    <row r="274" spans="1:13" s="7" customFormat="1" ht="16.05" customHeight="1">
      <c r="A274" s="113" t="s">
        <v>99</v>
      </c>
      <c r="B274" s="114" t="str">
        <f>IF(ISNA(VLOOKUP($F274,Declarations!B$6:C$185,2,FALSE)),"",IF(VLOOKUP($F274,Declarations!B$6:C$185,2,FALSE)="","NOT DECLARED",IF(ISNA(_xlfn.TEXTBEFORE(VLOOKUP($F274,Declarations!B$6:C$185,2,FALSE)," ")),VLOOKUP($F274,Declarations!B$6:C$185,2,FALSE),_xlfn.TEXTBEFORE(VLOOKUP($F274,Declarations!B$6:C$185,2,FALSE)," "))))</f>
        <v/>
      </c>
      <c r="C274" s="114" t="str">
        <f>IF(ISNA(VLOOKUP($F274,Declarations!B$6:C$185,2,FALSE)),"",IF(VLOOKUP($F274,Declarations!B$6:C$185,2,FALSE)="","NOT DECLARED",IF(ISNA(_xlfn.TEXTAFTER(VLOOKUP($F274,Declarations!B$6:C$185,2,FALSE)," ")),VLOOKUP($F274,Declarations!B$6:C$185,2,FALSE),_xlfn.TEXTAFTER(VLOOKUP($F274,Declarations!B$6:C$185,2,FALSE)," "))))</f>
        <v/>
      </c>
      <c r="D274" s="114" t="str">
        <f>IF(ISNA(VLOOKUP($F274,Declarations!$B$6:$F$185,5,FALSE)),"",IF(VLOOKUP($F274,Declarations!$B$6:$F$185,5,FALSE)="","NOT DECLARED",VLOOKUP($F274,Declarations!$B$6:$F$185,5,FALSE)))</f>
        <v/>
      </c>
      <c r="E274" s="112" t="str">
        <f>IF(ISNA(VLOOKUP($F274,Declarations!$B$6:$D$185,3,FALSE)),"",IF(VLOOKUP($F274,Declarations!$B$6:$D$185,3,FALSE)="","NOT DECLARED",VLOOKUP($F274,Declarations!$B$6:$D$185,3,FALSE)&amp;LEFT(VLOOKUP($F274,Declarations!$B$6:$E$185,4,FALSE))))</f>
        <v/>
      </c>
      <c r="F274" s="58"/>
      <c r="G274" s="121"/>
      <c r="H274" s="121"/>
      <c r="I274" s="114" t="str">
        <f>IF(ISNA(VLOOKUP(F274,Declarations!B$6:C$185,2,FALSE)),"",IF(VLOOKUP(F274,Declarations!B$6:C$185,2,FALSE)="","NOT DECLARED",VLOOKUP(F274,Declarations!B$6:C$185,2,FALSE)))</f>
        <v/>
      </c>
      <c r="J274" s="112">
        <f>IF(LOWER(LEFT(G274,1))="n",1,VLOOKUP(G274,ScoringTable!D$2:I$95,6))</f>
        <v>0</v>
      </c>
      <c r="K274" s="112" t="str">
        <f>IF(OR(E274="",G274=""),"",IF(RIGHT(E274,1)="G",_xlfn.XLOOKUP(G274,Data!$D$14:$L$14,Data!$D$9:$L$9,"",-1,1),_xlfn.XLOOKUP(G274,Data!$D$7:$L$7,Data!$D$2:$L$2,"",-1,1)))</f>
        <v/>
      </c>
      <c r="L274" s="160" t="str" cm="1">
        <f t="array" ref="L274">IFERROR(_xlfn.IFNA(
                      _xlfn.IFS(
                      G274="", "",
                      AND(E274="U12B",G274&gt;=Data!$M$7), "U12 Boys record",
                      AND(E274="U12G",G274&gt;=Data!$M$14), "U12 Girls record"
                       ),""), "")</f>
        <v/>
      </c>
      <c r="M274" s="18" cm="1">
        <f t="array" ref="M274">_xlfn.IFS($G274="",0, AND(NOT(ISNUMBER($G274)),LOWER(LEFT($G274,1))&lt;&gt;"n"),"Not a valid distance",OR(LOWER(LEFT($G274,1))="n",$G274&lt;ScoringTable!$O$161),1,RIGHT($E274,1)="B",_xlfn.XLOOKUP($G274,ScoringTable!$O$2:$O$161,ScoringTable!$L$2:$L$161,,-1),TRUE,_xlfn.XLOOKUP($G274,ScoringTable!$U$2:$U$161,ScoringTable!$R$2:$R$161,,-1))</f>
        <v>0</v>
      </c>
    </row>
    <row r="275" spans="1:13" s="7" customFormat="1" ht="16.05" customHeight="1">
      <c r="A275" s="113" t="s">
        <v>99</v>
      </c>
      <c r="B275" s="114" t="str">
        <f>IF(ISNA(VLOOKUP($F275,Declarations!B$6:C$185,2,FALSE)),"",IF(VLOOKUP($F275,Declarations!B$6:C$185,2,FALSE)="","NOT DECLARED",IF(ISNA(_xlfn.TEXTBEFORE(VLOOKUP($F275,Declarations!B$6:C$185,2,FALSE)," ")),VLOOKUP($F275,Declarations!B$6:C$185,2,FALSE),_xlfn.TEXTBEFORE(VLOOKUP($F275,Declarations!B$6:C$185,2,FALSE)," "))))</f>
        <v/>
      </c>
      <c r="C275" s="114" t="str">
        <f>IF(ISNA(VLOOKUP($F275,Declarations!B$6:C$185,2,FALSE)),"",IF(VLOOKUP($F275,Declarations!B$6:C$185,2,FALSE)="","NOT DECLARED",IF(ISNA(_xlfn.TEXTAFTER(VLOOKUP($F275,Declarations!B$6:C$185,2,FALSE)," ")),VLOOKUP($F275,Declarations!B$6:C$185,2,FALSE),_xlfn.TEXTAFTER(VLOOKUP($F275,Declarations!B$6:C$185,2,FALSE)," "))))</f>
        <v/>
      </c>
      <c r="D275" s="114" t="str">
        <f>IF(ISNA(VLOOKUP($F275,Declarations!$B$6:$F$185,5,FALSE)),"",IF(VLOOKUP($F275,Declarations!$B$6:$F$185,5,FALSE)="","NOT DECLARED",VLOOKUP($F275,Declarations!$B$6:$F$185,5,FALSE)))</f>
        <v/>
      </c>
      <c r="E275" s="112" t="str">
        <f>IF(ISNA(VLOOKUP($F275,Declarations!$B$6:$D$185,3,FALSE)),"",IF(VLOOKUP($F275,Declarations!$B$6:$D$185,3,FALSE)="","NOT DECLARED",VLOOKUP($F275,Declarations!$B$6:$D$185,3,FALSE)&amp;LEFT(VLOOKUP($F275,Declarations!$B$6:$E$185,4,FALSE))))</f>
        <v/>
      </c>
      <c r="F275" s="58"/>
      <c r="G275" s="121"/>
      <c r="H275" s="121"/>
      <c r="I275" s="114" t="str">
        <f>IF(ISNA(VLOOKUP(F275,Declarations!B$6:C$185,2,FALSE)),"",IF(VLOOKUP(F275,Declarations!B$6:C$185,2,FALSE)="","NOT DECLARED",VLOOKUP(F275,Declarations!B$6:C$185,2,FALSE)))</f>
        <v/>
      </c>
      <c r="J275" s="112">
        <f>IF(LOWER(LEFT(G275,1))="n",1,VLOOKUP(G275,ScoringTable!D$2:I$95,6))</f>
        <v>0</v>
      </c>
      <c r="K275" s="112" t="str">
        <f>IF(OR(E275="",G275=""),"",IF(RIGHT(E275,1)="G",_xlfn.XLOOKUP(G275,Data!$D$14:$L$14,Data!$D$9:$L$9,"",-1,1),_xlfn.XLOOKUP(G275,Data!$D$7:$L$7,Data!$D$2:$L$2,"",-1,1)))</f>
        <v/>
      </c>
      <c r="L275" s="160" t="str" cm="1">
        <f t="array" ref="L275">IFERROR(_xlfn.IFNA(
                      _xlfn.IFS(
                      G275="", "",
                      AND(E275="U12B",G275&gt;=Data!$M$7), "U12 Boys record",
                      AND(E275="U12G",G275&gt;=Data!$M$14), "U12 Girls record"
                       ),""), "")</f>
        <v/>
      </c>
      <c r="M275" s="18" cm="1">
        <f t="array" ref="M275">_xlfn.IFS($G275="",0, AND(NOT(ISNUMBER($G275)),LOWER(LEFT($G275,1))&lt;&gt;"n"),"Not a valid distance",OR(LOWER(LEFT($G275,1))="n",$G275&lt;ScoringTable!$O$161),1,RIGHT($E275,1)="B",_xlfn.XLOOKUP($G275,ScoringTable!$O$2:$O$161,ScoringTable!$L$2:$L$161,,-1),TRUE,_xlfn.XLOOKUP($G275,ScoringTable!$U$2:$U$161,ScoringTable!$R$2:$R$161,,-1))</f>
        <v>0</v>
      </c>
    </row>
    <row r="276" spans="1:13" s="7" customFormat="1" ht="16.05" customHeight="1">
      <c r="A276" s="113" t="s">
        <v>99</v>
      </c>
      <c r="B276" s="114" t="str">
        <f>IF(ISNA(VLOOKUP($F276,Declarations!B$6:C$185,2,FALSE)),"",IF(VLOOKUP($F276,Declarations!B$6:C$185,2,FALSE)="","NOT DECLARED",IF(ISNA(_xlfn.TEXTBEFORE(VLOOKUP($F276,Declarations!B$6:C$185,2,FALSE)," ")),VLOOKUP($F276,Declarations!B$6:C$185,2,FALSE),_xlfn.TEXTBEFORE(VLOOKUP($F276,Declarations!B$6:C$185,2,FALSE)," "))))</f>
        <v/>
      </c>
      <c r="C276" s="114" t="str">
        <f>IF(ISNA(VLOOKUP($F276,Declarations!B$6:C$185,2,FALSE)),"",IF(VLOOKUP($F276,Declarations!B$6:C$185,2,FALSE)="","NOT DECLARED",IF(ISNA(_xlfn.TEXTAFTER(VLOOKUP($F276,Declarations!B$6:C$185,2,FALSE)," ")),VLOOKUP($F276,Declarations!B$6:C$185,2,FALSE),_xlfn.TEXTAFTER(VLOOKUP($F276,Declarations!B$6:C$185,2,FALSE)," "))))</f>
        <v/>
      </c>
      <c r="D276" s="114" t="str">
        <f>IF(ISNA(VLOOKUP($F276,Declarations!$B$6:$F$185,5,FALSE)),"",IF(VLOOKUP($F276,Declarations!$B$6:$F$185,5,FALSE)="","NOT DECLARED",VLOOKUP($F276,Declarations!$B$6:$F$185,5,FALSE)))</f>
        <v/>
      </c>
      <c r="E276" s="112" t="str">
        <f>IF(ISNA(VLOOKUP($F276,Declarations!$B$6:$D$185,3,FALSE)),"",IF(VLOOKUP($F276,Declarations!$B$6:$D$185,3,FALSE)="","NOT DECLARED",VLOOKUP($F276,Declarations!$B$6:$D$185,3,FALSE)&amp;LEFT(VLOOKUP($F276,Declarations!$B$6:$E$185,4,FALSE))))</f>
        <v/>
      </c>
      <c r="F276" s="58"/>
      <c r="G276" s="121"/>
      <c r="H276" s="121"/>
      <c r="I276" s="114" t="str">
        <f>IF(ISNA(VLOOKUP(F276,Declarations!B$6:C$185,2,FALSE)),"",IF(VLOOKUP(F276,Declarations!B$6:C$185,2,FALSE)="","NOT DECLARED",VLOOKUP(F276,Declarations!B$6:C$185,2,FALSE)))</f>
        <v/>
      </c>
      <c r="J276" s="112">
        <f>IF(LOWER(LEFT(G276,1))="n",1,VLOOKUP(G276,ScoringTable!D$2:I$95,6))</f>
        <v>0</v>
      </c>
      <c r="K276" s="112" t="str">
        <f>IF(OR(E276="",G276=""),"",IF(RIGHT(E276,1)="G",_xlfn.XLOOKUP(G276,Data!$D$14:$L$14,Data!$D$9:$L$9,"",-1,1),_xlfn.XLOOKUP(G276,Data!$D$7:$L$7,Data!$D$2:$L$2,"",-1,1)))</f>
        <v/>
      </c>
      <c r="L276" s="160" t="str" cm="1">
        <f t="array" ref="L276">IFERROR(_xlfn.IFNA(
                      _xlfn.IFS(
                      G276="", "",
                      AND(E276="U12B",G276&gt;=Data!$M$7), "U12 Boys record",
                      AND(E276="U12G",G276&gt;=Data!$M$14), "U12 Girls record"
                       ),""), "")</f>
        <v/>
      </c>
      <c r="M276" s="18" cm="1">
        <f t="array" ref="M276">_xlfn.IFS($G276="",0, AND(NOT(ISNUMBER($G276)),LOWER(LEFT($G276,1))&lt;&gt;"n"),"Not a valid distance",OR(LOWER(LEFT($G276,1))="n",$G276&lt;ScoringTable!$O$161),1,RIGHT($E276,1)="B",_xlfn.XLOOKUP($G276,ScoringTable!$O$2:$O$161,ScoringTable!$L$2:$L$161,,-1),TRUE,_xlfn.XLOOKUP($G276,ScoringTable!$U$2:$U$161,ScoringTable!$R$2:$R$161,,-1))</f>
        <v>0</v>
      </c>
    </row>
    <row r="277" spans="1:13" s="7" customFormat="1" ht="16.05" customHeight="1">
      <c r="A277" s="113" t="s">
        <v>99</v>
      </c>
      <c r="B277" s="114" t="str">
        <f>IF(ISNA(VLOOKUP($F277,Declarations!B$6:C$185,2,FALSE)),"",IF(VLOOKUP($F277,Declarations!B$6:C$185,2,FALSE)="","NOT DECLARED",IF(ISNA(_xlfn.TEXTBEFORE(VLOOKUP($F277,Declarations!B$6:C$185,2,FALSE)," ")),VLOOKUP($F277,Declarations!B$6:C$185,2,FALSE),_xlfn.TEXTBEFORE(VLOOKUP($F277,Declarations!B$6:C$185,2,FALSE)," "))))</f>
        <v/>
      </c>
      <c r="C277" s="114" t="str">
        <f>IF(ISNA(VLOOKUP($F277,Declarations!B$6:C$185,2,FALSE)),"",IF(VLOOKUP($F277,Declarations!B$6:C$185,2,FALSE)="","NOT DECLARED",IF(ISNA(_xlfn.TEXTAFTER(VLOOKUP($F277,Declarations!B$6:C$185,2,FALSE)," ")),VLOOKUP($F277,Declarations!B$6:C$185,2,FALSE),_xlfn.TEXTAFTER(VLOOKUP($F277,Declarations!B$6:C$185,2,FALSE)," "))))</f>
        <v/>
      </c>
      <c r="D277" s="114" t="str">
        <f>IF(ISNA(VLOOKUP($F277,Declarations!$B$6:$F$185,5,FALSE)),"",IF(VLOOKUP($F277,Declarations!$B$6:$F$185,5,FALSE)="","NOT DECLARED",VLOOKUP($F277,Declarations!$B$6:$F$185,5,FALSE)))</f>
        <v/>
      </c>
      <c r="E277" s="112" t="str">
        <f>IF(ISNA(VLOOKUP($F277,Declarations!$B$6:$D$185,3,FALSE)),"",IF(VLOOKUP($F277,Declarations!$B$6:$D$185,3,FALSE)="","NOT DECLARED",VLOOKUP($F277,Declarations!$B$6:$D$185,3,FALSE)&amp;LEFT(VLOOKUP($F277,Declarations!$B$6:$E$185,4,FALSE))))</f>
        <v/>
      </c>
      <c r="F277" s="58"/>
      <c r="G277" s="121"/>
      <c r="H277" s="121"/>
      <c r="I277" s="114" t="str">
        <f>IF(ISNA(VLOOKUP(F277,Declarations!B$6:C$185,2,FALSE)),"",IF(VLOOKUP(F277,Declarations!B$6:C$185,2,FALSE)="","NOT DECLARED",VLOOKUP(F277,Declarations!B$6:C$185,2,FALSE)))</f>
        <v/>
      </c>
      <c r="J277" s="112">
        <f>IF(LOWER(LEFT(G277,1))="n",1,VLOOKUP(G277,ScoringTable!D$2:I$95,6))</f>
        <v>0</v>
      </c>
      <c r="K277" s="112" t="str">
        <f>IF(OR(E277="",G277=""),"",IF(RIGHT(E277,1)="G",_xlfn.XLOOKUP(G277,Data!$D$14:$L$14,Data!$D$9:$L$9,"",-1,1),_xlfn.XLOOKUP(G277,Data!$D$7:$L$7,Data!$D$2:$L$2,"",-1,1)))</f>
        <v/>
      </c>
      <c r="L277" s="160" t="str" cm="1">
        <f t="array" ref="L277">IFERROR(_xlfn.IFNA(
                      _xlfn.IFS(
                      G277="", "",
                      AND(E277="U12B",G277&gt;=Data!$M$7), "U12 Boys record",
                      AND(E277="U12G",G277&gt;=Data!$M$14), "U12 Girls record"
                       ),""), "")</f>
        <v/>
      </c>
      <c r="M277" s="18" cm="1">
        <f t="array" ref="M277">_xlfn.IFS($G277="",0, AND(NOT(ISNUMBER($G277)),LOWER(LEFT($G277,1))&lt;&gt;"n"),"Not a valid distance",OR(LOWER(LEFT($G277,1))="n",$G277&lt;ScoringTable!$O$161),1,RIGHT($E277,1)="B",_xlfn.XLOOKUP($G277,ScoringTable!$O$2:$O$161,ScoringTable!$L$2:$L$161,,-1),TRUE,_xlfn.XLOOKUP($G277,ScoringTable!$U$2:$U$161,ScoringTable!$R$2:$R$161,,-1))</f>
        <v>0</v>
      </c>
    </row>
    <row r="278" spans="1:13" s="7" customFormat="1" ht="16.05" customHeight="1">
      <c r="A278" s="113" t="s">
        <v>99</v>
      </c>
      <c r="B278" s="114" t="str">
        <f>IF(ISNA(VLOOKUP($F278,Declarations!B$6:C$185,2,FALSE)),"",IF(VLOOKUP($F278,Declarations!B$6:C$185,2,FALSE)="","NOT DECLARED",IF(ISNA(_xlfn.TEXTBEFORE(VLOOKUP($F278,Declarations!B$6:C$185,2,FALSE)," ")),VLOOKUP($F278,Declarations!B$6:C$185,2,FALSE),_xlfn.TEXTBEFORE(VLOOKUP($F278,Declarations!B$6:C$185,2,FALSE)," "))))</f>
        <v/>
      </c>
      <c r="C278" s="114" t="str">
        <f>IF(ISNA(VLOOKUP($F278,Declarations!B$6:C$185,2,FALSE)),"",IF(VLOOKUP($F278,Declarations!B$6:C$185,2,FALSE)="","NOT DECLARED",IF(ISNA(_xlfn.TEXTAFTER(VLOOKUP($F278,Declarations!B$6:C$185,2,FALSE)," ")),VLOOKUP($F278,Declarations!B$6:C$185,2,FALSE),_xlfn.TEXTAFTER(VLOOKUP($F278,Declarations!B$6:C$185,2,FALSE)," "))))</f>
        <v/>
      </c>
      <c r="D278" s="114" t="str">
        <f>IF(ISNA(VLOOKUP($F278,Declarations!$B$6:$F$185,5,FALSE)),"",IF(VLOOKUP($F278,Declarations!$B$6:$F$185,5,FALSE)="","NOT DECLARED",VLOOKUP($F278,Declarations!$B$6:$F$185,5,FALSE)))</f>
        <v/>
      </c>
      <c r="E278" s="112" t="str">
        <f>IF(ISNA(VLOOKUP($F278,Declarations!$B$6:$D$185,3,FALSE)),"",IF(VLOOKUP($F278,Declarations!$B$6:$D$185,3,FALSE)="","NOT DECLARED",VLOOKUP($F278,Declarations!$B$6:$D$185,3,FALSE)&amp;LEFT(VLOOKUP($F278,Declarations!$B$6:$E$185,4,FALSE))))</f>
        <v/>
      </c>
      <c r="F278" s="58"/>
      <c r="G278" s="121"/>
      <c r="H278" s="121"/>
      <c r="I278" s="114" t="str">
        <f>IF(ISNA(VLOOKUP(F278,Declarations!B$6:C$185,2,FALSE)),"",IF(VLOOKUP(F278,Declarations!B$6:C$185,2,FALSE)="","NOT DECLARED",VLOOKUP(F278,Declarations!B$6:C$185,2,FALSE)))</f>
        <v/>
      </c>
      <c r="J278" s="112">
        <f>IF(LOWER(LEFT(G278,1))="n",1,VLOOKUP(G278,ScoringTable!D$2:I$95,6))</f>
        <v>0</v>
      </c>
      <c r="K278" s="112" t="str">
        <f>IF(OR(E278="",G278=""),"",IF(RIGHT(E278,1)="G",_xlfn.XLOOKUP(G278,Data!$D$14:$L$14,Data!$D$9:$L$9,"",-1,1),_xlfn.XLOOKUP(G278,Data!$D$7:$L$7,Data!$D$2:$L$2,"",-1,1)))</f>
        <v/>
      </c>
      <c r="L278" s="160" t="str" cm="1">
        <f t="array" ref="L278">IFERROR(_xlfn.IFNA(
                      _xlfn.IFS(
                      G278="", "",
                      AND(E278="U12B",G278&gt;=Data!$M$7), "U12 Boys record",
                      AND(E278="U12G",G278&gt;=Data!$M$14), "U12 Girls record"
                       ),""), "")</f>
        <v/>
      </c>
      <c r="M278" s="18" cm="1">
        <f t="array" ref="M278">_xlfn.IFS($G278="",0, AND(NOT(ISNUMBER($G278)),LOWER(LEFT($G278,1))&lt;&gt;"n"),"Not a valid distance",OR(LOWER(LEFT($G278,1))="n",$G278&lt;ScoringTable!$O$161),1,RIGHT($E278,1)="B",_xlfn.XLOOKUP($G278,ScoringTable!$O$2:$O$161,ScoringTable!$L$2:$L$161,,-1),TRUE,_xlfn.XLOOKUP($G278,ScoringTable!$U$2:$U$161,ScoringTable!$R$2:$R$161,,-1))</f>
        <v>0</v>
      </c>
    </row>
    <row r="279" spans="1:13" s="7" customFormat="1" ht="16.05" customHeight="1">
      <c r="A279" s="113" t="s">
        <v>99</v>
      </c>
      <c r="B279" s="114" t="str">
        <f>IF(ISNA(VLOOKUP($F279,Declarations!B$6:C$185,2,FALSE)),"",IF(VLOOKUP($F279,Declarations!B$6:C$185,2,FALSE)="","NOT DECLARED",IF(ISNA(_xlfn.TEXTBEFORE(VLOOKUP($F279,Declarations!B$6:C$185,2,FALSE)," ")),VLOOKUP($F279,Declarations!B$6:C$185,2,FALSE),_xlfn.TEXTBEFORE(VLOOKUP($F279,Declarations!B$6:C$185,2,FALSE)," "))))</f>
        <v/>
      </c>
      <c r="C279" s="114" t="str">
        <f>IF(ISNA(VLOOKUP($F279,Declarations!B$6:C$185,2,FALSE)),"",IF(VLOOKUP($F279,Declarations!B$6:C$185,2,FALSE)="","NOT DECLARED",IF(ISNA(_xlfn.TEXTAFTER(VLOOKUP($F279,Declarations!B$6:C$185,2,FALSE)," ")),VLOOKUP($F279,Declarations!B$6:C$185,2,FALSE),_xlfn.TEXTAFTER(VLOOKUP($F279,Declarations!B$6:C$185,2,FALSE)," "))))</f>
        <v/>
      </c>
      <c r="D279" s="114" t="str">
        <f>IF(ISNA(VLOOKUP($F279,Declarations!$B$6:$F$185,5,FALSE)),"",IF(VLOOKUP($F279,Declarations!$B$6:$F$185,5,FALSE)="","NOT DECLARED",VLOOKUP($F279,Declarations!$B$6:$F$185,5,FALSE)))</f>
        <v/>
      </c>
      <c r="E279" s="112" t="str">
        <f>IF(ISNA(VLOOKUP($F279,Declarations!$B$6:$D$185,3,FALSE)),"",IF(VLOOKUP($F279,Declarations!$B$6:$D$185,3,FALSE)="","NOT DECLARED",VLOOKUP($F279,Declarations!$B$6:$D$185,3,FALSE)&amp;LEFT(VLOOKUP($F279,Declarations!$B$6:$E$185,4,FALSE))))</f>
        <v/>
      </c>
      <c r="F279" s="58"/>
      <c r="G279" s="121"/>
      <c r="H279" s="121"/>
      <c r="I279" s="114" t="str">
        <f>IF(ISNA(VLOOKUP(F279,Declarations!B$6:C$185,2,FALSE)),"",IF(VLOOKUP(F279,Declarations!B$6:C$185,2,FALSE)="","NOT DECLARED",VLOOKUP(F279,Declarations!B$6:C$185,2,FALSE)))</f>
        <v/>
      </c>
      <c r="J279" s="112">
        <f>IF(LOWER(LEFT(G279,1))="n",1,VLOOKUP(G279,ScoringTable!D$2:I$95,6))</f>
        <v>0</v>
      </c>
      <c r="K279" s="112" t="str">
        <f>IF(OR(E279="",G279=""),"",IF(RIGHT(E279,1)="G",_xlfn.XLOOKUP(G279,Data!$D$14:$L$14,Data!$D$9:$L$9,"",-1,1),_xlfn.XLOOKUP(G279,Data!$D$7:$L$7,Data!$D$2:$L$2,"",-1,1)))</f>
        <v/>
      </c>
      <c r="L279" s="160" t="str" cm="1">
        <f t="array" ref="L279">IFERROR(_xlfn.IFNA(
                      _xlfn.IFS(
                      G279="", "",
                      AND(E279="U12B",G279&gt;=Data!$M$7), "U12 Boys record",
                      AND(E279="U12G",G279&gt;=Data!$M$14), "U12 Girls record"
                       ),""), "")</f>
        <v/>
      </c>
      <c r="M279" s="18" cm="1">
        <f t="array" ref="M279">_xlfn.IFS($G279="",0, AND(NOT(ISNUMBER($G279)),LOWER(LEFT($G279,1))&lt;&gt;"n"),"Not a valid distance",OR(LOWER(LEFT($G279,1))="n",$G279&lt;ScoringTable!$O$161),1,RIGHT($E279,1)="B",_xlfn.XLOOKUP($G279,ScoringTable!$O$2:$O$161,ScoringTable!$L$2:$L$161,,-1),TRUE,_xlfn.XLOOKUP($G279,ScoringTable!$U$2:$U$161,ScoringTable!$R$2:$R$161,,-1))</f>
        <v>0</v>
      </c>
    </row>
    <row r="280" spans="1:13" s="7" customFormat="1" ht="16.05" customHeight="1">
      <c r="A280" s="113" t="s">
        <v>99</v>
      </c>
      <c r="B280" s="114" t="str">
        <f>IF(ISNA(VLOOKUP($F280,Declarations!B$6:C$185,2,FALSE)),"",IF(VLOOKUP($F280,Declarations!B$6:C$185,2,FALSE)="","NOT DECLARED",IF(ISNA(_xlfn.TEXTBEFORE(VLOOKUP($F280,Declarations!B$6:C$185,2,FALSE)," ")),VLOOKUP($F280,Declarations!B$6:C$185,2,FALSE),_xlfn.TEXTBEFORE(VLOOKUP($F280,Declarations!B$6:C$185,2,FALSE)," "))))</f>
        <v/>
      </c>
      <c r="C280" s="114" t="str">
        <f>IF(ISNA(VLOOKUP($F280,Declarations!B$6:C$185,2,FALSE)),"",IF(VLOOKUP($F280,Declarations!B$6:C$185,2,FALSE)="","NOT DECLARED",IF(ISNA(_xlfn.TEXTAFTER(VLOOKUP($F280,Declarations!B$6:C$185,2,FALSE)," ")),VLOOKUP($F280,Declarations!B$6:C$185,2,FALSE),_xlfn.TEXTAFTER(VLOOKUP($F280,Declarations!B$6:C$185,2,FALSE)," "))))</f>
        <v/>
      </c>
      <c r="D280" s="114" t="str">
        <f>IF(ISNA(VLOOKUP($F280,Declarations!$B$6:$F$185,5,FALSE)),"",IF(VLOOKUP($F280,Declarations!$B$6:$F$185,5,FALSE)="","NOT DECLARED",VLOOKUP($F280,Declarations!$B$6:$F$185,5,FALSE)))</f>
        <v/>
      </c>
      <c r="E280" s="112" t="str">
        <f>IF(ISNA(VLOOKUP($F280,Declarations!$B$6:$D$185,3,FALSE)),"",IF(VLOOKUP($F280,Declarations!$B$6:$D$185,3,FALSE)="","NOT DECLARED",VLOOKUP($F280,Declarations!$B$6:$D$185,3,FALSE)&amp;LEFT(VLOOKUP($F280,Declarations!$B$6:$E$185,4,FALSE))))</f>
        <v/>
      </c>
      <c r="F280" s="58"/>
      <c r="G280" s="121"/>
      <c r="H280" s="121"/>
      <c r="I280" s="114" t="str">
        <f>IF(ISNA(VLOOKUP(F280,Declarations!B$6:C$185,2,FALSE)),"",IF(VLOOKUP(F280,Declarations!B$6:C$185,2,FALSE)="","NOT DECLARED",VLOOKUP(F280,Declarations!B$6:C$185,2,FALSE)))</f>
        <v/>
      </c>
      <c r="J280" s="112">
        <f>IF(LOWER(LEFT(G280,1))="n",1,VLOOKUP(G280,ScoringTable!D$2:I$95,6))</f>
        <v>0</v>
      </c>
      <c r="K280" s="112" t="str">
        <f>IF(OR(E280="",G280=""),"",IF(RIGHT(E280,1)="G",_xlfn.XLOOKUP(G280,Data!$D$14:$L$14,Data!$D$9:$L$9,"",-1,1),_xlfn.XLOOKUP(G280,Data!$D$7:$L$7,Data!$D$2:$L$2,"",-1,1)))</f>
        <v/>
      </c>
      <c r="L280" s="160" t="str" cm="1">
        <f t="array" ref="L280">IFERROR(_xlfn.IFNA(
                      _xlfn.IFS(
                      G280="", "",
                      AND(E280="U12B",G280&gt;=Data!$M$7), "U12 Boys record",
                      AND(E280="U12G",G280&gt;=Data!$M$14), "U12 Girls record"
                       ),""), "")</f>
        <v/>
      </c>
      <c r="M280" s="18" cm="1">
        <f t="array" ref="M280">_xlfn.IFS($G280="",0, AND(NOT(ISNUMBER($G280)),LOWER(LEFT($G280,1))&lt;&gt;"n"),"Not a valid distance",OR(LOWER(LEFT($G280,1))="n",$G280&lt;ScoringTable!$O$161),1,RIGHT($E280,1)="B",_xlfn.XLOOKUP($G280,ScoringTable!$O$2:$O$161,ScoringTable!$L$2:$L$161,,-1),TRUE,_xlfn.XLOOKUP($G280,ScoringTable!$U$2:$U$161,ScoringTable!$R$2:$R$161,,-1))</f>
        <v>0</v>
      </c>
    </row>
    <row r="281" spans="1:13" s="7" customFormat="1" ht="16.05" customHeight="1">
      <c r="A281" s="113" t="s">
        <v>99</v>
      </c>
      <c r="B281" s="114" t="str">
        <f>IF(ISNA(VLOOKUP($F281,Declarations!B$6:C$185,2,FALSE)),"",IF(VLOOKUP($F281,Declarations!B$6:C$185,2,FALSE)="","NOT DECLARED",IF(ISNA(_xlfn.TEXTBEFORE(VLOOKUP($F281,Declarations!B$6:C$185,2,FALSE)," ")),VLOOKUP($F281,Declarations!B$6:C$185,2,FALSE),_xlfn.TEXTBEFORE(VLOOKUP($F281,Declarations!B$6:C$185,2,FALSE)," "))))</f>
        <v/>
      </c>
      <c r="C281" s="114" t="str">
        <f>IF(ISNA(VLOOKUP($F281,Declarations!B$6:C$185,2,FALSE)),"",IF(VLOOKUP($F281,Declarations!B$6:C$185,2,FALSE)="","NOT DECLARED",IF(ISNA(_xlfn.TEXTAFTER(VLOOKUP($F281,Declarations!B$6:C$185,2,FALSE)," ")),VLOOKUP($F281,Declarations!B$6:C$185,2,FALSE),_xlfn.TEXTAFTER(VLOOKUP($F281,Declarations!B$6:C$185,2,FALSE)," "))))</f>
        <v/>
      </c>
      <c r="D281" s="114" t="str">
        <f>IF(ISNA(VLOOKUP($F281,Declarations!$B$6:$F$185,5,FALSE)),"",IF(VLOOKUP($F281,Declarations!$B$6:$F$185,5,FALSE)="","NOT DECLARED",VLOOKUP($F281,Declarations!$B$6:$F$185,5,FALSE)))</f>
        <v/>
      </c>
      <c r="E281" s="112" t="str">
        <f>IF(ISNA(VLOOKUP($F281,Declarations!$B$6:$D$185,3,FALSE)),"",IF(VLOOKUP($F281,Declarations!$B$6:$D$185,3,FALSE)="","NOT DECLARED",VLOOKUP($F281,Declarations!$B$6:$D$185,3,FALSE)&amp;LEFT(VLOOKUP($F281,Declarations!$B$6:$E$185,4,FALSE))))</f>
        <v/>
      </c>
      <c r="F281" s="58"/>
      <c r="G281" s="121"/>
      <c r="H281" s="121"/>
      <c r="I281" s="114" t="str">
        <f>IF(ISNA(VLOOKUP(F281,Declarations!B$6:C$185,2,FALSE)),"",IF(VLOOKUP(F281,Declarations!B$6:C$185,2,FALSE)="","NOT DECLARED",VLOOKUP(F281,Declarations!B$6:C$185,2,FALSE)))</f>
        <v/>
      </c>
      <c r="J281" s="112">
        <f>IF(LOWER(LEFT(G281,1))="n",1,VLOOKUP(G281,ScoringTable!D$2:I$95,6))</f>
        <v>0</v>
      </c>
      <c r="K281" s="112" t="str">
        <f>IF(OR(E281="",G281=""),"",IF(RIGHT(E281,1)="G",_xlfn.XLOOKUP(G281,Data!$D$14:$L$14,Data!$D$9:$L$9,"",-1,1),_xlfn.XLOOKUP(G281,Data!$D$7:$L$7,Data!$D$2:$L$2,"",-1,1)))</f>
        <v/>
      </c>
      <c r="L281" s="160" t="str" cm="1">
        <f t="array" ref="L281">IFERROR(_xlfn.IFNA(
                      _xlfn.IFS(
                      G281="", "",
                      AND(E281="U12B",G281&gt;=Data!$M$7), "U12 Boys record",
                      AND(E281="U12G",G281&gt;=Data!$M$14), "U12 Girls record"
                       ),""), "")</f>
        <v/>
      </c>
      <c r="M281" s="18" cm="1">
        <f t="array" ref="M281">_xlfn.IFS($G281="",0, AND(NOT(ISNUMBER($G281)),LOWER(LEFT($G281,1))&lt;&gt;"n"),"Not a valid distance",OR(LOWER(LEFT($G281,1))="n",$G281&lt;ScoringTable!$O$161),1,RIGHT($E281,1)="B",_xlfn.XLOOKUP($G281,ScoringTable!$O$2:$O$161,ScoringTable!$L$2:$L$161,,-1),TRUE,_xlfn.XLOOKUP($G281,ScoringTable!$U$2:$U$161,ScoringTable!$R$2:$R$161,,-1))</f>
        <v>0</v>
      </c>
    </row>
    <row r="282" spans="1:13" s="7" customFormat="1" ht="16.05" customHeight="1">
      <c r="A282" s="113" t="s">
        <v>99</v>
      </c>
      <c r="B282" s="114" t="str">
        <f>IF(ISNA(VLOOKUP($F282,Declarations!B$6:C$185,2,FALSE)),"",IF(VLOOKUP($F282,Declarations!B$6:C$185,2,FALSE)="","NOT DECLARED",IF(ISNA(_xlfn.TEXTBEFORE(VLOOKUP($F282,Declarations!B$6:C$185,2,FALSE)," ")),VLOOKUP($F282,Declarations!B$6:C$185,2,FALSE),_xlfn.TEXTBEFORE(VLOOKUP($F282,Declarations!B$6:C$185,2,FALSE)," "))))</f>
        <v/>
      </c>
      <c r="C282" s="114" t="str">
        <f>IF(ISNA(VLOOKUP($F282,Declarations!B$6:C$185,2,FALSE)),"",IF(VLOOKUP($F282,Declarations!B$6:C$185,2,FALSE)="","NOT DECLARED",IF(ISNA(_xlfn.TEXTAFTER(VLOOKUP($F282,Declarations!B$6:C$185,2,FALSE)," ")),VLOOKUP($F282,Declarations!B$6:C$185,2,FALSE),_xlfn.TEXTAFTER(VLOOKUP($F282,Declarations!B$6:C$185,2,FALSE)," "))))</f>
        <v/>
      </c>
      <c r="D282" s="114" t="str">
        <f>IF(ISNA(VLOOKUP($F282,Declarations!$B$6:$F$185,5,FALSE)),"",IF(VLOOKUP($F282,Declarations!$B$6:$F$185,5,FALSE)="","NOT DECLARED",VLOOKUP($F282,Declarations!$B$6:$F$185,5,FALSE)))</f>
        <v/>
      </c>
      <c r="E282" s="112" t="str">
        <f>IF(ISNA(VLOOKUP($F282,Declarations!$B$6:$D$185,3,FALSE)),"",IF(VLOOKUP($F282,Declarations!$B$6:$D$185,3,FALSE)="","NOT DECLARED",VLOOKUP($F282,Declarations!$B$6:$D$185,3,FALSE)&amp;LEFT(VLOOKUP($F282,Declarations!$B$6:$E$185,4,FALSE))))</f>
        <v/>
      </c>
      <c r="F282" s="58"/>
      <c r="G282" s="121"/>
      <c r="H282" s="121"/>
      <c r="I282" s="114" t="str">
        <f>IF(ISNA(VLOOKUP(F282,Declarations!B$6:C$185,2,FALSE)),"",IF(VLOOKUP(F282,Declarations!B$6:C$185,2,FALSE)="","NOT DECLARED",VLOOKUP(F282,Declarations!B$6:C$185,2,FALSE)))</f>
        <v/>
      </c>
      <c r="J282" s="112">
        <f>IF(LOWER(LEFT(G282,1))="n",1,VLOOKUP(G282,ScoringTable!D$2:I$95,6))</f>
        <v>0</v>
      </c>
      <c r="K282" s="112" t="str">
        <f>IF(OR(E282="",G282=""),"",IF(RIGHT(E282,1)="G",_xlfn.XLOOKUP(G282,Data!$D$14:$L$14,Data!$D$9:$L$9,"",-1,1),_xlfn.XLOOKUP(G282,Data!$D$7:$L$7,Data!$D$2:$L$2,"",-1,1)))</f>
        <v/>
      </c>
      <c r="L282" s="160" t="str" cm="1">
        <f t="array" ref="L282">IFERROR(_xlfn.IFNA(
                      _xlfn.IFS(
                      G282="", "",
                      AND(E282="U12B",G282&gt;=Data!$M$7), "U12 Boys record",
                      AND(E282="U12G",G282&gt;=Data!$M$14), "U12 Girls record"
                       ),""), "")</f>
        <v/>
      </c>
      <c r="M282" s="18" cm="1">
        <f t="array" ref="M282">_xlfn.IFS($G282="",0, AND(NOT(ISNUMBER($G282)),LOWER(LEFT($G282,1))&lt;&gt;"n"),"Not a valid distance",OR(LOWER(LEFT($G282,1))="n",$G282&lt;ScoringTable!$O$161),1,RIGHT($E282,1)="B",_xlfn.XLOOKUP($G282,ScoringTable!$O$2:$O$161,ScoringTable!$L$2:$L$161,,-1),TRUE,_xlfn.XLOOKUP($G282,ScoringTable!$U$2:$U$161,ScoringTable!$R$2:$R$161,,-1))</f>
        <v>0</v>
      </c>
    </row>
    <row r="283" spans="1:13" s="7" customFormat="1" ht="16.05" customHeight="1">
      <c r="A283" s="113" t="s">
        <v>99</v>
      </c>
      <c r="B283" s="114" t="str">
        <f>IF(ISNA(VLOOKUP($F283,Declarations!B$6:C$185,2,FALSE)),"",IF(VLOOKUP($F283,Declarations!B$6:C$185,2,FALSE)="","NOT DECLARED",IF(ISNA(_xlfn.TEXTBEFORE(VLOOKUP($F283,Declarations!B$6:C$185,2,FALSE)," ")),VLOOKUP($F283,Declarations!B$6:C$185,2,FALSE),_xlfn.TEXTBEFORE(VLOOKUP($F283,Declarations!B$6:C$185,2,FALSE)," "))))</f>
        <v/>
      </c>
      <c r="C283" s="114" t="str">
        <f>IF(ISNA(VLOOKUP($F283,Declarations!B$6:C$185,2,FALSE)),"",IF(VLOOKUP($F283,Declarations!B$6:C$185,2,FALSE)="","NOT DECLARED",IF(ISNA(_xlfn.TEXTAFTER(VLOOKUP($F283,Declarations!B$6:C$185,2,FALSE)," ")),VLOOKUP($F283,Declarations!B$6:C$185,2,FALSE),_xlfn.TEXTAFTER(VLOOKUP($F283,Declarations!B$6:C$185,2,FALSE)," "))))</f>
        <v/>
      </c>
      <c r="D283" s="114" t="str">
        <f>IF(ISNA(VLOOKUP($F283,Declarations!$B$6:$F$185,5,FALSE)),"",IF(VLOOKUP($F283,Declarations!$B$6:$F$185,5,FALSE)="","NOT DECLARED",VLOOKUP($F283,Declarations!$B$6:$F$185,5,FALSE)))</f>
        <v/>
      </c>
      <c r="E283" s="112" t="str">
        <f>IF(ISNA(VLOOKUP($F283,Declarations!$B$6:$D$185,3,FALSE)),"",IF(VLOOKUP($F283,Declarations!$B$6:$D$185,3,FALSE)="","NOT DECLARED",VLOOKUP($F283,Declarations!$B$6:$D$185,3,FALSE)&amp;LEFT(VLOOKUP($F283,Declarations!$B$6:$E$185,4,FALSE))))</f>
        <v/>
      </c>
      <c r="F283" s="58"/>
      <c r="G283" s="121"/>
      <c r="H283" s="121"/>
      <c r="I283" s="114" t="str">
        <f>IF(ISNA(VLOOKUP(F283,Declarations!B$6:C$185,2,FALSE)),"",IF(VLOOKUP(F283,Declarations!B$6:C$185,2,FALSE)="","NOT DECLARED",VLOOKUP(F283,Declarations!B$6:C$185,2,FALSE)))</f>
        <v/>
      </c>
      <c r="J283" s="112">
        <f>IF(LOWER(LEFT(G283,1))="n",1,VLOOKUP(G283,ScoringTable!D$2:I$95,6))</f>
        <v>0</v>
      </c>
      <c r="K283" s="112" t="str">
        <f>IF(OR(E283="",G283=""),"",IF(RIGHT(E283,1)="G",_xlfn.XLOOKUP(G283,Data!$D$14:$L$14,Data!$D$9:$L$9,"",-1,1),_xlfn.XLOOKUP(G283,Data!$D$7:$L$7,Data!$D$2:$L$2,"",-1,1)))</f>
        <v/>
      </c>
      <c r="L283" s="160" t="str" cm="1">
        <f t="array" ref="L283">IFERROR(_xlfn.IFNA(
                      _xlfn.IFS(
                      G283="", "",
                      AND(E283="U12B",G283&gt;=Data!$M$7), "U12 Boys record",
                      AND(E283="U12G",G283&gt;=Data!$M$14), "U12 Girls record"
                       ),""), "")</f>
        <v/>
      </c>
      <c r="M283" s="18" cm="1">
        <f t="array" ref="M283">_xlfn.IFS($G283="",0, AND(NOT(ISNUMBER($G283)),LOWER(LEFT($G283,1))&lt;&gt;"n"),"Not a valid distance",OR(LOWER(LEFT($G283,1))="n",$G283&lt;ScoringTable!$O$161),1,RIGHT($E283,1)="B",_xlfn.XLOOKUP($G283,ScoringTable!$O$2:$O$161,ScoringTable!$L$2:$L$161,,-1),TRUE,_xlfn.XLOOKUP($G283,ScoringTable!$U$2:$U$161,ScoringTable!$R$2:$R$161,,-1))</f>
        <v>0</v>
      </c>
    </row>
    <row r="284" spans="1:13" s="7" customFormat="1" ht="16.05" customHeight="1">
      <c r="A284" s="113" t="s">
        <v>99</v>
      </c>
      <c r="B284" s="114" t="str">
        <f>IF(ISNA(VLOOKUP($F284,Declarations!B$6:C$185,2,FALSE)),"",IF(VLOOKUP($F284,Declarations!B$6:C$185,2,FALSE)="","NOT DECLARED",IF(ISNA(_xlfn.TEXTBEFORE(VLOOKUP($F284,Declarations!B$6:C$185,2,FALSE)," ")),VLOOKUP($F284,Declarations!B$6:C$185,2,FALSE),_xlfn.TEXTBEFORE(VLOOKUP($F284,Declarations!B$6:C$185,2,FALSE)," "))))</f>
        <v/>
      </c>
      <c r="C284" s="114" t="str">
        <f>IF(ISNA(VLOOKUP($F284,Declarations!B$6:C$185,2,FALSE)),"",IF(VLOOKUP($F284,Declarations!B$6:C$185,2,FALSE)="","NOT DECLARED",IF(ISNA(_xlfn.TEXTAFTER(VLOOKUP($F284,Declarations!B$6:C$185,2,FALSE)," ")),VLOOKUP($F284,Declarations!B$6:C$185,2,FALSE),_xlfn.TEXTAFTER(VLOOKUP($F284,Declarations!B$6:C$185,2,FALSE)," "))))</f>
        <v/>
      </c>
      <c r="D284" s="114" t="str">
        <f>IF(ISNA(VLOOKUP($F284,Declarations!$B$6:$F$185,5,FALSE)),"",IF(VLOOKUP($F284,Declarations!$B$6:$F$185,5,FALSE)="","NOT DECLARED",VLOOKUP($F284,Declarations!$B$6:$F$185,5,FALSE)))</f>
        <v/>
      </c>
      <c r="E284" s="112" t="str">
        <f>IF(ISNA(VLOOKUP($F284,Declarations!$B$6:$D$185,3,FALSE)),"",IF(VLOOKUP($F284,Declarations!$B$6:$D$185,3,FALSE)="","NOT DECLARED",VLOOKUP($F284,Declarations!$B$6:$D$185,3,FALSE)&amp;LEFT(VLOOKUP($F284,Declarations!$B$6:$E$185,4,FALSE))))</f>
        <v/>
      </c>
      <c r="F284" s="58"/>
      <c r="G284" s="121"/>
      <c r="H284" s="121"/>
      <c r="I284" s="114" t="str">
        <f>IF(ISNA(VLOOKUP(F284,Declarations!B$6:C$185,2,FALSE)),"",IF(VLOOKUP(F284,Declarations!B$6:C$185,2,FALSE)="","NOT DECLARED",VLOOKUP(F284,Declarations!B$6:C$185,2,FALSE)))</f>
        <v/>
      </c>
      <c r="J284" s="112">
        <f>IF(LOWER(LEFT(G284,1))="n",1,VLOOKUP(G284,ScoringTable!D$2:I$95,6))</f>
        <v>0</v>
      </c>
      <c r="K284" s="112" t="str">
        <f>IF(OR(E284="",G284=""),"",IF(RIGHT(E284,1)="G",_xlfn.XLOOKUP(G284,Data!$D$14:$L$14,Data!$D$9:$L$9,"",-1,1),_xlfn.XLOOKUP(G284,Data!$D$7:$L$7,Data!$D$2:$L$2,"",-1,1)))</f>
        <v/>
      </c>
      <c r="L284" s="160" t="str" cm="1">
        <f t="array" ref="L284">IFERROR(_xlfn.IFNA(
                      _xlfn.IFS(
                      G284="", "",
                      AND(E284="U12B",G284&gt;=Data!$M$7), "U12 Boys record",
                      AND(E284="U12G",G284&gt;=Data!$M$14), "U12 Girls record"
                       ),""), "")</f>
        <v/>
      </c>
      <c r="M284" s="18" cm="1">
        <f t="array" ref="M284">_xlfn.IFS($G284="",0, AND(NOT(ISNUMBER($G284)),LOWER(LEFT($G284,1))&lt;&gt;"n"),"Not a valid distance",OR(LOWER(LEFT($G284,1))="n",$G284&lt;ScoringTable!$O$161),1,RIGHT($E284,1)="B",_xlfn.XLOOKUP($G284,ScoringTable!$O$2:$O$161,ScoringTable!$L$2:$L$161,,-1),TRUE,_xlfn.XLOOKUP($G284,ScoringTable!$U$2:$U$161,ScoringTable!$R$2:$R$161,,-1))</f>
        <v>0</v>
      </c>
    </row>
    <row r="285" spans="1:13" s="7" customFormat="1" ht="16.05" customHeight="1">
      <c r="A285" s="113" t="s">
        <v>99</v>
      </c>
      <c r="B285" s="114" t="str">
        <f>IF(ISNA(VLOOKUP($F285,Declarations!B$6:C$185,2,FALSE)),"",IF(VLOOKUP($F285,Declarations!B$6:C$185,2,FALSE)="","NOT DECLARED",IF(ISNA(_xlfn.TEXTBEFORE(VLOOKUP($F285,Declarations!B$6:C$185,2,FALSE)," ")),VLOOKUP($F285,Declarations!B$6:C$185,2,FALSE),_xlfn.TEXTBEFORE(VLOOKUP($F285,Declarations!B$6:C$185,2,FALSE)," "))))</f>
        <v/>
      </c>
      <c r="C285" s="114" t="str">
        <f>IF(ISNA(VLOOKUP($F285,Declarations!B$6:C$185,2,FALSE)),"",IF(VLOOKUP($F285,Declarations!B$6:C$185,2,FALSE)="","NOT DECLARED",IF(ISNA(_xlfn.TEXTAFTER(VLOOKUP($F285,Declarations!B$6:C$185,2,FALSE)," ")),VLOOKUP($F285,Declarations!B$6:C$185,2,FALSE),_xlfn.TEXTAFTER(VLOOKUP($F285,Declarations!B$6:C$185,2,FALSE)," "))))</f>
        <v/>
      </c>
      <c r="D285" s="114" t="str">
        <f>IF(ISNA(VLOOKUP($F285,Declarations!$B$6:$F$185,5,FALSE)),"",IF(VLOOKUP($F285,Declarations!$B$6:$F$185,5,FALSE)="","NOT DECLARED",VLOOKUP($F285,Declarations!$B$6:$F$185,5,FALSE)))</f>
        <v/>
      </c>
      <c r="E285" s="112" t="str">
        <f>IF(ISNA(VLOOKUP($F285,Declarations!$B$6:$D$185,3,FALSE)),"",IF(VLOOKUP($F285,Declarations!$B$6:$D$185,3,FALSE)="","NOT DECLARED",VLOOKUP($F285,Declarations!$B$6:$D$185,3,FALSE)&amp;LEFT(VLOOKUP($F285,Declarations!$B$6:$E$185,4,FALSE))))</f>
        <v/>
      </c>
      <c r="F285" s="58"/>
      <c r="G285" s="121"/>
      <c r="H285" s="121"/>
      <c r="I285" s="114" t="str">
        <f>IF(ISNA(VLOOKUP(F285,Declarations!B$6:C$185,2,FALSE)),"",IF(VLOOKUP(F285,Declarations!B$6:C$185,2,FALSE)="","NOT DECLARED",VLOOKUP(F285,Declarations!B$6:C$185,2,FALSE)))</f>
        <v/>
      </c>
      <c r="J285" s="112">
        <f>IF(LOWER(LEFT(G285,1))="n",1,VLOOKUP(G285,ScoringTable!D$2:I$95,6))</f>
        <v>0</v>
      </c>
      <c r="K285" s="112" t="str">
        <f>IF(OR(E285="",G285=""),"",IF(RIGHT(E285,1)="G",_xlfn.XLOOKUP(G285,Data!$D$14:$L$14,Data!$D$9:$L$9,"",-1,1),_xlfn.XLOOKUP(G285,Data!$D$7:$L$7,Data!$D$2:$L$2,"",-1,1)))</f>
        <v/>
      </c>
      <c r="L285" s="160" t="str" cm="1">
        <f t="array" ref="L285">IFERROR(_xlfn.IFNA(
                      _xlfn.IFS(
                      G285="", "",
                      AND(E285="U12B",G285&gt;=Data!$M$7), "U12 Boys record",
                      AND(E285="U12G",G285&gt;=Data!$M$14), "U12 Girls record"
                       ),""), "")</f>
        <v/>
      </c>
      <c r="M285" s="18" cm="1">
        <f t="array" ref="M285">_xlfn.IFS($G285="",0, AND(NOT(ISNUMBER($G285)),LOWER(LEFT($G285,1))&lt;&gt;"n"),"Not a valid distance",OR(LOWER(LEFT($G285,1))="n",$G285&lt;ScoringTable!$O$161),1,RIGHT($E285,1)="B",_xlfn.XLOOKUP($G285,ScoringTable!$O$2:$O$161,ScoringTable!$L$2:$L$161,,-1),TRUE,_xlfn.XLOOKUP($G285,ScoringTable!$U$2:$U$161,ScoringTable!$R$2:$R$161,,-1))</f>
        <v>0</v>
      </c>
    </row>
    <row r="286" spans="1:13" s="7" customFormat="1" ht="16.05" customHeight="1">
      <c r="A286" s="113" t="s">
        <v>99</v>
      </c>
      <c r="B286" s="114" t="str">
        <f>IF(ISNA(VLOOKUP($F286,Declarations!B$6:C$185,2,FALSE)),"",IF(VLOOKUP($F286,Declarations!B$6:C$185,2,FALSE)="","NOT DECLARED",IF(ISNA(_xlfn.TEXTBEFORE(VLOOKUP($F286,Declarations!B$6:C$185,2,FALSE)," ")),VLOOKUP($F286,Declarations!B$6:C$185,2,FALSE),_xlfn.TEXTBEFORE(VLOOKUP($F286,Declarations!B$6:C$185,2,FALSE)," "))))</f>
        <v/>
      </c>
      <c r="C286" s="114" t="str">
        <f>IF(ISNA(VLOOKUP($F286,Declarations!B$6:C$185,2,FALSE)),"",IF(VLOOKUP($F286,Declarations!B$6:C$185,2,FALSE)="","NOT DECLARED",IF(ISNA(_xlfn.TEXTAFTER(VLOOKUP($F286,Declarations!B$6:C$185,2,FALSE)," ")),VLOOKUP($F286,Declarations!B$6:C$185,2,FALSE),_xlfn.TEXTAFTER(VLOOKUP($F286,Declarations!B$6:C$185,2,FALSE)," "))))</f>
        <v/>
      </c>
      <c r="D286" s="114" t="str">
        <f>IF(ISNA(VLOOKUP($F286,Declarations!$B$6:$F$185,5,FALSE)),"",IF(VLOOKUP($F286,Declarations!$B$6:$F$185,5,FALSE)="","NOT DECLARED",VLOOKUP($F286,Declarations!$B$6:$F$185,5,FALSE)))</f>
        <v/>
      </c>
      <c r="E286" s="112" t="str">
        <f>IF(ISNA(VLOOKUP($F286,Declarations!$B$6:$D$185,3,FALSE)),"",IF(VLOOKUP($F286,Declarations!$B$6:$D$185,3,FALSE)="","NOT DECLARED",VLOOKUP($F286,Declarations!$B$6:$D$185,3,FALSE)&amp;LEFT(VLOOKUP($F286,Declarations!$B$6:$E$185,4,FALSE))))</f>
        <v/>
      </c>
      <c r="F286" s="58"/>
      <c r="G286" s="121"/>
      <c r="H286" s="121"/>
      <c r="I286" s="114" t="str">
        <f>IF(ISNA(VLOOKUP(F286,Declarations!B$6:C$185,2,FALSE)),"",IF(VLOOKUP(F286,Declarations!B$6:C$185,2,FALSE)="","NOT DECLARED",VLOOKUP(F286,Declarations!B$6:C$185,2,FALSE)))</f>
        <v/>
      </c>
      <c r="J286" s="112">
        <f>IF(LOWER(LEFT(G286,1))="n",1,VLOOKUP(G286,ScoringTable!D$2:I$95,6))</f>
        <v>0</v>
      </c>
      <c r="K286" s="112" t="str">
        <f>IF(OR(E286="",G286=""),"",IF(RIGHT(E286,1)="G",_xlfn.XLOOKUP(G286,Data!$D$14:$L$14,Data!$D$9:$L$9,"",-1,1),_xlfn.XLOOKUP(G286,Data!$D$7:$L$7,Data!$D$2:$L$2,"",-1,1)))</f>
        <v/>
      </c>
      <c r="L286" s="160" t="str" cm="1">
        <f t="array" ref="L286">IFERROR(_xlfn.IFNA(
                      _xlfn.IFS(
                      G286="", "",
                      AND(E286="U12B",G286&gt;=Data!$M$7), "U12 Boys record",
                      AND(E286="U12G",G286&gt;=Data!$M$14), "U12 Girls record"
                       ),""), "")</f>
        <v/>
      </c>
      <c r="M286" s="18" cm="1">
        <f t="array" ref="M286">_xlfn.IFS($G286="",0, AND(NOT(ISNUMBER($G286)),LOWER(LEFT($G286,1))&lt;&gt;"n"),"Not a valid distance",OR(LOWER(LEFT($G286,1))="n",$G286&lt;ScoringTable!$O$161),1,RIGHT($E286,1)="B",_xlfn.XLOOKUP($G286,ScoringTable!$O$2:$O$161,ScoringTable!$L$2:$L$161,,-1),TRUE,_xlfn.XLOOKUP($G286,ScoringTable!$U$2:$U$161,ScoringTable!$R$2:$R$161,,-1))</f>
        <v>0</v>
      </c>
    </row>
    <row r="287" spans="1:13" s="7" customFormat="1" ht="16.05" customHeight="1">
      <c r="A287" s="113" t="s">
        <v>99</v>
      </c>
      <c r="B287" s="114" t="str">
        <f>IF(ISNA(VLOOKUP($F287,Declarations!B$6:C$185,2,FALSE)),"",IF(VLOOKUP($F287,Declarations!B$6:C$185,2,FALSE)="","NOT DECLARED",IF(ISNA(_xlfn.TEXTBEFORE(VLOOKUP($F287,Declarations!B$6:C$185,2,FALSE)," ")),VLOOKUP($F287,Declarations!B$6:C$185,2,FALSE),_xlfn.TEXTBEFORE(VLOOKUP($F287,Declarations!B$6:C$185,2,FALSE)," "))))</f>
        <v/>
      </c>
      <c r="C287" s="114" t="str">
        <f>IF(ISNA(VLOOKUP($F287,Declarations!B$6:C$185,2,FALSE)),"",IF(VLOOKUP($F287,Declarations!B$6:C$185,2,FALSE)="","NOT DECLARED",IF(ISNA(_xlfn.TEXTAFTER(VLOOKUP($F287,Declarations!B$6:C$185,2,FALSE)," ")),VLOOKUP($F287,Declarations!B$6:C$185,2,FALSE),_xlfn.TEXTAFTER(VLOOKUP($F287,Declarations!B$6:C$185,2,FALSE)," "))))</f>
        <v/>
      </c>
      <c r="D287" s="114" t="str">
        <f>IF(ISNA(VLOOKUP($F287,Declarations!$B$6:$F$185,5,FALSE)),"",IF(VLOOKUP($F287,Declarations!$B$6:$F$185,5,FALSE)="","NOT DECLARED",VLOOKUP($F287,Declarations!$B$6:$F$185,5,FALSE)))</f>
        <v/>
      </c>
      <c r="E287" s="112" t="str">
        <f>IF(ISNA(VLOOKUP($F287,Declarations!$B$6:$D$185,3,FALSE)),"",IF(VLOOKUP($F287,Declarations!$B$6:$D$185,3,FALSE)="","NOT DECLARED",VLOOKUP($F287,Declarations!$B$6:$D$185,3,FALSE)&amp;LEFT(VLOOKUP($F287,Declarations!$B$6:$E$185,4,FALSE))))</f>
        <v/>
      </c>
      <c r="F287" s="58"/>
      <c r="G287" s="121"/>
      <c r="H287" s="121"/>
      <c r="I287" s="114" t="str">
        <f>IF(ISNA(VLOOKUP(F287,Declarations!B$6:C$185,2,FALSE)),"",IF(VLOOKUP(F287,Declarations!B$6:C$185,2,FALSE)="","NOT DECLARED",VLOOKUP(F287,Declarations!B$6:C$185,2,FALSE)))</f>
        <v/>
      </c>
      <c r="J287" s="112">
        <f>IF(LOWER(LEFT(G287,1))="n",1,VLOOKUP(G287,ScoringTable!D$2:I$95,6))</f>
        <v>0</v>
      </c>
      <c r="K287" s="112" t="str">
        <f>IF(OR(E287="",G287=""),"",IF(RIGHT(E287,1)="G",_xlfn.XLOOKUP(G287,Data!$D$14:$L$14,Data!$D$9:$L$9,"",-1,1),_xlfn.XLOOKUP(G287,Data!$D$7:$L$7,Data!$D$2:$L$2,"",-1,1)))</f>
        <v/>
      </c>
      <c r="L287" s="160" t="str" cm="1">
        <f t="array" ref="L287">IFERROR(_xlfn.IFNA(
                      _xlfn.IFS(
                      G287="", "",
                      AND(E287="U12B",G287&gt;=Data!$M$7), "U12 Boys record",
                      AND(E287="U12G",G287&gt;=Data!$M$14), "U12 Girls record"
                       ),""), "")</f>
        <v/>
      </c>
      <c r="M287" s="18" cm="1">
        <f t="array" ref="M287">_xlfn.IFS($G287="",0, AND(NOT(ISNUMBER($G287)),LOWER(LEFT($G287,1))&lt;&gt;"n"),"Not a valid distance",OR(LOWER(LEFT($G287,1))="n",$G287&lt;ScoringTable!$O$161),1,RIGHT($E287,1)="B",_xlfn.XLOOKUP($G287,ScoringTable!$O$2:$O$161,ScoringTable!$L$2:$L$161,,-1),TRUE,_xlfn.XLOOKUP($G287,ScoringTable!$U$2:$U$161,ScoringTable!$R$2:$R$161,,-1))</f>
        <v>0</v>
      </c>
    </row>
    <row r="288" spans="1:13" s="7" customFormat="1" ht="16.05" customHeight="1">
      <c r="A288" s="113" t="s">
        <v>99</v>
      </c>
      <c r="B288" s="114" t="str">
        <f>IF(ISNA(VLOOKUP($F288,Declarations!B$6:C$185,2,FALSE)),"",IF(VLOOKUP($F288,Declarations!B$6:C$185,2,FALSE)="","NOT DECLARED",IF(ISNA(_xlfn.TEXTBEFORE(VLOOKUP($F288,Declarations!B$6:C$185,2,FALSE)," ")),VLOOKUP($F288,Declarations!B$6:C$185,2,FALSE),_xlfn.TEXTBEFORE(VLOOKUP($F288,Declarations!B$6:C$185,2,FALSE)," "))))</f>
        <v/>
      </c>
      <c r="C288" s="114" t="str">
        <f>IF(ISNA(VLOOKUP($F288,Declarations!B$6:C$185,2,FALSE)),"",IF(VLOOKUP($F288,Declarations!B$6:C$185,2,FALSE)="","NOT DECLARED",IF(ISNA(_xlfn.TEXTAFTER(VLOOKUP($F288,Declarations!B$6:C$185,2,FALSE)," ")),VLOOKUP($F288,Declarations!B$6:C$185,2,FALSE),_xlfn.TEXTAFTER(VLOOKUP($F288,Declarations!B$6:C$185,2,FALSE)," "))))</f>
        <v/>
      </c>
      <c r="D288" s="114" t="str">
        <f>IF(ISNA(VLOOKUP($F288,Declarations!$B$6:$F$185,5,FALSE)),"",IF(VLOOKUP($F288,Declarations!$B$6:$F$185,5,FALSE)="","NOT DECLARED",VLOOKUP($F288,Declarations!$B$6:$F$185,5,FALSE)))</f>
        <v/>
      </c>
      <c r="E288" s="112" t="str">
        <f>IF(ISNA(VLOOKUP($F288,Declarations!$B$6:$D$185,3,FALSE)),"",IF(VLOOKUP($F288,Declarations!$B$6:$D$185,3,FALSE)="","NOT DECLARED",VLOOKUP($F288,Declarations!$B$6:$D$185,3,FALSE)&amp;LEFT(VLOOKUP($F288,Declarations!$B$6:$E$185,4,FALSE))))</f>
        <v/>
      </c>
      <c r="F288" s="58"/>
      <c r="G288" s="121"/>
      <c r="H288" s="121"/>
      <c r="I288" s="114" t="str">
        <f>IF(ISNA(VLOOKUP(F288,Declarations!B$6:C$185,2,FALSE)),"",IF(VLOOKUP(F288,Declarations!B$6:C$185,2,FALSE)="","NOT DECLARED",VLOOKUP(F288,Declarations!B$6:C$185,2,FALSE)))</f>
        <v/>
      </c>
      <c r="J288" s="112">
        <f>IF(LOWER(LEFT(G288,1))="n",1,VLOOKUP(G288,ScoringTable!D$2:I$95,6))</f>
        <v>0</v>
      </c>
      <c r="K288" s="112" t="str">
        <f>IF(OR(E288="",G288=""),"",IF(RIGHT(E288,1)="G",_xlfn.XLOOKUP(G288,Data!$D$14:$L$14,Data!$D$9:$L$9,"",-1,1),_xlfn.XLOOKUP(G288,Data!$D$7:$L$7,Data!$D$2:$L$2,"",-1,1)))</f>
        <v/>
      </c>
      <c r="L288" s="160" t="str" cm="1">
        <f t="array" ref="L288">IFERROR(_xlfn.IFNA(
                      _xlfn.IFS(
                      G288="", "",
                      AND(E288="U12B",G288&gt;=Data!$M$7), "U12 Boys record",
                      AND(E288="U12G",G288&gt;=Data!$M$14), "U12 Girls record"
                       ),""), "")</f>
        <v/>
      </c>
      <c r="M288" s="18" cm="1">
        <f t="array" ref="M288">_xlfn.IFS($G288="",0, AND(NOT(ISNUMBER($G288)),LOWER(LEFT($G288,1))&lt;&gt;"n"),"Not a valid distance",OR(LOWER(LEFT($G288,1))="n",$G288&lt;ScoringTable!$O$161),1,RIGHT($E288,1)="B",_xlfn.XLOOKUP($G288,ScoringTable!$O$2:$O$161,ScoringTable!$L$2:$L$161,,-1),TRUE,_xlfn.XLOOKUP($G288,ScoringTable!$U$2:$U$161,ScoringTable!$R$2:$R$161,,-1))</f>
        <v>0</v>
      </c>
    </row>
    <row r="289" spans="1:13" s="7" customFormat="1" ht="16.05" customHeight="1">
      <c r="A289" s="113" t="s">
        <v>99</v>
      </c>
      <c r="B289" s="114" t="str">
        <f>IF(ISNA(VLOOKUP($F289,Declarations!B$6:C$185,2,FALSE)),"",IF(VLOOKUP($F289,Declarations!B$6:C$185,2,FALSE)="","NOT DECLARED",IF(ISNA(_xlfn.TEXTBEFORE(VLOOKUP($F289,Declarations!B$6:C$185,2,FALSE)," ")),VLOOKUP($F289,Declarations!B$6:C$185,2,FALSE),_xlfn.TEXTBEFORE(VLOOKUP($F289,Declarations!B$6:C$185,2,FALSE)," "))))</f>
        <v/>
      </c>
      <c r="C289" s="114" t="str">
        <f>IF(ISNA(VLOOKUP($F289,Declarations!B$6:C$185,2,FALSE)),"",IF(VLOOKUP($F289,Declarations!B$6:C$185,2,FALSE)="","NOT DECLARED",IF(ISNA(_xlfn.TEXTAFTER(VLOOKUP($F289,Declarations!B$6:C$185,2,FALSE)," ")),VLOOKUP($F289,Declarations!B$6:C$185,2,FALSE),_xlfn.TEXTAFTER(VLOOKUP($F289,Declarations!B$6:C$185,2,FALSE)," "))))</f>
        <v/>
      </c>
      <c r="D289" s="114" t="str">
        <f>IF(ISNA(VLOOKUP($F289,Declarations!$B$6:$F$185,5,FALSE)),"",IF(VLOOKUP($F289,Declarations!$B$6:$F$185,5,FALSE)="","NOT DECLARED",VLOOKUP($F289,Declarations!$B$6:$F$185,5,FALSE)))</f>
        <v/>
      </c>
      <c r="E289" s="112" t="str">
        <f>IF(ISNA(VLOOKUP($F289,Declarations!$B$6:$D$185,3,FALSE)),"",IF(VLOOKUP($F289,Declarations!$B$6:$D$185,3,FALSE)="","NOT DECLARED",VLOOKUP($F289,Declarations!$B$6:$D$185,3,FALSE)&amp;LEFT(VLOOKUP($F289,Declarations!$B$6:$E$185,4,FALSE))))</f>
        <v/>
      </c>
      <c r="F289" s="58"/>
      <c r="G289" s="121"/>
      <c r="H289" s="121"/>
      <c r="I289" s="114" t="str">
        <f>IF(ISNA(VLOOKUP(F289,Declarations!B$6:C$185,2,FALSE)),"",IF(VLOOKUP(F289,Declarations!B$6:C$185,2,FALSE)="","NOT DECLARED",VLOOKUP(F289,Declarations!B$6:C$185,2,FALSE)))</f>
        <v/>
      </c>
      <c r="J289" s="112">
        <f>IF(LOWER(LEFT(G289,1))="n",1,VLOOKUP(G289,ScoringTable!D$2:I$95,6))</f>
        <v>0</v>
      </c>
      <c r="K289" s="112" t="str">
        <f>IF(OR(E289="",G289=""),"",IF(RIGHT(E289,1)="G",_xlfn.XLOOKUP(G289,Data!$D$14:$L$14,Data!$D$9:$L$9,"",-1,1),_xlfn.XLOOKUP(G289,Data!$D$7:$L$7,Data!$D$2:$L$2,"",-1,1)))</f>
        <v/>
      </c>
      <c r="L289" s="160" t="str" cm="1">
        <f t="array" ref="L289">IFERROR(_xlfn.IFNA(
                      _xlfn.IFS(
                      G289="", "",
                      AND(E289="U12B",G289&gt;=Data!$M$7), "U12 Boys record",
                      AND(E289="U12G",G289&gt;=Data!$M$14), "U12 Girls record"
                       ),""), "")</f>
        <v/>
      </c>
      <c r="M289" s="18" cm="1">
        <f t="array" ref="M289">_xlfn.IFS($G289="",0, AND(NOT(ISNUMBER($G289)),LOWER(LEFT($G289,1))&lt;&gt;"n"),"Not a valid distance",OR(LOWER(LEFT($G289,1))="n",$G289&lt;ScoringTable!$O$161),1,RIGHT($E289,1)="B",_xlfn.XLOOKUP($G289,ScoringTable!$O$2:$O$161,ScoringTable!$L$2:$L$161,,-1),TRUE,_xlfn.XLOOKUP($G289,ScoringTable!$U$2:$U$161,ScoringTable!$R$2:$R$161,,-1))</f>
        <v>0</v>
      </c>
    </row>
    <row r="290" spans="1:13" s="7" customFormat="1" ht="16.05" customHeight="1">
      <c r="A290" s="113" t="s">
        <v>99</v>
      </c>
      <c r="B290" s="114" t="str">
        <f>IF(ISNA(VLOOKUP($F290,Declarations!B$6:C$185,2,FALSE)),"",IF(VLOOKUP($F290,Declarations!B$6:C$185,2,FALSE)="","NOT DECLARED",IF(ISNA(_xlfn.TEXTBEFORE(VLOOKUP($F290,Declarations!B$6:C$185,2,FALSE)," ")),VLOOKUP($F290,Declarations!B$6:C$185,2,FALSE),_xlfn.TEXTBEFORE(VLOOKUP($F290,Declarations!B$6:C$185,2,FALSE)," "))))</f>
        <v/>
      </c>
      <c r="C290" s="114" t="str">
        <f>IF(ISNA(VLOOKUP($F290,Declarations!B$6:C$185,2,FALSE)),"",IF(VLOOKUP($F290,Declarations!B$6:C$185,2,FALSE)="","NOT DECLARED",IF(ISNA(_xlfn.TEXTAFTER(VLOOKUP($F290,Declarations!B$6:C$185,2,FALSE)," ")),VLOOKUP($F290,Declarations!B$6:C$185,2,FALSE),_xlfn.TEXTAFTER(VLOOKUP($F290,Declarations!B$6:C$185,2,FALSE)," "))))</f>
        <v/>
      </c>
      <c r="D290" s="114" t="str">
        <f>IF(ISNA(VLOOKUP($F290,Declarations!$B$6:$F$185,5,FALSE)),"",IF(VLOOKUP($F290,Declarations!$B$6:$F$185,5,FALSE)="","NOT DECLARED",VLOOKUP($F290,Declarations!$B$6:$F$185,5,FALSE)))</f>
        <v/>
      </c>
      <c r="E290" s="112" t="str">
        <f>IF(ISNA(VLOOKUP($F290,Declarations!$B$6:$D$185,3,FALSE)),"",IF(VLOOKUP($F290,Declarations!$B$6:$D$185,3,FALSE)="","NOT DECLARED",VLOOKUP($F290,Declarations!$B$6:$D$185,3,FALSE)&amp;LEFT(VLOOKUP($F290,Declarations!$B$6:$E$185,4,FALSE))))</f>
        <v/>
      </c>
      <c r="F290" s="58"/>
      <c r="G290" s="121"/>
      <c r="H290" s="121"/>
      <c r="I290" s="114" t="str">
        <f>IF(ISNA(VLOOKUP(F290,Declarations!B$6:C$185,2,FALSE)),"",IF(VLOOKUP(F290,Declarations!B$6:C$185,2,FALSE)="","NOT DECLARED",VLOOKUP(F290,Declarations!B$6:C$185,2,FALSE)))</f>
        <v/>
      </c>
      <c r="J290" s="112">
        <f>IF(LOWER(LEFT(G290,1))="n",1,VLOOKUP(G290,ScoringTable!D$2:I$95,6))</f>
        <v>0</v>
      </c>
      <c r="K290" s="112" t="str">
        <f>IF(OR(E290="",G290=""),"",IF(RIGHT(E290,1)="G",_xlfn.XLOOKUP(G290,Data!$D$14:$L$14,Data!$D$9:$L$9,"",-1,1),_xlfn.XLOOKUP(G290,Data!$D$7:$L$7,Data!$D$2:$L$2,"",-1,1)))</f>
        <v/>
      </c>
      <c r="L290" s="160" t="str" cm="1">
        <f t="array" ref="L290">IFERROR(_xlfn.IFNA(
                      _xlfn.IFS(
                      G290="", "",
                      AND(E290="U12B",G290&gt;=Data!$M$7), "U12 Boys record",
                      AND(E290="U12G",G290&gt;=Data!$M$14), "U12 Girls record"
                       ),""), "")</f>
        <v/>
      </c>
      <c r="M290" s="18" cm="1">
        <f t="array" ref="M290">_xlfn.IFS($G290="",0, AND(NOT(ISNUMBER($G290)),LOWER(LEFT($G290,1))&lt;&gt;"n"),"Not a valid distance",OR(LOWER(LEFT($G290,1))="n",$G290&lt;ScoringTable!$O$161),1,RIGHT($E290,1)="B",_xlfn.XLOOKUP($G290,ScoringTable!$O$2:$O$161,ScoringTable!$L$2:$L$161,,-1),TRUE,_xlfn.XLOOKUP($G290,ScoringTable!$U$2:$U$161,ScoringTable!$R$2:$R$161,,-1))</f>
        <v>0</v>
      </c>
    </row>
    <row r="291" spans="1:13" s="7" customFormat="1" ht="16.05" customHeight="1">
      <c r="A291" s="113" t="s">
        <v>99</v>
      </c>
      <c r="B291" s="114" t="str">
        <f>IF(ISNA(VLOOKUP($F291,Declarations!B$6:C$185,2,FALSE)),"",IF(VLOOKUP($F291,Declarations!B$6:C$185,2,FALSE)="","NOT DECLARED",IF(ISNA(_xlfn.TEXTBEFORE(VLOOKUP($F291,Declarations!B$6:C$185,2,FALSE)," ")),VLOOKUP($F291,Declarations!B$6:C$185,2,FALSE),_xlfn.TEXTBEFORE(VLOOKUP($F291,Declarations!B$6:C$185,2,FALSE)," "))))</f>
        <v/>
      </c>
      <c r="C291" s="114" t="str">
        <f>IF(ISNA(VLOOKUP($F291,Declarations!B$6:C$185,2,FALSE)),"",IF(VLOOKUP($F291,Declarations!B$6:C$185,2,FALSE)="","NOT DECLARED",IF(ISNA(_xlfn.TEXTAFTER(VLOOKUP($F291,Declarations!B$6:C$185,2,FALSE)," ")),VLOOKUP($F291,Declarations!B$6:C$185,2,FALSE),_xlfn.TEXTAFTER(VLOOKUP($F291,Declarations!B$6:C$185,2,FALSE)," "))))</f>
        <v/>
      </c>
      <c r="D291" s="114" t="str">
        <f>IF(ISNA(VLOOKUP($F291,Declarations!$B$6:$F$185,5,FALSE)),"",IF(VLOOKUP($F291,Declarations!$B$6:$F$185,5,FALSE)="","NOT DECLARED",VLOOKUP($F291,Declarations!$B$6:$F$185,5,FALSE)))</f>
        <v/>
      </c>
      <c r="E291" s="112" t="str">
        <f>IF(ISNA(VLOOKUP($F291,Declarations!$B$6:$D$185,3,FALSE)),"",IF(VLOOKUP($F291,Declarations!$B$6:$D$185,3,FALSE)="","NOT DECLARED",VLOOKUP($F291,Declarations!$B$6:$D$185,3,FALSE)&amp;LEFT(VLOOKUP($F291,Declarations!$B$6:$E$185,4,FALSE))))</f>
        <v/>
      </c>
      <c r="F291" s="58"/>
      <c r="G291" s="121"/>
      <c r="H291" s="121"/>
      <c r="I291" s="114" t="str">
        <f>IF(ISNA(VLOOKUP(F291,Declarations!B$6:C$185,2,FALSE)),"",IF(VLOOKUP(F291,Declarations!B$6:C$185,2,FALSE)="","NOT DECLARED",VLOOKUP(F291,Declarations!B$6:C$185,2,FALSE)))</f>
        <v/>
      </c>
      <c r="J291" s="112">
        <f>IF(LOWER(LEFT(G291,1))="n",1,VLOOKUP(G291,ScoringTable!D$2:I$95,6))</f>
        <v>0</v>
      </c>
      <c r="K291" s="112" t="str">
        <f>IF(OR(E291="",G291=""),"",IF(RIGHT(E291,1)="G",_xlfn.XLOOKUP(G291,Data!$D$14:$L$14,Data!$D$9:$L$9,"",-1,1),_xlfn.XLOOKUP(G291,Data!$D$7:$L$7,Data!$D$2:$L$2,"",-1,1)))</f>
        <v/>
      </c>
      <c r="L291" s="160" t="str" cm="1">
        <f t="array" ref="L291">IFERROR(_xlfn.IFNA(
                      _xlfn.IFS(
                      G291="", "",
                      AND(E291="U12B",G291&gt;=Data!$M$7), "U12 Boys record",
                      AND(E291="U12G",G291&gt;=Data!$M$14), "U12 Girls record"
                       ),""), "")</f>
        <v/>
      </c>
      <c r="M291" s="18" cm="1">
        <f t="array" ref="M291">_xlfn.IFS($G291="",0, AND(NOT(ISNUMBER($G291)),LOWER(LEFT($G291,1))&lt;&gt;"n"),"Not a valid distance",OR(LOWER(LEFT($G291,1))="n",$G291&lt;ScoringTable!$O$161),1,RIGHT($E291,1)="B",_xlfn.XLOOKUP($G291,ScoringTable!$O$2:$O$161,ScoringTable!$L$2:$L$161,,-1),TRUE,_xlfn.XLOOKUP($G291,ScoringTable!$U$2:$U$161,ScoringTable!$R$2:$R$161,,-1))</f>
        <v>0</v>
      </c>
    </row>
    <row r="292" spans="1:13" s="7" customFormat="1" ht="16.05" customHeight="1">
      <c r="A292" s="113" t="s">
        <v>99</v>
      </c>
      <c r="B292" s="114" t="str">
        <f>IF(ISNA(VLOOKUP($F292,Declarations!B$6:C$185,2,FALSE)),"",IF(VLOOKUP($F292,Declarations!B$6:C$185,2,FALSE)="","NOT DECLARED",IF(ISNA(_xlfn.TEXTBEFORE(VLOOKUP($F292,Declarations!B$6:C$185,2,FALSE)," ")),VLOOKUP($F292,Declarations!B$6:C$185,2,FALSE),_xlfn.TEXTBEFORE(VLOOKUP($F292,Declarations!B$6:C$185,2,FALSE)," "))))</f>
        <v/>
      </c>
      <c r="C292" s="114" t="str">
        <f>IF(ISNA(VLOOKUP($F292,Declarations!B$6:C$185,2,FALSE)),"",IF(VLOOKUP($F292,Declarations!B$6:C$185,2,FALSE)="","NOT DECLARED",IF(ISNA(_xlfn.TEXTAFTER(VLOOKUP($F292,Declarations!B$6:C$185,2,FALSE)," ")),VLOOKUP($F292,Declarations!B$6:C$185,2,FALSE),_xlfn.TEXTAFTER(VLOOKUP($F292,Declarations!B$6:C$185,2,FALSE)," "))))</f>
        <v/>
      </c>
      <c r="D292" s="114" t="str">
        <f>IF(ISNA(VLOOKUP($F292,Declarations!$B$6:$F$185,5,FALSE)),"",IF(VLOOKUP($F292,Declarations!$B$6:$F$185,5,FALSE)="","NOT DECLARED",VLOOKUP($F292,Declarations!$B$6:$F$185,5,FALSE)))</f>
        <v/>
      </c>
      <c r="E292" s="112" t="str">
        <f>IF(ISNA(VLOOKUP($F292,Declarations!$B$6:$D$185,3,FALSE)),"",IF(VLOOKUP($F292,Declarations!$B$6:$D$185,3,FALSE)="","NOT DECLARED",VLOOKUP($F292,Declarations!$B$6:$D$185,3,FALSE)&amp;LEFT(VLOOKUP($F292,Declarations!$B$6:$E$185,4,FALSE))))</f>
        <v/>
      </c>
      <c r="F292" s="58"/>
      <c r="G292" s="121"/>
      <c r="H292" s="121"/>
      <c r="I292" s="114" t="str">
        <f>IF(ISNA(VLOOKUP(F292,Declarations!B$6:C$185,2,FALSE)),"",IF(VLOOKUP(F292,Declarations!B$6:C$185,2,FALSE)="","NOT DECLARED",VLOOKUP(F292,Declarations!B$6:C$185,2,FALSE)))</f>
        <v/>
      </c>
      <c r="J292" s="112">
        <f>IF(LOWER(LEFT(G292,1))="n",1,VLOOKUP(G292,ScoringTable!D$2:I$95,6))</f>
        <v>0</v>
      </c>
      <c r="K292" s="112" t="str">
        <f>IF(OR(E292="",G292=""),"",IF(RIGHT(E292,1)="G",_xlfn.XLOOKUP(G292,Data!$D$14:$L$14,Data!$D$9:$L$9,"",-1,1),_xlfn.XLOOKUP(G292,Data!$D$7:$L$7,Data!$D$2:$L$2,"",-1,1)))</f>
        <v/>
      </c>
      <c r="L292" s="160" t="str" cm="1">
        <f t="array" ref="L292">IFERROR(_xlfn.IFNA(
                      _xlfn.IFS(
                      G292="", "",
                      AND(E292="U12B",G292&gt;=Data!$M$7), "U12 Boys record",
                      AND(E292="U12G",G292&gt;=Data!$M$14), "U12 Girls record"
                       ),""), "")</f>
        <v/>
      </c>
      <c r="M292" s="18" cm="1">
        <f t="array" ref="M292">_xlfn.IFS($G292="",0, AND(NOT(ISNUMBER($G292)),LOWER(LEFT($G292,1))&lt;&gt;"n"),"Not a valid distance",OR(LOWER(LEFT($G292,1))="n",$G292&lt;ScoringTable!$O$161),1,RIGHT($E292,1)="B",_xlfn.XLOOKUP($G292,ScoringTable!$O$2:$O$161,ScoringTable!$L$2:$L$161,,-1),TRUE,_xlfn.XLOOKUP($G292,ScoringTable!$U$2:$U$161,ScoringTable!$R$2:$R$161,,-1))</f>
        <v>0</v>
      </c>
    </row>
    <row r="293" spans="1:13" s="7" customFormat="1" ht="16.05" customHeight="1">
      <c r="A293" s="113" t="s">
        <v>99</v>
      </c>
      <c r="B293" s="114" t="str">
        <f>IF(ISNA(VLOOKUP($F293,Declarations!B$6:C$185,2,FALSE)),"",IF(VLOOKUP($F293,Declarations!B$6:C$185,2,FALSE)="","NOT DECLARED",IF(ISNA(_xlfn.TEXTBEFORE(VLOOKUP($F293,Declarations!B$6:C$185,2,FALSE)," ")),VLOOKUP($F293,Declarations!B$6:C$185,2,FALSE),_xlfn.TEXTBEFORE(VLOOKUP($F293,Declarations!B$6:C$185,2,FALSE)," "))))</f>
        <v/>
      </c>
      <c r="C293" s="114" t="str">
        <f>IF(ISNA(VLOOKUP($F293,Declarations!B$6:C$185,2,FALSE)),"",IF(VLOOKUP($F293,Declarations!B$6:C$185,2,FALSE)="","NOT DECLARED",IF(ISNA(_xlfn.TEXTAFTER(VLOOKUP($F293,Declarations!B$6:C$185,2,FALSE)," ")),VLOOKUP($F293,Declarations!B$6:C$185,2,FALSE),_xlfn.TEXTAFTER(VLOOKUP($F293,Declarations!B$6:C$185,2,FALSE)," "))))</f>
        <v/>
      </c>
      <c r="D293" s="114" t="str">
        <f>IF(ISNA(VLOOKUP($F293,Declarations!$B$6:$F$185,5,FALSE)),"",IF(VLOOKUP($F293,Declarations!$B$6:$F$185,5,FALSE)="","NOT DECLARED",VLOOKUP($F293,Declarations!$B$6:$F$185,5,FALSE)))</f>
        <v/>
      </c>
      <c r="E293" s="112" t="str">
        <f>IF(ISNA(VLOOKUP($F293,Declarations!$B$6:$D$185,3,FALSE)),"",IF(VLOOKUP($F293,Declarations!$B$6:$D$185,3,FALSE)="","NOT DECLARED",VLOOKUP($F293,Declarations!$B$6:$D$185,3,FALSE)&amp;LEFT(VLOOKUP($F293,Declarations!$B$6:$E$185,4,FALSE))))</f>
        <v/>
      </c>
      <c r="F293" s="58"/>
      <c r="G293" s="121"/>
      <c r="H293" s="121"/>
      <c r="I293" s="114" t="str">
        <f>IF(ISNA(VLOOKUP(F293,Declarations!B$6:C$185,2,FALSE)),"",IF(VLOOKUP(F293,Declarations!B$6:C$185,2,FALSE)="","NOT DECLARED",VLOOKUP(F293,Declarations!B$6:C$185,2,FALSE)))</f>
        <v/>
      </c>
      <c r="J293" s="112">
        <f>IF(LOWER(LEFT(G293,1))="n",1,VLOOKUP(G293,ScoringTable!D$2:I$95,6))</f>
        <v>0</v>
      </c>
      <c r="K293" s="112" t="str">
        <f>IF(OR(E293="",G293=""),"",IF(RIGHT(E293,1)="G",_xlfn.XLOOKUP(G293,Data!$D$14:$L$14,Data!$D$9:$L$9,"",-1,1),_xlfn.XLOOKUP(G293,Data!$D$7:$L$7,Data!$D$2:$L$2,"",-1,1)))</f>
        <v/>
      </c>
      <c r="L293" s="160" t="str" cm="1">
        <f t="array" ref="L293">IFERROR(_xlfn.IFNA(
                      _xlfn.IFS(
                      G293="", "",
                      AND(E293="U12B",G293&gt;=Data!$M$7), "U12 Boys record",
                      AND(E293="U12G",G293&gt;=Data!$M$14), "U12 Girls record"
                       ),""), "")</f>
        <v/>
      </c>
      <c r="M293" s="18" cm="1">
        <f t="array" ref="M293">_xlfn.IFS($G293="",0, AND(NOT(ISNUMBER($G293)),LOWER(LEFT($G293,1))&lt;&gt;"n"),"Not a valid distance",OR(LOWER(LEFT($G293,1))="n",$G293&lt;ScoringTable!$O$161),1,RIGHT($E293,1)="B",_xlfn.XLOOKUP($G293,ScoringTable!$O$2:$O$161,ScoringTable!$L$2:$L$161,,-1),TRUE,_xlfn.XLOOKUP($G293,ScoringTable!$U$2:$U$161,ScoringTable!$R$2:$R$161,,-1))</f>
        <v>0</v>
      </c>
    </row>
  </sheetData>
  <sheetProtection sheet="1" objects="1" scenarios="1"/>
  <mergeCells count="6">
    <mergeCell ref="A1:D1"/>
    <mergeCell ref="F1:G1"/>
    <mergeCell ref="A2:D2"/>
    <mergeCell ref="F2:G2"/>
    <mergeCell ref="I1:K1"/>
    <mergeCell ref="I2:K2"/>
  </mergeCells>
  <phoneticPr fontId="5" type="noConversion"/>
  <conditionalFormatting sqref="F1:F1048576">
    <cfRule type="duplicateValues" dxfId="19" priority="2"/>
  </conditionalFormatting>
  <pageMargins left="0.75" right="0.75" top="1" bottom="1" header="0.5" footer="0.5"/>
  <pageSetup paperSize="9" scale="48" fitToHeight="5"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6600"/>
  </sheetPr>
  <dimension ref="A1:M293"/>
  <sheetViews>
    <sheetView tabSelected="1" zoomScaleNormal="100" workbookViewId="0">
      <pane ySplit="5" topLeftCell="A94" activePane="bottomLeft" state="frozen"/>
      <selection activeCell="F147" sqref="F147"/>
      <selection pane="bottomLeft" activeCell="G109" sqref="G109"/>
    </sheetView>
  </sheetViews>
  <sheetFormatPr defaultColWidth="10.6640625" defaultRowHeight="13.2"/>
  <cols>
    <col min="1" max="1" width="6.6640625" customWidth="1"/>
    <col min="2" max="2" width="11.6640625" bestFit="1" customWidth="1"/>
    <col min="3" max="3" width="12.77734375" bestFit="1" customWidth="1"/>
    <col min="4" max="4" width="18.109375" bestFit="1" customWidth="1"/>
    <col min="5" max="5" width="10.77734375" bestFit="1" customWidth="1"/>
    <col min="6" max="6" width="20" style="4" customWidth="1"/>
    <col min="7" max="7" width="20" style="5" customWidth="1"/>
    <col min="8" max="8" width="8.109375" style="4" customWidth="1"/>
    <col min="9" max="9" width="33.33203125" style="4" customWidth="1"/>
    <col min="10" max="11" width="16.6640625" style="4" customWidth="1"/>
    <col min="12" max="12" width="15.77734375" customWidth="1"/>
  </cols>
  <sheetData>
    <row r="1" spans="1:13" ht="40.049999999999997" customHeight="1">
      <c r="A1" s="413" t="str">
        <f>'Read Me First'!A1:F1</f>
        <v>Wessex Young Athletes Track and Field League 2026</v>
      </c>
      <c r="B1" s="413"/>
      <c r="C1" s="413"/>
      <c r="D1" s="413"/>
      <c r="E1" s="74" t="s">
        <v>10</v>
      </c>
      <c r="F1" s="410" t="s">
        <v>70</v>
      </c>
      <c r="G1" s="410"/>
      <c r="H1" s="311"/>
      <c r="I1" s="410" t="s">
        <v>13</v>
      </c>
      <c r="J1" s="410"/>
      <c r="K1" s="410"/>
      <c r="L1" s="85"/>
      <c r="M1" s="85"/>
    </row>
    <row r="2" spans="1:13" ht="40.049999999999997" customHeight="1">
      <c r="A2" s="413" t="s">
        <v>100</v>
      </c>
      <c r="B2" s="413"/>
      <c r="C2" s="413"/>
      <c r="D2" s="413"/>
      <c r="E2" s="87">
        <f>'Read Me First'!C9</f>
        <v>9</v>
      </c>
      <c r="F2" s="411" t="str">
        <f>(VLOOKUP('Read Me First'!F4,'Read Me First'!A22:D37,4,FALSE))</f>
        <v>Camberley &amp; District AC @ Woking</v>
      </c>
      <c r="G2" s="412"/>
      <c r="H2" s="312"/>
      <c r="I2" s="414">
        <f>'Read Me First'!C10</f>
        <v>46201</v>
      </c>
      <c r="J2" s="414"/>
      <c r="K2" s="414"/>
      <c r="L2" s="86"/>
      <c r="M2" s="86"/>
    </row>
    <row r="3" spans="1:13" ht="16.05" customHeight="1">
      <c r="A3" s="54"/>
      <c r="B3" s="54"/>
      <c r="C3" s="54"/>
      <c r="D3" s="54"/>
      <c r="E3" s="88"/>
      <c r="F3" s="19"/>
      <c r="G3" s="19"/>
      <c r="H3" s="19"/>
      <c r="I3" s="89"/>
      <c r="J3" s="89"/>
      <c r="K3" s="89"/>
      <c r="L3" s="86"/>
      <c r="M3" s="86"/>
    </row>
    <row r="4" spans="1:13" s="3" customFormat="1" ht="25.95" customHeight="1">
      <c r="A4" s="35" t="s">
        <v>72</v>
      </c>
      <c r="B4" s="35" t="s">
        <v>73</v>
      </c>
      <c r="C4" s="35" t="s">
        <v>74</v>
      </c>
      <c r="D4" s="35" t="s">
        <v>75</v>
      </c>
      <c r="E4" s="35" t="s">
        <v>76</v>
      </c>
      <c r="F4" s="29" t="s">
        <v>77</v>
      </c>
      <c r="G4" s="30" t="s">
        <v>97</v>
      </c>
      <c r="H4" s="34"/>
      <c r="I4" s="31" t="s">
        <v>80</v>
      </c>
      <c r="J4" s="31" t="s">
        <v>81</v>
      </c>
      <c r="K4" s="309" t="s">
        <v>82</v>
      </c>
      <c r="M4" s="31" t="s">
        <v>83</v>
      </c>
    </row>
    <row r="5" spans="1:13" s="3" customFormat="1" ht="25.95" customHeight="1">
      <c r="A5" s="81" t="s">
        <v>101</v>
      </c>
      <c r="B5" s="82"/>
      <c r="C5" s="82"/>
      <c r="D5" s="82"/>
      <c r="E5" s="82"/>
      <c r="F5" s="32">
        <v>0</v>
      </c>
      <c r="G5" s="36" t="s">
        <v>102</v>
      </c>
      <c r="H5" s="37"/>
      <c r="I5" s="27">
        <v>0</v>
      </c>
      <c r="J5" s="28">
        <v>0</v>
      </c>
      <c r="K5" s="35"/>
    </row>
    <row r="6" spans="1:13" s="1" customFormat="1" ht="16.05" customHeight="1">
      <c r="A6" s="80" t="s">
        <v>104</v>
      </c>
      <c r="B6" s="79" t="str">
        <f>IF(ISNA(VLOOKUP($F6,Declarations!B$6:C$185,2,FALSE)),"",IF(VLOOKUP($F6,Declarations!B$6:C$185,2,FALSE)="","NOT DECLARED",IF(ISNA(_xlfn.TEXTBEFORE(VLOOKUP($F6,Declarations!B$6:C$185,2,FALSE)," ")),VLOOKUP($F6,Declarations!B$6:C$185,2,FALSE),_xlfn.TEXTBEFORE(VLOOKUP($F6,Declarations!B$6:C$185,2,FALSE)," "))))</f>
        <v>MATTHEW</v>
      </c>
      <c r="C6" s="79" t="str">
        <f>IF(ISNA(VLOOKUP($F6,Declarations!B$6:C$185,2,FALSE)),"",IF(VLOOKUP($F6,Declarations!B$6:C$185,2,FALSE)="","NOT DECLARED",IF(ISNA(_xlfn.TEXTAFTER(VLOOKUP($F6,Declarations!B$6:C$185,2,FALSE)," ")),VLOOKUP($F6,Declarations!B$6:C$185,2,FALSE),_xlfn.TEXTAFTER(VLOOKUP($F6,Declarations!B$6:C$185,2,FALSE)," "))))</f>
        <v>SCALES</v>
      </c>
      <c r="D6" s="79" t="str">
        <f>IF(ISNA(VLOOKUP($F6,Declarations!$B$6:$F$185,5,FALSE)),"",IF(VLOOKUP($F6,Declarations!$B$6:$F$185,5,FALSE)="","NOT DECLARED",VLOOKUP($F6,Declarations!$B$6:$F$185,5,FALSE)))</f>
        <v>Camberley &amp; District AC</v>
      </c>
      <c r="E6" s="112" t="str">
        <f>IF(ISNA(VLOOKUP($F6,Declarations!$B$6:$D$185,3,FALSE)),"",IF(VLOOKUP($F6,Declarations!$B$6:$D$185,3,FALSE)="","NOT DECLARED",VLOOKUP($F6,Declarations!$B$6:$D$185,3,FALSE)&amp;LEFT(VLOOKUP($F6,Declarations!$B$6:$E$185,4,FALSE))))</f>
        <v>U12B</v>
      </c>
      <c r="F6" s="20">
        <v>11</v>
      </c>
      <c r="G6" s="21">
        <v>29.83</v>
      </c>
      <c r="H6" s="281"/>
      <c r="I6" s="8" t="str">
        <f>IF(ISNA(VLOOKUP(F6,Declarations!B$6:C$185,2,FALSE)),"",IF(VLOOKUP(F6,Declarations!B$6:C$185,2,FALSE)="","NOT DECLARED",VLOOKUP(F6,Declarations!B$6:C$185,2,FALSE)))</f>
        <v>MATTHEW SCALES</v>
      </c>
      <c r="J6" s="2">
        <f>IF(LOWER(LEFT(G6,1))="n",1,VLOOKUP(G6,ScoringTable!E$2:I$95,5))</f>
        <v>59</v>
      </c>
      <c r="K6" s="112" t="str">
        <f>IF(OR(E6="",G6=""),"",IF(RIGHT(E6,1)="G",_xlfn.XLOOKUP(G6,Data!$D$13:$L$13,Data!$D$9:$L$9,"",-1,1),_xlfn.XLOOKUP(G6,Data!$D$6:$L$6,Data!$D$2:$L$2,"",-1,1)))</f>
        <v>PB8</v>
      </c>
      <c r="L6" s="160" t="str" cm="1">
        <f t="array" ref="L6">IFERROR(_xlfn.IFNA(
                      _xlfn.IFS(
                      F6="", "",
                      AND(E6="U12B",G6&gt;=Data!$M$6), "U12 Boys record",
                      AND(E6="U12G",G6&gt;=Data!$M$13), "U12 Girls record"
                       ),""), "")</f>
        <v/>
      </c>
      <c r="M6" s="18" cm="1">
        <f t="array" ref="M6">_xlfn.IFS($G6="",0,AND(NOT(ISNUMBER($G6)),LOWER(LEFT($G6,1))&lt;&gt;"n"),"Not a valid distance",OR(LOWER(LEFT($G6,1))="n",$G6&lt;ScoringTable!$P$161),1,RIGHT($E6,1)="B",_xlfn.XLOOKUP($G6,ScoringTable!$P$2:$P$161,ScoringTable!$L$2:$L$161,,-1),TRUE,_xlfn.XLOOKUP($G6,ScoringTable!$V$2:$V$161,ScoringTable!$R$2:$R$161,,-1))</f>
        <v>99</v>
      </c>
    </row>
    <row r="7" spans="1:13" s="1" customFormat="1" ht="16.05" customHeight="1">
      <c r="A7" s="80" t="s">
        <v>104</v>
      </c>
      <c r="B7" s="79" t="str">
        <f>IF(ISNA(VLOOKUP($F7,Declarations!B$6:C$185,2,FALSE)),"",IF(VLOOKUP($F7,Declarations!B$6:C$185,2,FALSE)="","NOT DECLARED",IF(ISNA(_xlfn.TEXTBEFORE(VLOOKUP($F7,Declarations!B$6:C$185,2,FALSE)," ")),VLOOKUP($F7,Declarations!B$6:C$185,2,FALSE),_xlfn.TEXTBEFORE(VLOOKUP($F7,Declarations!B$6:C$185,2,FALSE)," "))))</f>
        <v>OSCAR</v>
      </c>
      <c r="C7" s="79" t="str">
        <f>IF(ISNA(VLOOKUP($F7,Declarations!B$6:C$185,2,FALSE)),"",IF(VLOOKUP($F7,Declarations!B$6:C$185,2,FALSE)="","NOT DECLARED",IF(ISNA(_xlfn.TEXTAFTER(VLOOKUP($F7,Declarations!B$6:C$185,2,FALSE)," ")),VLOOKUP($F7,Declarations!B$6:C$185,2,FALSE),_xlfn.TEXTAFTER(VLOOKUP($F7,Declarations!B$6:C$185,2,FALSE)," "))))</f>
        <v>FROST</v>
      </c>
      <c r="D7" s="79" t="str">
        <f>IF(ISNA(VLOOKUP($F7,Declarations!$B$6:$F$185,5,FALSE)),"",IF(VLOOKUP($F7,Declarations!$B$6:$F$185,5,FALSE)="","NOT DECLARED",VLOOKUP($F7,Declarations!$B$6:$F$185,5,FALSE)))</f>
        <v>Camberley &amp; District AC</v>
      </c>
      <c r="E7" s="112" t="str">
        <f>IF(ISNA(VLOOKUP($F7,Declarations!$B$6:$D$185,3,FALSE)),"",IF(VLOOKUP($F7,Declarations!$B$6:$D$185,3,FALSE)="","NOT DECLARED",VLOOKUP($F7,Declarations!$B$6:$D$185,3,FALSE)&amp;LEFT(VLOOKUP($F7,Declarations!$B$6:$E$185,4,FALSE))))</f>
        <v>U12B</v>
      </c>
      <c r="F7" s="20">
        <v>12</v>
      </c>
      <c r="G7" s="21">
        <v>22.86</v>
      </c>
      <c r="H7" s="281"/>
      <c r="I7" s="8" t="str">
        <f>IF(ISNA(VLOOKUP(F7,Declarations!B$6:C$185,2,FALSE)),"",IF(VLOOKUP(F7,Declarations!B$6:C$185,2,FALSE)="","NOT DECLARED",VLOOKUP(F7,Declarations!B$6:C$185,2,FALSE)))</f>
        <v>OSCAR FROST</v>
      </c>
      <c r="J7" s="2">
        <f>IF(LOWER(LEFT(G7,1))="n",1,VLOOKUP(G7,ScoringTable!E$2:I$95,5))</f>
        <v>45</v>
      </c>
      <c r="K7" s="112" t="str">
        <f>IF(OR(E7="",G7=""),"",IF(RIGHT(E7,1)="G",_xlfn.XLOOKUP(G7,Data!$D$13:$L$13,Data!$D$9:$L$9,"",-1,1),_xlfn.XLOOKUP(G7,Data!$D$6:$L$6,Data!$D$2:$L$2,"",-1,1)))</f>
        <v>PB5</v>
      </c>
      <c r="L7" s="160" t="str" cm="1">
        <f t="array" ref="L7">IFERROR(_xlfn.IFNA(
                      _xlfn.IFS(
                      F7="", "",
                      AND(E7="U12B",G7&gt;=Data!$M$6), "U12 Boys record",
                      AND(E7="U12G",G7&gt;=Data!$M$13), "U12 Girls record"
                       ),""), "")</f>
        <v/>
      </c>
      <c r="M7" s="18" cm="1">
        <f t="array" ref="M7">_xlfn.IFS($G7="",0,AND(NOT(ISNUMBER($G7)),LOWER(LEFT($G7,1))&lt;&gt;"n"),"Not a valid distance",OR(LOWER(LEFT($G7,1))="n",$G7&lt;ScoringTable!$P$161),1,RIGHT($E7,1)="B",_xlfn.XLOOKUP($G7,ScoringTable!$P$2:$P$161,ScoringTable!$L$2:$L$161,,-1),TRUE,_xlfn.XLOOKUP($G7,ScoringTable!$V$2:$V$161,ScoringTable!$R$2:$R$161,,-1))</f>
        <v>64</v>
      </c>
    </row>
    <row r="8" spans="1:13" s="1" customFormat="1" ht="16.05" customHeight="1">
      <c r="A8" s="80" t="s">
        <v>104</v>
      </c>
      <c r="B8" s="79" t="str">
        <f>IF(ISNA(VLOOKUP($F8,Declarations!B$6:C$185,2,FALSE)),"",IF(VLOOKUP($F8,Declarations!B$6:C$185,2,FALSE)="","NOT DECLARED",IF(ISNA(_xlfn.TEXTBEFORE(VLOOKUP($F8,Declarations!B$6:C$185,2,FALSE)," ")),VLOOKUP($F8,Declarations!B$6:C$185,2,FALSE),_xlfn.TEXTBEFORE(VLOOKUP($F8,Declarations!B$6:C$185,2,FALSE)," "))))</f>
        <v>HARRY</v>
      </c>
      <c r="C8" s="79" t="str">
        <f>IF(ISNA(VLOOKUP($F8,Declarations!B$6:C$185,2,FALSE)),"",IF(VLOOKUP($F8,Declarations!B$6:C$185,2,FALSE)="","NOT DECLARED",IF(ISNA(_xlfn.TEXTAFTER(VLOOKUP($F8,Declarations!B$6:C$185,2,FALSE)," ")),VLOOKUP($F8,Declarations!B$6:C$185,2,FALSE),_xlfn.TEXTAFTER(VLOOKUP($F8,Declarations!B$6:C$185,2,FALSE)," "))))</f>
        <v>COLLINS</v>
      </c>
      <c r="D8" s="79" t="str">
        <f>IF(ISNA(VLOOKUP($F8,Declarations!$B$6:$F$185,5,FALSE)),"",IF(VLOOKUP($F8,Declarations!$B$6:$F$185,5,FALSE)="","NOT DECLARED",VLOOKUP($F8,Declarations!$B$6:$F$185,5,FALSE)))</f>
        <v>Camberley &amp; District AC</v>
      </c>
      <c r="E8" s="112" t="str">
        <f>IF(ISNA(VLOOKUP($F8,Declarations!$B$6:$D$185,3,FALSE)),"",IF(VLOOKUP($F8,Declarations!$B$6:$D$185,3,FALSE)="","NOT DECLARED",VLOOKUP($F8,Declarations!$B$6:$D$185,3,FALSE)&amp;LEFT(VLOOKUP($F8,Declarations!$B$6:$E$185,4,FALSE))))</f>
        <v>U12B</v>
      </c>
      <c r="F8" s="20">
        <v>13</v>
      </c>
      <c r="G8" s="21">
        <v>21.13</v>
      </c>
      <c r="H8" s="281"/>
      <c r="I8" s="8" t="str">
        <f>IF(ISNA(VLOOKUP(F8,Declarations!B$6:C$185,2,FALSE)),"",IF(VLOOKUP(F8,Declarations!B$6:C$185,2,FALSE)="","NOT DECLARED",VLOOKUP(F8,Declarations!B$6:C$185,2,FALSE)))</f>
        <v>HARRY COLLINS</v>
      </c>
      <c r="J8" s="2">
        <f>IF(LOWER(LEFT(G8,1))="n",1,VLOOKUP(G8,ScoringTable!E$2:I$95,5))</f>
        <v>42</v>
      </c>
      <c r="K8" s="112" t="str">
        <f>IF(OR(E8="",G8=""),"",IF(RIGHT(E8,1)="G",_xlfn.XLOOKUP(G8,Data!$D$13:$L$13,Data!$D$9:$L$9,"",-1,1),_xlfn.XLOOKUP(G8,Data!$D$6:$L$6,Data!$D$2:$L$2,"",-1,1)))</f>
        <v>PB4</v>
      </c>
      <c r="L8" s="160" t="str" cm="1">
        <f t="array" ref="L8">IFERROR(_xlfn.IFNA(
                      _xlfn.IFS(
                      F8="", "",
                      AND(E8="U12B",G8&gt;=Data!$M$6), "U12 Boys record",
                      AND(E8="U12G",G8&gt;=Data!$M$13), "U12 Girls record"
                       ),""), "")</f>
        <v/>
      </c>
      <c r="M8" s="18" cm="1">
        <f t="array" ref="M8">_xlfn.IFS($G8="",0,AND(NOT(ISNUMBER($G8)),LOWER(LEFT($G8,1))&lt;&gt;"n"),"Not a valid distance",OR(LOWER(LEFT($G8,1))="n",$G8&lt;ScoringTable!$P$161),1,RIGHT($E8,1)="B",_xlfn.XLOOKUP($G8,ScoringTable!$P$2:$P$161,ScoringTable!$L$2:$L$161,,-1),TRUE,_xlfn.XLOOKUP($G8,ScoringTable!$V$2:$V$161,ScoringTable!$R$2:$R$161,,-1))</f>
        <v>55</v>
      </c>
    </row>
    <row r="9" spans="1:13" ht="16.05" customHeight="1">
      <c r="A9" s="80" t="s">
        <v>104</v>
      </c>
      <c r="B9" s="79" t="str">
        <f>IF(ISNA(VLOOKUP($F9,Declarations!B$6:C$185,2,FALSE)),"",IF(VLOOKUP($F9,Declarations!B$6:C$185,2,FALSE)="","NOT DECLARED",IF(ISNA(_xlfn.TEXTBEFORE(VLOOKUP($F9,Declarations!B$6:C$185,2,FALSE)," ")),VLOOKUP($F9,Declarations!B$6:C$185,2,FALSE),_xlfn.TEXTBEFORE(VLOOKUP($F9,Declarations!B$6:C$185,2,FALSE)," "))))</f>
        <v>DANIEL</v>
      </c>
      <c r="C9" s="79" t="str">
        <f>IF(ISNA(VLOOKUP($F9,Declarations!B$6:C$185,2,FALSE)),"",IF(VLOOKUP($F9,Declarations!B$6:C$185,2,FALSE)="","NOT DECLARED",IF(ISNA(_xlfn.TEXTAFTER(VLOOKUP($F9,Declarations!B$6:C$185,2,FALSE)," ")),VLOOKUP($F9,Declarations!B$6:C$185,2,FALSE),_xlfn.TEXTAFTER(VLOOKUP($F9,Declarations!B$6:C$185,2,FALSE)," "))))</f>
        <v>BURDON</v>
      </c>
      <c r="D9" s="79" t="str">
        <f>IF(ISNA(VLOOKUP($F9,Declarations!$B$6:$F$185,5,FALSE)),"",IF(VLOOKUP($F9,Declarations!$B$6:$F$185,5,FALSE)="","NOT DECLARED",VLOOKUP($F9,Declarations!$B$6:$F$185,5,FALSE)))</f>
        <v>Camberley &amp; District AC</v>
      </c>
      <c r="E9" s="112" t="str">
        <f>IF(ISNA(VLOOKUP($F9,Declarations!$B$6:$D$185,3,FALSE)),"",IF(VLOOKUP($F9,Declarations!$B$6:$D$185,3,FALSE)="","NOT DECLARED",VLOOKUP($F9,Declarations!$B$6:$D$185,3,FALSE)&amp;LEFT(VLOOKUP($F9,Declarations!$B$6:$E$185,4,FALSE))))</f>
        <v>U12B</v>
      </c>
      <c r="F9" s="20">
        <v>14</v>
      </c>
      <c r="G9" s="21">
        <v>17.190000000000001</v>
      </c>
      <c r="H9" s="281"/>
      <c r="I9" s="8" t="str">
        <f>IF(ISNA(VLOOKUP(F9,Declarations!B$6:C$185,2,FALSE)),"",IF(VLOOKUP(F9,Declarations!B$6:C$185,2,FALSE)="","NOT DECLARED",VLOOKUP(F9,Declarations!B$6:C$185,2,FALSE)))</f>
        <v>DANIEL BURDON</v>
      </c>
      <c r="J9" s="2">
        <f>IF(LOWER(LEFT(G9,1))="n",1,VLOOKUP(G9,ScoringTable!E$2:I$95,5))</f>
        <v>34</v>
      </c>
      <c r="K9" s="112" t="str">
        <f>IF(OR(E9="",G9=""),"",IF(RIGHT(E9,1)="G",_xlfn.XLOOKUP(G9,Data!$D$13:$L$13,Data!$D$9:$L$9,"",-1,1),_xlfn.XLOOKUP(G9,Data!$D$6:$L$6,Data!$D$2:$L$2,"",-1,1)))</f>
        <v>PB2</v>
      </c>
      <c r="L9" s="160" t="str" cm="1">
        <f t="array" ref="L9">IFERROR(_xlfn.IFNA(
                      _xlfn.IFS(
                      F9="", "",
                      AND(E9="U12B",G9&gt;=Data!$M$6), "U12 Boys record",
                      AND(E9="U12G",G9&gt;=Data!$M$13), "U12 Girls record"
                       ),""), "")</f>
        <v/>
      </c>
      <c r="M9" s="18" cm="1">
        <f t="array" ref="M9">_xlfn.IFS($G9="",0,AND(NOT(ISNUMBER($G9)),LOWER(LEFT($G9,1))&lt;&gt;"n"),"Not a valid distance",OR(LOWER(LEFT($G9,1))="n",$G9&lt;ScoringTable!$P$161),1,RIGHT($E9,1)="B",_xlfn.XLOOKUP($G9,ScoringTable!$P$2:$P$161,ScoringTable!$L$2:$L$161,,-1),TRUE,_xlfn.XLOOKUP($G9,ScoringTable!$V$2:$V$161,ScoringTable!$R$2:$R$161,,-1))</f>
        <v>35</v>
      </c>
    </row>
    <row r="10" spans="1:13" ht="16.05" customHeight="1">
      <c r="A10" s="80" t="s">
        <v>104</v>
      </c>
      <c r="B10" s="79" t="str">
        <f>IF(ISNA(VLOOKUP($F10,Declarations!B$6:C$185,2,FALSE)),"",IF(VLOOKUP($F10,Declarations!B$6:C$185,2,FALSE)="","NOT DECLARED",IF(ISNA(_xlfn.TEXTBEFORE(VLOOKUP($F10,Declarations!B$6:C$185,2,FALSE)," ")),VLOOKUP($F10,Declarations!B$6:C$185,2,FALSE),_xlfn.TEXTBEFORE(VLOOKUP($F10,Declarations!B$6:C$185,2,FALSE)," "))))</f>
        <v>TOBI</v>
      </c>
      <c r="C10" s="79" t="str">
        <f>IF(ISNA(VLOOKUP($F10,Declarations!B$6:C$185,2,FALSE)),"",IF(VLOOKUP($F10,Declarations!B$6:C$185,2,FALSE)="","NOT DECLARED",IF(ISNA(_xlfn.TEXTAFTER(VLOOKUP($F10,Declarations!B$6:C$185,2,FALSE)," ")),VLOOKUP($F10,Declarations!B$6:C$185,2,FALSE),_xlfn.TEXTAFTER(VLOOKUP($F10,Declarations!B$6:C$185,2,FALSE)," "))))</f>
        <v>AKINLUYI</v>
      </c>
      <c r="D10" s="79" t="str">
        <f>IF(ISNA(VLOOKUP($F10,Declarations!$B$6:$F$185,5,FALSE)),"",IF(VLOOKUP($F10,Declarations!$B$6:$F$185,5,FALSE)="","NOT DECLARED",VLOOKUP($F10,Declarations!$B$6:$F$185,5,FALSE)))</f>
        <v>Camberley &amp; District AC</v>
      </c>
      <c r="E10" s="112" t="str">
        <f>IF(ISNA(VLOOKUP($F10,Declarations!$B$6:$D$185,3,FALSE)),"",IF(VLOOKUP($F10,Declarations!$B$6:$D$185,3,FALSE)="","NOT DECLARED",VLOOKUP($F10,Declarations!$B$6:$D$185,3,FALSE)&amp;LEFT(VLOOKUP($F10,Declarations!$B$6:$E$185,4,FALSE))))</f>
        <v>U12B</v>
      </c>
      <c r="F10" s="20">
        <v>15</v>
      </c>
      <c r="G10" s="21">
        <v>15.01</v>
      </c>
      <c r="H10" s="281"/>
      <c r="I10" s="8" t="str">
        <f>IF(ISNA(VLOOKUP(F10,Declarations!B$6:C$185,2,FALSE)),"",IF(VLOOKUP(F10,Declarations!B$6:C$185,2,FALSE)="","NOT DECLARED",VLOOKUP(F10,Declarations!B$6:C$185,2,FALSE)))</f>
        <v>TOBI AKINLUYI</v>
      </c>
      <c r="J10" s="2">
        <f>IF(LOWER(LEFT(G10,1))="n",1,VLOOKUP(G10,ScoringTable!E$2:I$95,5))</f>
        <v>30</v>
      </c>
      <c r="K10" s="112" t="str">
        <f>IF(OR(E10="",G10=""),"",IF(RIGHT(E10,1)="G",_xlfn.XLOOKUP(G10,Data!$D$13:$L$13,Data!$D$9:$L$9,"",-1,1),_xlfn.XLOOKUP(G10,Data!$D$6:$L$6,Data!$D$2:$L$2,"",-1,1)))</f>
        <v>PB1</v>
      </c>
      <c r="L10" s="160" t="str" cm="1">
        <f t="array" ref="L10">IFERROR(_xlfn.IFNA(
                      _xlfn.IFS(
                      F10="", "",
                      AND(E10="U12B",G10&gt;=Data!$M$6), "U12 Boys record",
                      AND(E10="U12G",G10&gt;=Data!$M$13), "U12 Girls record"
                       ),""), "")</f>
        <v/>
      </c>
      <c r="M10" s="18" cm="1">
        <f t="array" ref="M10">_xlfn.IFS($G10="",0,AND(NOT(ISNUMBER($G10)),LOWER(LEFT($G10,1))&lt;&gt;"n"),"Not a valid distance",OR(LOWER(LEFT($G10,1))="n",$G10&lt;ScoringTable!$P$161),1,RIGHT($E10,1)="B",_xlfn.XLOOKUP($G10,ScoringTable!$P$2:$P$161,ScoringTable!$L$2:$L$161,,-1),TRUE,_xlfn.XLOOKUP($G10,ScoringTable!$V$2:$V$161,ScoringTable!$R$2:$R$161,,-1))</f>
        <v>25</v>
      </c>
    </row>
    <row r="11" spans="1:13" ht="16.05" customHeight="1">
      <c r="A11" s="80" t="s">
        <v>104</v>
      </c>
      <c r="B11" s="79" t="str">
        <f>IF(ISNA(VLOOKUP($F11,Declarations!B$6:C$185,2,FALSE)),"",IF(VLOOKUP($F11,Declarations!B$6:C$185,2,FALSE)="","NOT DECLARED",IF(ISNA(_xlfn.TEXTBEFORE(VLOOKUP($F11,Declarations!B$6:C$185,2,FALSE)," ")),VLOOKUP($F11,Declarations!B$6:C$185,2,FALSE),_xlfn.TEXTBEFORE(VLOOKUP($F11,Declarations!B$6:C$185,2,FALSE)," "))))</f>
        <v>RAFI</v>
      </c>
      <c r="C11" s="79" t="str">
        <f>IF(ISNA(VLOOKUP($F11,Declarations!B$6:C$185,2,FALSE)),"",IF(VLOOKUP($F11,Declarations!B$6:C$185,2,FALSE)="","NOT DECLARED",IF(ISNA(_xlfn.TEXTAFTER(VLOOKUP($F11,Declarations!B$6:C$185,2,FALSE)," ")),VLOOKUP($F11,Declarations!B$6:C$185,2,FALSE),_xlfn.TEXTAFTER(VLOOKUP($F11,Declarations!B$6:C$185,2,FALSE)," "))))</f>
        <v>PAYNE</v>
      </c>
      <c r="D11" s="79" t="str">
        <f>IF(ISNA(VLOOKUP($F11,Declarations!$B$6:$F$185,5,FALSE)),"",IF(VLOOKUP($F11,Declarations!$B$6:$F$185,5,FALSE)="","NOT DECLARED",VLOOKUP($F11,Declarations!$B$6:$F$185,5,FALSE)))</f>
        <v>Camberley &amp; District AC</v>
      </c>
      <c r="E11" s="112" t="str">
        <f>IF(ISNA(VLOOKUP($F11,Declarations!$B$6:$D$185,3,FALSE)),"",IF(VLOOKUP($F11,Declarations!$B$6:$D$185,3,FALSE)="","NOT DECLARED",VLOOKUP($F11,Declarations!$B$6:$D$185,3,FALSE)&amp;LEFT(VLOOKUP($F11,Declarations!$B$6:$E$185,4,FALSE))))</f>
        <v>U12B</v>
      </c>
      <c r="F11" s="20">
        <v>16</v>
      </c>
      <c r="G11" s="21">
        <v>21.25</v>
      </c>
      <c r="H11" s="281"/>
      <c r="I11" s="8" t="str">
        <f>IF(ISNA(VLOOKUP(F11,Declarations!B$6:C$185,2,FALSE)),"",IF(VLOOKUP(F11,Declarations!B$6:C$185,2,FALSE)="","NOT DECLARED",VLOOKUP(F11,Declarations!B$6:C$185,2,FALSE)))</f>
        <v>RAFI PAYNE</v>
      </c>
      <c r="J11" s="2">
        <f>IF(LOWER(LEFT(G11,1))="n",1,VLOOKUP(G11,ScoringTable!E$2:I$95,5))</f>
        <v>42</v>
      </c>
      <c r="K11" s="112" t="str">
        <f>IF(OR(E11="",G11=""),"",IF(RIGHT(E11,1)="G",_xlfn.XLOOKUP(G11,Data!$D$13:$L$13,Data!$D$9:$L$9,"",-1,1),_xlfn.XLOOKUP(G11,Data!$D$6:$L$6,Data!$D$2:$L$2,"",-1,1)))</f>
        <v>PB4</v>
      </c>
      <c r="L11" s="160" t="str" cm="1">
        <f t="array" ref="L11">IFERROR(_xlfn.IFNA(
                      _xlfn.IFS(
                      F11="", "",
                      AND(E11="U12B",G11&gt;=Data!$M$6), "U12 Boys record",
                      AND(E11="U12G",G11&gt;=Data!$M$13), "U12 Girls record"
                       ),""), "")</f>
        <v/>
      </c>
      <c r="M11" s="18" cm="1">
        <f t="array" ref="M11">_xlfn.IFS($G11="",0,AND(NOT(ISNUMBER($G11)),LOWER(LEFT($G11,1))&lt;&gt;"n"),"Not a valid distance",OR(LOWER(LEFT($G11,1))="n",$G11&lt;ScoringTable!$P$161),1,RIGHT($E11,1)="B",_xlfn.XLOOKUP($G11,ScoringTable!$P$2:$P$161,ScoringTable!$L$2:$L$161,,-1),TRUE,_xlfn.XLOOKUP($G11,ScoringTable!$V$2:$V$161,ScoringTable!$R$2:$R$161,,-1))</f>
        <v>56</v>
      </c>
    </row>
    <row r="12" spans="1:13" ht="16.05" customHeight="1">
      <c r="A12" s="80" t="s">
        <v>104</v>
      </c>
      <c r="B12" s="79" t="str">
        <f>IF(ISNA(VLOOKUP($F12,Declarations!B$6:C$185,2,FALSE)),"",IF(VLOOKUP($F12,Declarations!B$6:C$185,2,FALSE)="","NOT DECLARED",IF(ISNA(_xlfn.TEXTBEFORE(VLOOKUP($F12,Declarations!B$6:C$185,2,FALSE)," ")),VLOOKUP($F12,Declarations!B$6:C$185,2,FALSE),_xlfn.TEXTBEFORE(VLOOKUP($F12,Declarations!B$6:C$185,2,FALSE)," "))))</f>
        <v>FELIX</v>
      </c>
      <c r="C12" s="79" t="str">
        <f>IF(ISNA(VLOOKUP($F12,Declarations!B$6:C$185,2,FALSE)),"",IF(VLOOKUP($F12,Declarations!B$6:C$185,2,FALSE)="","NOT DECLARED",IF(ISNA(_xlfn.TEXTAFTER(VLOOKUP($F12,Declarations!B$6:C$185,2,FALSE)," ")),VLOOKUP($F12,Declarations!B$6:C$185,2,FALSE),_xlfn.TEXTAFTER(VLOOKUP($F12,Declarations!B$6:C$185,2,FALSE)," "))))</f>
        <v>POWERS</v>
      </c>
      <c r="D12" s="79" t="str">
        <f>IF(ISNA(VLOOKUP($F12,Declarations!$B$6:$F$185,5,FALSE)),"",IF(VLOOKUP($F12,Declarations!$B$6:$F$185,5,FALSE)="","NOT DECLARED",VLOOKUP($F12,Declarations!$B$6:$F$185,5,FALSE)))</f>
        <v>Camberley &amp; District AC</v>
      </c>
      <c r="E12" s="112" t="str">
        <f>IF(ISNA(VLOOKUP($F12,Declarations!$B$6:$D$185,3,FALSE)),"",IF(VLOOKUP($F12,Declarations!$B$6:$D$185,3,FALSE)="","NOT DECLARED",VLOOKUP($F12,Declarations!$B$6:$D$185,3,FALSE)&amp;LEFT(VLOOKUP($F12,Declarations!$B$6:$E$185,4,FALSE))))</f>
        <v>U12B</v>
      </c>
      <c r="F12" s="20">
        <v>17</v>
      </c>
      <c r="G12" s="21">
        <v>22.11</v>
      </c>
      <c r="H12" s="281"/>
      <c r="I12" s="8" t="str">
        <f>IF(ISNA(VLOOKUP(F12,Declarations!B$6:C$185,2,FALSE)),"",IF(VLOOKUP(F12,Declarations!B$6:C$185,2,FALSE)="","NOT DECLARED",VLOOKUP(F12,Declarations!B$6:C$185,2,FALSE)))</f>
        <v>FELIX POWERS</v>
      </c>
      <c r="J12" s="2">
        <f>IF(LOWER(LEFT(G12,1))="n",1,VLOOKUP(G12,ScoringTable!E$2:I$95,5))</f>
        <v>44</v>
      </c>
      <c r="K12" s="112" t="str">
        <f>IF(OR(E12="",G12=""),"",IF(RIGHT(E12,1)="G",_xlfn.XLOOKUP(G12,Data!$D$13:$L$13,Data!$D$9:$L$9,"",-1,1),_xlfn.XLOOKUP(G12,Data!$D$6:$L$6,Data!$D$2:$L$2,"",-1,1)))</f>
        <v>PB5</v>
      </c>
      <c r="L12" s="160" t="str" cm="1">
        <f t="array" ref="L12">IFERROR(_xlfn.IFNA(
                      _xlfn.IFS(
                      F12="", "",
                      AND(E12="U12B",G12&gt;=Data!$M$6), "U12 Boys record",
                      AND(E12="U12G",G12&gt;=Data!$M$13), "U12 Girls record"
                       ),""), "")</f>
        <v/>
      </c>
      <c r="M12" s="18" cm="1">
        <f t="array" ref="M12">_xlfn.IFS($G12="",0,AND(NOT(ISNUMBER($G12)),LOWER(LEFT($G12,1))&lt;&gt;"n"),"Not a valid distance",OR(LOWER(LEFT($G12,1))="n",$G12&lt;ScoringTable!$P$161),1,RIGHT($E12,1)="B",_xlfn.XLOOKUP($G12,ScoringTable!$P$2:$P$161,ScoringTable!$L$2:$L$161,,-1),TRUE,_xlfn.XLOOKUP($G12,ScoringTable!$V$2:$V$161,ScoringTable!$R$2:$R$161,,-1))</f>
        <v>60</v>
      </c>
    </row>
    <row r="13" spans="1:13" ht="16.05" customHeight="1">
      <c r="A13" s="80" t="s">
        <v>104</v>
      </c>
      <c r="B13" s="79" t="str">
        <f>IF(ISNA(VLOOKUP($F13,Declarations!B$6:C$185,2,FALSE)),"",IF(VLOOKUP($F13,Declarations!B$6:C$185,2,FALSE)="","NOT DECLARED",IF(ISNA(_xlfn.TEXTBEFORE(VLOOKUP($F13,Declarations!B$6:C$185,2,FALSE)," ")),VLOOKUP($F13,Declarations!B$6:C$185,2,FALSE),_xlfn.TEXTBEFORE(VLOOKUP($F13,Declarations!B$6:C$185,2,FALSE)," "))))</f>
        <v>CADEN</v>
      </c>
      <c r="C13" s="79" t="str">
        <f>IF(ISNA(VLOOKUP($F13,Declarations!B$6:C$185,2,FALSE)),"",IF(VLOOKUP($F13,Declarations!B$6:C$185,2,FALSE)="","NOT DECLARED",IF(ISNA(_xlfn.TEXTAFTER(VLOOKUP($F13,Declarations!B$6:C$185,2,FALSE)," ")),VLOOKUP($F13,Declarations!B$6:C$185,2,FALSE),_xlfn.TEXTAFTER(VLOOKUP($F13,Declarations!B$6:C$185,2,FALSE)," "))))</f>
        <v>LUCAS</v>
      </c>
      <c r="D13" s="79" t="str">
        <f>IF(ISNA(VLOOKUP($F13,Declarations!$B$6:$F$185,5,FALSE)),"",IF(VLOOKUP($F13,Declarations!$B$6:$F$185,5,FALSE)="","NOT DECLARED",VLOOKUP($F13,Declarations!$B$6:$F$185,5,FALSE)))</f>
        <v>Camberley &amp; District AC</v>
      </c>
      <c r="E13" s="112" t="str">
        <f>IF(ISNA(VLOOKUP($F13,Declarations!$B$6:$D$185,3,FALSE)),"",IF(VLOOKUP($F13,Declarations!$B$6:$D$185,3,FALSE)="","NOT DECLARED",VLOOKUP($F13,Declarations!$B$6:$D$185,3,FALSE)&amp;LEFT(VLOOKUP($F13,Declarations!$B$6:$E$185,4,FALSE))))</f>
        <v>U12B</v>
      </c>
      <c r="F13" s="20">
        <v>18</v>
      </c>
      <c r="G13" s="21">
        <v>18.940000000000001</v>
      </c>
      <c r="H13" s="281"/>
      <c r="I13" s="8" t="str">
        <f>IF(ISNA(VLOOKUP(F13,Declarations!B$6:C$185,2,FALSE)),"",IF(VLOOKUP(F13,Declarations!B$6:C$185,2,FALSE)="","NOT DECLARED",VLOOKUP(F13,Declarations!B$6:C$185,2,FALSE)))</f>
        <v>CADEN LUCAS</v>
      </c>
      <c r="J13" s="2">
        <f>IF(LOWER(LEFT(G13,1))="n",1,VLOOKUP(G13,ScoringTable!E$2:I$95,5))</f>
        <v>37</v>
      </c>
      <c r="K13" s="112" t="str">
        <f>IF(OR(E13="",G13=""),"",IF(RIGHT(E13,1)="G",_xlfn.XLOOKUP(G13,Data!$D$13:$L$13,Data!$D$9:$L$9,"",-1,1),_xlfn.XLOOKUP(G13,Data!$D$6:$L$6,Data!$D$2:$L$2,"",-1,1)))</f>
        <v>PB3</v>
      </c>
      <c r="L13" s="160" t="str" cm="1">
        <f t="array" ref="L13">IFERROR(_xlfn.IFNA(
                      _xlfn.IFS(
                      F13="", "",
                      AND(E13="U12B",G13&gt;=Data!$M$6), "U12 Boys record",
                      AND(E13="U12G",G13&gt;=Data!$M$13), "U12 Girls record"
                       ),""), "")</f>
        <v/>
      </c>
      <c r="M13" s="18" cm="1">
        <f t="array" ref="M13">_xlfn.IFS($G13="",0,AND(NOT(ISNUMBER($G13)),LOWER(LEFT($G13,1))&lt;&gt;"n"),"Not a valid distance",OR(LOWER(LEFT($G13,1))="n",$G13&lt;ScoringTable!$P$161),1,RIGHT($E13,1)="B",_xlfn.XLOOKUP($G13,ScoringTable!$P$2:$P$161,ScoringTable!$L$2:$L$161,,-1),TRUE,_xlfn.XLOOKUP($G13,ScoringTable!$V$2:$V$161,ScoringTable!$R$2:$R$161,,-1))</f>
        <v>44</v>
      </c>
    </row>
    <row r="14" spans="1:13" ht="16.05" customHeight="1">
      <c r="A14" s="80" t="s">
        <v>104</v>
      </c>
      <c r="B14" s="79" t="str">
        <f>IF(ISNA(VLOOKUP($F14,Declarations!B$6:C$185,2,FALSE)),"",IF(VLOOKUP($F14,Declarations!B$6:C$185,2,FALSE)="","NOT DECLARED",IF(ISNA(_xlfn.TEXTBEFORE(VLOOKUP($F14,Declarations!B$6:C$185,2,FALSE)," ")),VLOOKUP($F14,Declarations!B$6:C$185,2,FALSE),_xlfn.TEXTBEFORE(VLOOKUP($F14,Declarations!B$6:C$185,2,FALSE)," "))))</f>
        <v>OLI</v>
      </c>
      <c r="C14" s="79" t="str">
        <f>IF(ISNA(VLOOKUP($F14,Declarations!B$6:C$185,2,FALSE)),"",IF(VLOOKUP($F14,Declarations!B$6:C$185,2,FALSE)="","NOT DECLARED",IF(ISNA(_xlfn.TEXTAFTER(VLOOKUP($F14,Declarations!B$6:C$185,2,FALSE)," ")),VLOOKUP($F14,Declarations!B$6:C$185,2,FALSE),_xlfn.TEXTAFTER(VLOOKUP($F14,Declarations!B$6:C$185,2,FALSE)," "))))</f>
        <v>THOMPSON</v>
      </c>
      <c r="D14" s="79" t="str">
        <f>IF(ISNA(VLOOKUP($F14,Declarations!$B$6:$F$185,5,FALSE)),"",IF(VLOOKUP($F14,Declarations!$B$6:$F$185,5,FALSE)="","NOT DECLARED",VLOOKUP($F14,Declarations!$B$6:$F$185,5,FALSE)))</f>
        <v>Woking AC</v>
      </c>
      <c r="E14" s="112" t="str">
        <f>IF(ISNA(VLOOKUP($F14,Declarations!$B$6:$D$185,3,FALSE)),"",IF(VLOOKUP($F14,Declarations!$B$6:$D$185,3,FALSE)="","NOT DECLARED",VLOOKUP($F14,Declarations!$B$6:$D$185,3,FALSE)&amp;LEFT(VLOOKUP($F14,Declarations!$B$6:$E$185,4,FALSE))))</f>
        <v>U12B</v>
      </c>
      <c r="F14" s="20">
        <v>31</v>
      </c>
      <c r="G14" s="21">
        <v>30.85</v>
      </c>
      <c r="H14" s="281"/>
      <c r="I14" s="8" t="str">
        <f>IF(ISNA(VLOOKUP(F14,Declarations!B$6:C$185,2,FALSE)),"",IF(VLOOKUP(F14,Declarations!B$6:C$185,2,FALSE)="","NOT DECLARED",VLOOKUP(F14,Declarations!B$6:C$185,2,FALSE)))</f>
        <v>OLI THOMPSON</v>
      </c>
      <c r="J14" s="2">
        <f>IF(LOWER(LEFT(G14,1))="n",1,VLOOKUP(G14,ScoringTable!E$2:I$95,5))</f>
        <v>61</v>
      </c>
      <c r="K14" s="112" t="str">
        <f>IF(OR(E14="",G14=""),"",IF(RIGHT(E14,1)="G",_xlfn.XLOOKUP(G14,Data!$D$13:$L$13,Data!$D$9:$L$9,"",-1,1),_xlfn.XLOOKUP(G14,Data!$D$6:$L$6,Data!$D$2:$L$2,"",-1,1)))</f>
        <v>PB9</v>
      </c>
      <c r="L14" s="160" t="str" cm="1">
        <f t="array" ref="L14">IFERROR(_xlfn.IFNA(
                      _xlfn.IFS(
                      F14="", "",
                      AND(E14="U12B",G14&gt;=Data!$M$6), "U12 Boys record",
                      AND(E14="U12G",G14&gt;=Data!$M$13), "U12 Girls record"
                       ),""), "")</f>
        <v/>
      </c>
      <c r="M14" s="18" cm="1">
        <f t="array" ref="M14">_xlfn.IFS($G14="",0,AND(NOT(ISNUMBER($G14)),LOWER(LEFT($G14,1))&lt;&gt;"n"),"Not a valid distance",OR(LOWER(LEFT($G14,1))="n",$G14&lt;ScoringTable!$P$161),1,RIGHT($E14,1)="B",_xlfn.XLOOKUP($G14,ScoringTable!$P$2:$P$161,ScoringTable!$L$2:$L$161,,-1),TRUE,_xlfn.XLOOKUP($G14,ScoringTable!$V$2:$V$161,ScoringTable!$R$2:$R$161,,-1))</f>
        <v>104</v>
      </c>
    </row>
    <row r="15" spans="1:13" ht="16.05" customHeight="1">
      <c r="A15" s="80" t="s">
        <v>104</v>
      </c>
      <c r="B15" s="79" t="str">
        <f>IF(ISNA(VLOOKUP($F15,Declarations!B$6:C$185,2,FALSE)),"",IF(VLOOKUP($F15,Declarations!B$6:C$185,2,FALSE)="","NOT DECLARED",IF(ISNA(_xlfn.TEXTBEFORE(VLOOKUP($F15,Declarations!B$6:C$185,2,FALSE)," ")),VLOOKUP($F15,Declarations!B$6:C$185,2,FALSE),_xlfn.TEXTBEFORE(VLOOKUP($F15,Declarations!B$6:C$185,2,FALSE)," "))))</f>
        <v>ISAAC</v>
      </c>
      <c r="C15" s="79" t="str">
        <f>IF(ISNA(VLOOKUP($F15,Declarations!B$6:C$185,2,FALSE)),"",IF(VLOOKUP($F15,Declarations!B$6:C$185,2,FALSE)="","NOT DECLARED",IF(ISNA(_xlfn.TEXTAFTER(VLOOKUP($F15,Declarations!B$6:C$185,2,FALSE)," ")),VLOOKUP($F15,Declarations!B$6:C$185,2,FALSE),_xlfn.TEXTAFTER(VLOOKUP($F15,Declarations!B$6:C$185,2,FALSE)," "))))</f>
        <v>HUTCHISON</v>
      </c>
      <c r="D15" s="79" t="str">
        <f>IF(ISNA(VLOOKUP($F15,Declarations!$B$6:$F$185,5,FALSE)),"",IF(VLOOKUP($F15,Declarations!$B$6:$F$185,5,FALSE)="","NOT DECLARED",VLOOKUP($F15,Declarations!$B$6:$F$185,5,FALSE)))</f>
        <v>Woking AC</v>
      </c>
      <c r="E15" s="112" t="str">
        <f>IF(ISNA(VLOOKUP($F15,Declarations!$B$6:$D$185,3,FALSE)),"",IF(VLOOKUP($F15,Declarations!$B$6:$D$185,3,FALSE)="","NOT DECLARED",VLOOKUP($F15,Declarations!$B$6:$D$185,3,FALSE)&amp;LEFT(VLOOKUP($F15,Declarations!$B$6:$E$185,4,FALSE))))</f>
        <v>U12B</v>
      </c>
      <c r="F15" s="20">
        <v>32</v>
      </c>
      <c r="G15" s="21">
        <v>22.53</v>
      </c>
      <c r="H15" s="281"/>
      <c r="I15" s="8" t="str">
        <f>IF(ISNA(VLOOKUP(F15,Declarations!B$6:C$185,2,FALSE)),"",IF(VLOOKUP(F15,Declarations!B$6:C$185,2,FALSE)="","NOT DECLARED",VLOOKUP(F15,Declarations!B$6:C$185,2,FALSE)))</f>
        <v>ISAAC HUTCHISON</v>
      </c>
      <c r="J15" s="2">
        <f>IF(LOWER(LEFT(G15,1))="n",1,VLOOKUP(G15,ScoringTable!E$2:I$95,5))</f>
        <v>45</v>
      </c>
      <c r="K15" s="112" t="str">
        <f>IF(OR(E15="",G15=""),"",IF(RIGHT(E15,1)="G",_xlfn.XLOOKUP(G15,Data!$D$13:$L$13,Data!$D$9:$L$9,"",-1,1),_xlfn.XLOOKUP(G15,Data!$D$6:$L$6,Data!$D$2:$L$2,"",-1,1)))</f>
        <v>PB5</v>
      </c>
      <c r="L15" s="160" t="str" cm="1">
        <f t="array" ref="L15">IFERROR(_xlfn.IFNA(
                      _xlfn.IFS(
                      F15="", "",
                      AND(E15="U12B",G15&gt;=Data!$M$6), "U12 Boys record",
                      AND(E15="U12G",G15&gt;=Data!$M$13), "U12 Girls record"
                       ),""), "")</f>
        <v/>
      </c>
      <c r="M15" s="18" cm="1">
        <f t="array" ref="M15">_xlfn.IFS($G15="",0,AND(NOT(ISNUMBER($G15)),LOWER(LEFT($G15,1))&lt;&gt;"n"),"Not a valid distance",OR(LOWER(LEFT($G15,1))="n",$G15&lt;ScoringTable!$P$161),1,RIGHT($E15,1)="B",_xlfn.XLOOKUP($G15,ScoringTable!$P$2:$P$161,ScoringTable!$L$2:$L$161,,-1),TRUE,_xlfn.XLOOKUP($G15,ScoringTable!$V$2:$V$161,ScoringTable!$R$2:$R$161,,-1))</f>
        <v>62</v>
      </c>
    </row>
    <row r="16" spans="1:13" ht="16.05" customHeight="1">
      <c r="A16" s="80" t="s">
        <v>104</v>
      </c>
      <c r="B16" s="79" t="str">
        <f>IF(ISNA(VLOOKUP($F16,Declarations!B$6:C$185,2,FALSE)),"",IF(VLOOKUP($F16,Declarations!B$6:C$185,2,FALSE)="","NOT DECLARED",IF(ISNA(_xlfn.TEXTBEFORE(VLOOKUP($F16,Declarations!B$6:C$185,2,FALSE)," ")),VLOOKUP($F16,Declarations!B$6:C$185,2,FALSE),_xlfn.TEXTBEFORE(VLOOKUP($F16,Declarations!B$6:C$185,2,FALSE)," "))))</f>
        <v>WILLIAM</v>
      </c>
      <c r="C16" s="79" t="str">
        <f>IF(ISNA(VLOOKUP($F16,Declarations!B$6:C$185,2,FALSE)),"",IF(VLOOKUP($F16,Declarations!B$6:C$185,2,FALSE)="","NOT DECLARED",IF(ISNA(_xlfn.TEXTAFTER(VLOOKUP($F16,Declarations!B$6:C$185,2,FALSE)," ")),VLOOKUP($F16,Declarations!B$6:C$185,2,FALSE),_xlfn.TEXTAFTER(VLOOKUP($F16,Declarations!B$6:C$185,2,FALSE)," "))))</f>
        <v>PEARCE</v>
      </c>
      <c r="D16" s="79" t="str">
        <f>IF(ISNA(VLOOKUP($F16,Declarations!$B$6:$F$185,5,FALSE)),"",IF(VLOOKUP($F16,Declarations!$B$6:$F$185,5,FALSE)="","NOT DECLARED",VLOOKUP($F16,Declarations!$B$6:$F$185,5,FALSE)))</f>
        <v>Woking AC</v>
      </c>
      <c r="E16" s="112" t="str">
        <f>IF(ISNA(VLOOKUP($F16,Declarations!$B$6:$D$185,3,FALSE)),"",IF(VLOOKUP($F16,Declarations!$B$6:$D$185,3,FALSE)="","NOT DECLARED",VLOOKUP($F16,Declarations!$B$6:$D$185,3,FALSE)&amp;LEFT(VLOOKUP($F16,Declarations!$B$6:$E$185,4,FALSE))))</f>
        <v>U12B</v>
      </c>
      <c r="F16" s="20">
        <v>33</v>
      </c>
      <c r="G16" s="21">
        <v>45.44</v>
      </c>
      <c r="H16" s="281"/>
      <c r="I16" s="8" t="str">
        <f>IF(ISNA(VLOOKUP(F16,Declarations!B$6:C$185,2,FALSE)),"",IF(VLOOKUP(F16,Declarations!B$6:C$185,2,FALSE)="","NOT DECLARED",VLOOKUP(F16,Declarations!B$6:C$185,2,FALSE)))</f>
        <v>WILLIAM PEARCE</v>
      </c>
      <c r="J16" s="2">
        <f>IF(LOWER(LEFT(G16,1))="n",1,VLOOKUP(G16,ScoringTable!E$2:I$95,5))</f>
        <v>90</v>
      </c>
      <c r="K16" s="112" t="str">
        <f>IF(OR(E16="",G16=""),"",IF(RIGHT(E16,1)="G",_xlfn.XLOOKUP(G16,Data!$D$13:$L$13,Data!$D$9:$L$9,"",-1,1),_xlfn.XLOOKUP(G16,Data!$D$6:$L$6,Data!$D$2:$L$2,"",-1,1)))</f>
        <v>PB9</v>
      </c>
      <c r="L16" s="160" t="str" cm="1">
        <f t="array" ref="L16">IFERROR(_xlfn.IFNA(
                      _xlfn.IFS(
                      F16="", "",
                      AND(E16="U12B",G16&gt;=Data!$M$6), "U12 Boys record",
                      AND(E16="U12G",G16&gt;=Data!$M$13), "U12 Girls record"
                       ),""), "")</f>
        <v/>
      </c>
      <c r="M16" s="18" cm="1">
        <f t="array" ref="M16">_xlfn.IFS($G16="",0,AND(NOT(ISNUMBER($G16)),LOWER(LEFT($G16,1))&lt;&gt;"n"),"Not a valid distance",OR(LOWER(LEFT($G16,1))="n",$G16&lt;ScoringTable!$P$161),1,RIGHT($E16,1)="B",_xlfn.XLOOKUP($G16,ScoringTable!$P$2:$P$161,ScoringTable!$L$2:$L$161,,-1),TRUE,_xlfn.XLOOKUP($G16,ScoringTable!$V$2:$V$161,ScoringTable!$R$2:$R$161,,-1))</f>
        <v>142</v>
      </c>
    </row>
    <row r="17" spans="1:13" ht="16.05" customHeight="1">
      <c r="A17" s="80" t="s">
        <v>104</v>
      </c>
      <c r="B17" s="79" t="str">
        <f>IF(ISNA(VLOOKUP($F17,Declarations!B$6:C$185,2,FALSE)),"",IF(VLOOKUP($F17,Declarations!B$6:C$185,2,FALSE)="","NOT DECLARED",IF(ISNA(_xlfn.TEXTBEFORE(VLOOKUP($F17,Declarations!B$6:C$185,2,FALSE)," ")),VLOOKUP($F17,Declarations!B$6:C$185,2,FALSE),_xlfn.TEXTBEFORE(VLOOKUP($F17,Declarations!B$6:C$185,2,FALSE)," "))))</f>
        <v>LOUIS</v>
      </c>
      <c r="C17" s="79" t="str">
        <f>IF(ISNA(VLOOKUP($F17,Declarations!B$6:C$185,2,FALSE)),"",IF(VLOOKUP($F17,Declarations!B$6:C$185,2,FALSE)="","NOT DECLARED",IF(ISNA(_xlfn.TEXTAFTER(VLOOKUP($F17,Declarations!B$6:C$185,2,FALSE)," ")),VLOOKUP($F17,Declarations!B$6:C$185,2,FALSE),_xlfn.TEXTAFTER(VLOOKUP($F17,Declarations!B$6:C$185,2,FALSE)," "))))</f>
        <v>MASON</v>
      </c>
      <c r="D17" s="79" t="str">
        <f>IF(ISNA(VLOOKUP($F17,Declarations!$B$6:$F$185,5,FALSE)),"",IF(VLOOKUP($F17,Declarations!$B$6:$F$185,5,FALSE)="","NOT DECLARED",VLOOKUP($F17,Declarations!$B$6:$F$185,5,FALSE)))</f>
        <v>Woking AC</v>
      </c>
      <c r="E17" s="112" t="str">
        <f>IF(ISNA(VLOOKUP($F17,Declarations!$B$6:$D$185,3,FALSE)),"",IF(VLOOKUP($F17,Declarations!$B$6:$D$185,3,FALSE)="","NOT DECLARED",VLOOKUP($F17,Declarations!$B$6:$D$185,3,FALSE)&amp;LEFT(VLOOKUP($F17,Declarations!$B$6:$E$185,4,FALSE))))</f>
        <v>U12B</v>
      </c>
      <c r="F17" s="20">
        <v>34</v>
      </c>
      <c r="G17" s="21">
        <v>32.17</v>
      </c>
      <c r="H17" s="281"/>
      <c r="I17" s="8" t="str">
        <f>IF(ISNA(VLOOKUP(F17,Declarations!B$6:C$185,2,FALSE)),"",IF(VLOOKUP(F17,Declarations!B$6:C$185,2,FALSE)="","NOT DECLARED",VLOOKUP(F17,Declarations!B$6:C$185,2,FALSE)))</f>
        <v>LOUIS MASON</v>
      </c>
      <c r="J17" s="2">
        <f>IF(LOWER(LEFT(G17,1))="n",1,VLOOKUP(G17,ScoringTable!E$2:I$95,5))</f>
        <v>64</v>
      </c>
      <c r="K17" s="112" t="str">
        <f>IF(OR(E17="",G17=""),"",IF(RIGHT(E17,1)="G",_xlfn.XLOOKUP(G17,Data!$D$13:$L$13,Data!$D$9:$L$9,"",-1,1),_xlfn.XLOOKUP(G17,Data!$D$6:$L$6,Data!$D$2:$L$2,"",-1,1)))</f>
        <v>PB9</v>
      </c>
      <c r="L17" s="160" t="str" cm="1">
        <f t="array" ref="L17">IFERROR(_xlfn.IFNA(
                      _xlfn.IFS(
                      F17="", "",
                      AND(E17="U12B",G17&gt;=Data!$M$6), "U12 Boys record",
                      AND(E17="U12G",G17&gt;=Data!$M$13), "U12 Girls record"
                       ),""), "")</f>
        <v/>
      </c>
      <c r="M17" s="18" cm="1">
        <f t="array" ref="M17">_xlfn.IFS($G17="",0,AND(NOT(ISNUMBER($G17)),LOWER(LEFT($G17,1))&lt;&gt;"n"),"Not a valid distance",OR(LOWER(LEFT($G17,1))="n",$G17&lt;ScoringTable!$P$161),1,RIGHT($E17,1)="B",_xlfn.XLOOKUP($G17,ScoringTable!$P$2:$P$161,ScoringTable!$L$2:$L$161,,-1),TRUE,_xlfn.XLOOKUP($G17,ScoringTable!$V$2:$V$161,ScoringTable!$R$2:$R$161,,-1))</f>
        <v>110</v>
      </c>
    </row>
    <row r="18" spans="1:13" ht="16.05" customHeight="1">
      <c r="A18" s="80" t="s">
        <v>104</v>
      </c>
      <c r="B18" s="79" t="str">
        <f>IF(ISNA(VLOOKUP($F18,Declarations!B$6:C$185,2,FALSE)),"",IF(VLOOKUP($F18,Declarations!B$6:C$185,2,FALSE)="","NOT DECLARED",IF(ISNA(_xlfn.TEXTBEFORE(VLOOKUP($F18,Declarations!B$6:C$185,2,FALSE)," ")),VLOOKUP($F18,Declarations!B$6:C$185,2,FALSE),_xlfn.TEXTBEFORE(VLOOKUP($F18,Declarations!B$6:C$185,2,FALSE)," "))))</f>
        <v>MATTHIAS</v>
      </c>
      <c r="C18" s="79" t="str">
        <f>IF(ISNA(VLOOKUP($F18,Declarations!B$6:C$185,2,FALSE)),"",IF(VLOOKUP($F18,Declarations!B$6:C$185,2,FALSE)="","NOT DECLARED",IF(ISNA(_xlfn.TEXTAFTER(VLOOKUP($F18,Declarations!B$6:C$185,2,FALSE)," ")),VLOOKUP($F18,Declarations!B$6:C$185,2,FALSE),_xlfn.TEXTAFTER(VLOOKUP($F18,Declarations!B$6:C$185,2,FALSE)," "))))</f>
        <v>DE PAULA DENS</v>
      </c>
      <c r="D18" s="79" t="str">
        <f>IF(ISNA(VLOOKUP($F18,Declarations!$B$6:$F$185,5,FALSE)),"",IF(VLOOKUP($F18,Declarations!$B$6:$F$185,5,FALSE)="","NOT DECLARED",VLOOKUP($F18,Declarations!$B$6:$F$185,5,FALSE)))</f>
        <v>Woking AC</v>
      </c>
      <c r="E18" s="112" t="str">
        <f>IF(ISNA(VLOOKUP($F18,Declarations!$B$6:$D$185,3,FALSE)),"",IF(VLOOKUP($F18,Declarations!$B$6:$D$185,3,FALSE)="","NOT DECLARED",VLOOKUP($F18,Declarations!$B$6:$D$185,3,FALSE)&amp;LEFT(VLOOKUP($F18,Declarations!$B$6:$E$185,4,FALSE))))</f>
        <v>U12B</v>
      </c>
      <c r="F18" s="20">
        <v>35</v>
      </c>
      <c r="G18" s="21">
        <v>24.79</v>
      </c>
      <c r="H18" s="281"/>
      <c r="I18" s="8" t="str">
        <f>IF(ISNA(VLOOKUP(F18,Declarations!B$6:C$185,2,FALSE)),"",IF(VLOOKUP(F18,Declarations!B$6:C$185,2,FALSE)="","NOT DECLARED",VLOOKUP(F18,Declarations!B$6:C$185,2,FALSE)))</f>
        <v>MATTHIAS DE PAULA DENS</v>
      </c>
      <c r="J18" s="2">
        <f>IF(LOWER(LEFT(G18,1))="n",1,VLOOKUP(G18,ScoringTable!E$2:I$95,5))</f>
        <v>49</v>
      </c>
      <c r="K18" s="112" t="str">
        <f>IF(OR(E18="",G18=""),"",IF(RIGHT(E18,1)="G",_xlfn.XLOOKUP(G18,Data!$D$13:$L$13,Data!$D$9:$L$9,"",-1,1),_xlfn.XLOOKUP(G18,Data!$D$6:$L$6,Data!$D$2:$L$2,"",-1,1)))</f>
        <v>PB6</v>
      </c>
      <c r="L18" s="160" t="str" cm="1">
        <f t="array" ref="L18">IFERROR(_xlfn.IFNA(
                      _xlfn.IFS(
                      F18="", "",
                      AND(E18="U12B",G18&gt;=Data!$M$6), "U12 Boys record",
                      AND(E18="U12G",G18&gt;=Data!$M$13), "U12 Girls record"
                       ),""), "")</f>
        <v/>
      </c>
      <c r="M18" s="18" cm="1">
        <f t="array" ref="M18">_xlfn.IFS($G18="",0,AND(NOT(ISNUMBER($G18)),LOWER(LEFT($G18,1))&lt;&gt;"n"),"Not a valid distance",OR(LOWER(LEFT($G18,1))="n",$G18&lt;ScoringTable!$P$161),1,RIGHT($E18,1)="B",_xlfn.XLOOKUP($G18,ScoringTable!$P$2:$P$161,ScoringTable!$L$2:$L$161,,-1),TRUE,_xlfn.XLOOKUP($G18,ScoringTable!$V$2:$V$161,ScoringTable!$R$2:$R$161,,-1))</f>
        <v>73</v>
      </c>
    </row>
    <row r="19" spans="1:13" ht="16.05" customHeight="1">
      <c r="A19" s="80" t="s">
        <v>104</v>
      </c>
      <c r="B19" s="79" t="str">
        <f>IF(ISNA(VLOOKUP($F19,Declarations!B$6:C$185,2,FALSE)),"",IF(VLOOKUP($F19,Declarations!B$6:C$185,2,FALSE)="","NOT DECLARED",IF(ISNA(_xlfn.TEXTBEFORE(VLOOKUP($F19,Declarations!B$6:C$185,2,FALSE)," ")),VLOOKUP($F19,Declarations!B$6:C$185,2,FALSE),_xlfn.TEXTBEFORE(VLOOKUP($F19,Declarations!B$6:C$185,2,FALSE)," "))))</f>
        <v>KAI</v>
      </c>
      <c r="C19" s="79" t="str">
        <f>IF(ISNA(VLOOKUP($F19,Declarations!B$6:C$185,2,FALSE)),"",IF(VLOOKUP($F19,Declarations!B$6:C$185,2,FALSE)="","NOT DECLARED",IF(ISNA(_xlfn.TEXTAFTER(VLOOKUP($F19,Declarations!B$6:C$185,2,FALSE)," ")),VLOOKUP($F19,Declarations!B$6:C$185,2,FALSE),_xlfn.TEXTAFTER(VLOOKUP($F19,Declarations!B$6:C$185,2,FALSE)," "))))</f>
        <v>TEGG</v>
      </c>
      <c r="D19" s="79" t="str">
        <f>IF(ISNA(VLOOKUP($F19,Declarations!$B$6:$F$185,5,FALSE)),"",IF(VLOOKUP($F19,Declarations!$B$6:$F$185,5,FALSE)="","NOT DECLARED",VLOOKUP($F19,Declarations!$B$6:$F$185,5,FALSE)))</f>
        <v>Woking AC</v>
      </c>
      <c r="E19" s="112" t="str">
        <f>IF(ISNA(VLOOKUP($F19,Declarations!$B$6:$D$185,3,FALSE)),"",IF(VLOOKUP($F19,Declarations!$B$6:$D$185,3,FALSE)="","NOT DECLARED",VLOOKUP($F19,Declarations!$B$6:$D$185,3,FALSE)&amp;LEFT(VLOOKUP($F19,Declarations!$B$6:$E$185,4,FALSE))))</f>
        <v>U12B</v>
      </c>
      <c r="F19" s="20">
        <v>36</v>
      </c>
      <c r="G19" s="21">
        <v>31.26</v>
      </c>
      <c r="H19" s="281"/>
      <c r="I19" s="8" t="str">
        <f>IF(ISNA(VLOOKUP(F19,Declarations!B$6:C$185,2,FALSE)),"",IF(VLOOKUP(F19,Declarations!B$6:C$185,2,FALSE)="","NOT DECLARED",VLOOKUP(F19,Declarations!B$6:C$185,2,FALSE)))</f>
        <v>KAI TEGG</v>
      </c>
      <c r="J19" s="2">
        <f>IF(LOWER(LEFT(G19,1))="n",1,VLOOKUP(G19,ScoringTable!E$2:I$95,5))</f>
        <v>62</v>
      </c>
      <c r="K19" s="112" t="str">
        <f>IF(OR(E19="",G19=""),"",IF(RIGHT(E19,1)="G",_xlfn.XLOOKUP(G19,Data!$D$13:$L$13,Data!$D$9:$L$9,"",-1,1),_xlfn.XLOOKUP(G19,Data!$D$6:$L$6,Data!$D$2:$L$2,"",-1,1)))</f>
        <v>PB9</v>
      </c>
      <c r="L19" s="160" t="str" cm="1">
        <f t="array" ref="L19">IFERROR(_xlfn.IFNA(
                      _xlfn.IFS(
                      F19="", "",
                      AND(E19="U12B",G19&gt;=Data!$M$6), "U12 Boys record",
                      AND(E19="U12G",G19&gt;=Data!$M$13), "U12 Girls record"
                       ),""), "")</f>
        <v/>
      </c>
      <c r="M19" s="18" cm="1">
        <f t="array" ref="M19">_xlfn.IFS($G19="",0,AND(NOT(ISNUMBER($G19)),LOWER(LEFT($G19,1))&lt;&gt;"n"),"Not a valid distance",OR(LOWER(LEFT($G19,1))="n",$G19&lt;ScoringTable!$P$161),1,RIGHT($E19,1)="B",_xlfn.XLOOKUP($G19,ScoringTable!$P$2:$P$161,ScoringTable!$L$2:$L$161,,-1),TRUE,_xlfn.XLOOKUP($G19,ScoringTable!$V$2:$V$161,ScoringTable!$R$2:$R$161,,-1))</f>
        <v>106</v>
      </c>
    </row>
    <row r="20" spans="1:13" ht="16.05" customHeight="1">
      <c r="A20" s="80" t="s">
        <v>104</v>
      </c>
      <c r="B20" s="79" t="str">
        <f>IF(ISNA(VLOOKUP($F20,Declarations!B$6:C$185,2,FALSE)),"",IF(VLOOKUP($F20,Declarations!B$6:C$185,2,FALSE)="","NOT DECLARED",IF(ISNA(_xlfn.TEXTBEFORE(VLOOKUP($F20,Declarations!B$6:C$185,2,FALSE)," ")),VLOOKUP($F20,Declarations!B$6:C$185,2,FALSE),_xlfn.TEXTBEFORE(VLOOKUP($F20,Declarations!B$6:C$185,2,FALSE)," "))))</f>
        <v>ADAM</v>
      </c>
      <c r="C20" s="79" t="str">
        <f>IF(ISNA(VLOOKUP($F20,Declarations!B$6:C$185,2,FALSE)),"",IF(VLOOKUP($F20,Declarations!B$6:C$185,2,FALSE)="","NOT DECLARED",IF(ISNA(_xlfn.TEXTAFTER(VLOOKUP($F20,Declarations!B$6:C$185,2,FALSE)," ")),VLOOKUP($F20,Declarations!B$6:C$185,2,FALSE),_xlfn.TEXTAFTER(VLOOKUP($F20,Declarations!B$6:C$185,2,FALSE)," "))))</f>
        <v>PRICE</v>
      </c>
      <c r="D20" s="79" t="str">
        <f>IF(ISNA(VLOOKUP($F20,Declarations!$B$6:$F$185,5,FALSE)),"",IF(VLOOKUP($F20,Declarations!$B$6:$F$185,5,FALSE)="","NOT DECLARED",VLOOKUP($F20,Declarations!$B$6:$F$185,5,FALSE)))</f>
        <v>Woking AC</v>
      </c>
      <c r="E20" s="112" t="str">
        <f>IF(ISNA(VLOOKUP($F20,Declarations!$B$6:$D$185,3,FALSE)),"",IF(VLOOKUP($F20,Declarations!$B$6:$D$185,3,FALSE)="","NOT DECLARED",VLOOKUP($F20,Declarations!$B$6:$D$185,3,FALSE)&amp;LEFT(VLOOKUP($F20,Declarations!$B$6:$E$185,4,FALSE))))</f>
        <v>U12B</v>
      </c>
      <c r="F20" s="20">
        <v>37</v>
      </c>
      <c r="G20" s="21">
        <v>23.06</v>
      </c>
      <c r="H20" s="281"/>
      <c r="I20" s="8" t="str">
        <f>IF(ISNA(VLOOKUP(F20,Declarations!B$6:C$185,2,FALSE)),"",IF(VLOOKUP(F20,Declarations!B$6:C$185,2,FALSE)="","NOT DECLARED",VLOOKUP(F20,Declarations!B$6:C$185,2,FALSE)))</f>
        <v>ADAM PRICE</v>
      </c>
      <c r="J20" s="2">
        <f>IF(LOWER(LEFT(G20,1))="n",1,VLOOKUP(G20,ScoringTable!E$2:I$95,5))</f>
        <v>46</v>
      </c>
      <c r="K20" s="112" t="str">
        <f>IF(OR(E20="",G20=""),"",IF(RIGHT(E20,1)="G",_xlfn.XLOOKUP(G20,Data!$D$13:$L$13,Data!$D$9:$L$9,"",-1,1),_xlfn.XLOOKUP(G20,Data!$D$6:$L$6,Data!$D$2:$L$2,"",-1,1)))</f>
        <v>PB5</v>
      </c>
      <c r="L20" s="160" t="str" cm="1">
        <f t="array" ref="L20">IFERROR(_xlfn.IFNA(
                      _xlfn.IFS(
                      F20="", "",
                      AND(E20="U12B",G20&gt;=Data!$M$6), "U12 Boys record",
                      AND(E20="U12G",G20&gt;=Data!$M$13), "U12 Girls record"
                       ),""), "")</f>
        <v/>
      </c>
      <c r="M20" s="18" cm="1">
        <f t="array" ref="M20">_xlfn.IFS($G20="",0,AND(NOT(ISNUMBER($G20)),LOWER(LEFT($G20,1))&lt;&gt;"n"),"Not a valid distance",OR(LOWER(LEFT($G20,1))="n",$G20&lt;ScoringTable!$P$161),1,RIGHT($E20,1)="B",_xlfn.XLOOKUP($G20,ScoringTable!$P$2:$P$161,ScoringTable!$L$2:$L$161,,-1),TRUE,_xlfn.XLOOKUP($G20,ScoringTable!$V$2:$V$161,ScoringTable!$R$2:$R$161,,-1))</f>
        <v>65</v>
      </c>
    </row>
    <row r="21" spans="1:13" s="1" customFormat="1" ht="16.05" customHeight="1">
      <c r="A21" s="80" t="s">
        <v>104</v>
      </c>
      <c r="B21" s="79" t="str">
        <f>IF(ISNA(VLOOKUP($F21,Declarations!B$6:C$185,2,FALSE)),"",IF(VLOOKUP($F21,Declarations!B$6:C$185,2,FALSE)="","NOT DECLARED",IF(ISNA(_xlfn.TEXTBEFORE(VLOOKUP($F21,Declarations!B$6:C$185,2,FALSE)," ")),VLOOKUP($F21,Declarations!B$6:C$185,2,FALSE),_xlfn.TEXTBEFORE(VLOOKUP($F21,Declarations!B$6:C$185,2,FALSE)," "))))</f>
        <v>MATTHEW</v>
      </c>
      <c r="C21" s="79" t="str">
        <f>IF(ISNA(VLOOKUP($F21,Declarations!B$6:C$185,2,FALSE)),"",IF(VLOOKUP($F21,Declarations!B$6:C$185,2,FALSE)="","NOT DECLARED",IF(ISNA(_xlfn.TEXTAFTER(VLOOKUP($F21,Declarations!B$6:C$185,2,FALSE)," ")),VLOOKUP($F21,Declarations!B$6:C$185,2,FALSE),_xlfn.TEXTAFTER(VLOOKUP($F21,Declarations!B$6:C$185,2,FALSE)," "))))</f>
        <v>LEWIS</v>
      </c>
      <c r="D21" s="79" t="str">
        <f>IF(ISNA(VLOOKUP($F21,Declarations!$B$6:$F$185,5,FALSE)),"",IF(VLOOKUP($F21,Declarations!$B$6:$F$185,5,FALSE)="","NOT DECLARED",VLOOKUP($F21,Declarations!$B$6:$F$185,5,FALSE)))</f>
        <v>Woking AC</v>
      </c>
      <c r="E21" s="112" t="str">
        <f>IF(ISNA(VLOOKUP($F21,Declarations!$B$6:$D$185,3,FALSE)),"",IF(VLOOKUP($F21,Declarations!$B$6:$D$185,3,FALSE)="","NOT DECLARED",VLOOKUP($F21,Declarations!$B$6:$D$185,3,FALSE)&amp;LEFT(VLOOKUP($F21,Declarations!$B$6:$E$185,4,FALSE))))</f>
        <v>U12B</v>
      </c>
      <c r="F21" s="20">
        <v>38</v>
      </c>
      <c r="G21" s="21">
        <v>31.88</v>
      </c>
      <c r="H21" s="281"/>
      <c r="I21" s="8" t="str">
        <f>IF(ISNA(VLOOKUP(F21,Declarations!B$6:C$185,2,FALSE)),"",IF(VLOOKUP(F21,Declarations!B$6:C$185,2,FALSE)="","NOT DECLARED",VLOOKUP(F21,Declarations!B$6:C$185,2,FALSE)))</f>
        <v>MATTHEW LEWIS</v>
      </c>
      <c r="J21" s="2">
        <f>IF(LOWER(LEFT(G21,1))="n",1,VLOOKUP(G21,ScoringTable!E$2:I$95,5))</f>
        <v>63</v>
      </c>
      <c r="K21" s="112" t="str">
        <f>IF(OR(E21="",G21=""),"",IF(RIGHT(E21,1)="G",_xlfn.XLOOKUP(G21,Data!$D$13:$L$13,Data!$D$9:$L$9,"",-1,1),_xlfn.XLOOKUP(G21,Data!$D$6:$L$6,Data!$D$2:$L$2,"",-1,1)))</f>
        <v>PB9</v>
      </c>
      <c r="L21" s="160" t="str" cm="1">
        <f t="array" ref="L21">IFERROR(_xlfn.IFNA(
                      _xlfn.IFS(
                      F21="", "",
                      AND(E21="U12B",G21&gt;=Data!$M$6), "U12 Boys record",
                      AND(E21="U12G",G21&gt;=Data!$M$13), "U12 Girls record"
                       ),""), "")</f>
        <v/>
      </c>
      <c r="M21" s="18" cm="1">
        <f t="array" ref="M21">_xlfn.IFS($G21="",0,AND(NOT(ISNUMBER($G21)),LOWER(LEFT($G21,1))&lt;&gt;"n"),"Not a valid distance",OR(LOWER(LEFT($G21,1))="n",$G21&lt;ScoringTable!$P$161),1,RIGHT($E21,1)="B",_xlfn.XLOOKUP($G21,ScoringTable!$P$2:$P$161,ScoringTable!$L$2:$L$161,,-1),TRUE,_xlfn.XLOOKUP($G21,ScoringTable!$V$2:$V$161,ScoringTable!$R$2:$R$161,,-1))</f>
        <v>109</v>
      </c>
    </row>
    <row r="22" spans="1:13" s="1" customFormat="1" ht="16.05" customHeight="1">
      <c r="A22" s="80" t="s">
        <v>104</v>
      </c>
      <c r="B22" s="79" t="str">
        <f>IF(ISNA(VLOOKUP($F22,Declarations!B$6:C$185,2,FALSE)),"",IF(VLOOKUP($F22,Declarations!B$6:C$185,2,FALSE)="","NOT DECLARED",IF(ISNA(_xlfn.TEXTBEFORE(VLOOKUP($F22,Declarations!B$6:C$185,2,FALSE)," ")),VLOOKUP($F22,Declarations!B$6:C$185,2,FALSE),_xlfn.TEXTBEFORE(VLOOKUP($F22,Declarations!B$6:C$185,2,FALSE)," "))))</f>
        <v>FREDDIE</v>
      </c>
      <c r="C22" s="79" t="str">
        <f>IF(ISNA(VLOOKUP($F22,Declarations!B$6:C$185,2,FALSE)),"",IF(VLOOKUP($F22,Declarations!B$6:C$185,2,FALSE)="","NOT DECLARED",IF(ISNA(_xlfn.TEXTAFTER(VLOOKUP($F22,Declarations!B$6:C$185,2,FALSE)," ")),VLOOKUP($F22,Declarations!B$6:C$185,2,FALSE),_xlfn.TEXTAFTER(VLOOKUP($F22,Declarations!B$6:C$185,2,FALSE)," "))))</f>
        <v>SMITH</v>
      </c>
      <c r="D22" s="79" t="str">
        <f>IF(ISNA(VLOOKUP($F22,Declarations!$B$6:$F$185,5,FALSE)),"",IF(VLOOKUP($F22,Declarations!$B$6:$F$185,5,FALSE)="","NOT DECLARED",VLOOKUP($F22,Declarations!$B$6:$F$185,5,FALSE)))</f>
        <v>Woking AC</v>
      </c>
      <c r="E22" s="112" t="str">
        <f>IF(ISNA(VLOOKUP($F22,Declarations!$B$6:$D$185,3,FALSE)),"",IF(VLOOKUP($F22,Declarations!$B$6:$D$185,3,FALSE)="","NOT DECLARED",VLOOKUP($F22,Declarations!$B$6:$D$185,3,FALSE)&amp;LEFT(VLOOKUP($F22,Declarations!$B$6:$E$185,4,FALSE))))</f>
        <v>U12B</v>
      </c>
      <c r="F22" s="20">
        <v>39</v>
      </c>
      <c r="G22" s="21">
        <v>32.340000000000003</v>
      </c>
      <c r="H22" s="281"/>
      <c r="I22" s="8" t="str">
        <f>IF(ISNA(VLOOKUP(F22,Declarations!B$6:C$185,2,FALSE)),"",IF(VLOOKUP(F22,Declarations!B$6:C$185,2,FALSE)="","NOT DECLARED",VLOOKUP(F22,Declarations!B$6:C$185,2,FALSE)))</f>
        <v>FREDDIE SMITH</v>
      </c>
      <c r="J22" s="2">
        <f>IF(LOWER(LEFT(G22,1))="n",1,VLOOKUP(G22,ScoringTable!E$2:I$95,5))</f>
        <v>64</v>
      </c>
      <c r="K22" s="112" t="str">
        <f>IF(OR(E22="",G22=""),"",IF(RIGHT(E22,1)="G",_xlfn.XLOOKUP(G22,Data!$D$13:$L$13,Data!$D$9:$L$9,"",-1,1),_xlfn.XLOOKUP(G22,Data!$D$6:$L$6,Data!$D$2:$L$2,"",-1,1)))</f>
        <v>PB9</v>
      </c>
      <c r="L22" s="160" t="str" cm="1">
        <f t="array" ref="L22">IFERROR(_xlfn.IFNA(
                      _xlfn.IFS(
                      F22="", "",
                      AND(E22="U12B",G22&gt;=Data!$M$6), "U12 Boys record",
                      AND(E22="U12G",G22&gt;=Data!$M$13), "U12 Girls record"
                       ),""), "")</f>
        <v/>
      </c>
      <c r="M22" s="18" cm="1">
        <f t="array" ref="M22">_xlfn.IFS($G22="",0,AND(NOT(ISNUMBER($G22)),LOWER(LEFT($G22,1))&lt;&gt;"n"),"Not a valid distance",OR(LOWER(LEFT($G22,1))="n",$G22&lt;ScoringTable!$P$161),1,RIGHT($E22,1)="B",_xlfn.XLOOKUP($G22,ScoringTable!$P$2:$P$161,ScoringTable!$L$2:$L$161,,-1),TRUE,_xlfn.XLOOKUP($G22,ScoringTable!$V$2:$V$161,ScoringTable!$R$2:$R$161,,-1))</f>
        <v>111</v>
      </c>
    </row>
    <row r="23" spans="1:13" s="1" customFormat="1" ht="16.05" customHeight="1">
      <c r="A23" s="80" t="s">
        <v>104</v>
      </c>
      <c r="B23" s="79" t="str">
        <f>IF(ISNA(VLOOKUP($F23,Declarations!B$6:C$185,2,FALSE)),"",IF(VLOOKUP($F23,Declarations!B$6:C$185,2,FALSE)="","NOT DECLARED",IF(ISNA(_xlfn.TEXTBEFORE(VLOOKUP($F23,Declarations!B$6:C$185,2,FALSE)," ")),VLOOKUP($F23,Declarations!B$6:C$185,2,FALSE),_xlfn.TEXTBEFORE(VLOOKUP($F23,Declarations!B$6:C$185,2,FALSE)," "))))</f>
        <v>OWEN</v>
      </c>
      <c r="C23" s="79" t="str">
        <f>IF(ISNA(VLOOKUP($F23,Declarations!B$6:C$185,2,FALSE)),"",IF(VLOOKUP($F23,Declarations!B$6:C$185,2,FALSE)="","NOT DECLARED",IF(ISNA(_xlfn.TEXTAFTER(VLOOKUP($F23,Declarations!B$6:C$185,2,FALSE)," ")),VLOOKUP($F23,Declarations!B$6:C$185,2,FALSE),_xlfn.TEXTAFTER(VLOOKUP($F23,Declarations!B$6:C$185,2,FALSE)," "))))</f>
        <v>BRAYBOOKE</v>
      </c>
      <c r="D23" s="79" t="str">
        <f>IF(ISNA(VLOOKUP($F23,Declarations!$B$6:$F$185,5,FALSE)),"",IF(VLOOKUP($F23,Declarations!$B$6:$F$185,5,FALSE)="","NOT DECLARED",VLOOKUP($F23,Declarations!$B$6:$F$185,5,FALSE)))</f>
        <v>Woking AC</v>
      </c>
      <c r="E23" s="112" t="str">
        <f>IF(ISNA(VLOOKUP($F23,Declarations!$B$6:$D$185,3,FALSE)),"",IF(VLOOKUP($F23,Declarations!$B$6:$D$185,3,FALSE)="","NOT DECLARED",VLOOKUP($F23,Declarations!$B$6:$D$185,3,FALSE)&amp;LEFT(VLOOKUP($F23,Declarations!$B$6:$E$185,4,FALSE))))</f>
        <v>U12B</v>
      </c>
      <c r="F23" s="20">
        <v>40</v>
      </c>
      <c r="G23" s="21">
        <v>38.74</v>
      </c>
      <c r="H23" s="281"/>
      <c r="I23" s="8" t="str">
        <f>IF(ISNA(VLOOKUP(F23,Declarations!B$6:C$185,2,FALSE)),"",IF(VLOOKUP(F23,Declarations!B$6:C$185,2,FALSE)="","NOT DECLARED",VLOOKUP(F23,Declarations!B$6:C$185,2,FALSE)))</f>
        <v>OWEN BRAYBOOKE</v>
      </c>
      <c r="J23" s="2">
        <f>IF(LOWER(LEFT(G23,1))="n",1,VLOOKUP(G23,ScoringTable!E$2:I$95,5))</f>
        <v>77</v>
      </c>
      <c r="K23" s="112" t="str">
        <f>IF(OR(E23="",G23=""),"",IF(RIGHT(E23,1)="G",_xlfn.XLOOKUP(G23,Data!$D$13:$L$13,Data!$D$9:$L$9,"",-1,1),_xlfn.XLOOKUP(G23,Data!$D$6:$L$6,Data!$D$2:$L$2,"",-1,1)))</f>
        <v>PB9</v>
      </c>
      <c r="L23" s="160" t="str" cm="1">
        <f t="array" ref="L23">IFERROR(_xlfn.IFNA(
                      _xlfn.IFS(
                      F23="", "",
                      AND(E23="U12B",G23&gt;=Data!$M$6), "U12 Boys record",
                      AND(E23="U12G",G23&gt;=Data!$M$13), "U12 Girls record"
                       ),""), "")</f>
        <v/>
      </c>
      <c r="M23" s="18" cm="1">
        <f t="array" ref="M23">_xlfn.IFS($G23="",0,AND(NOT(ISNUMBER($G23)),LOWER(LEFT($G23,1))&lt;&gt;"n"),"Not a valid distance",OR(LOWER(LEFT($G23,1))="n",$G23&lt;ScoringTable!$P$161),1,RIGHT($E23,1)="B",_xlfn.XLOOKUP($G23,ScoringTable!$P$2:$P$161,ScoringTable!$L$2:$L$161,,-1),TRUE,_xlfn.XLOOKUP($G23,ScoringTable!$V$2:$V$161,ScoringTable!$R$2:$R$161,,-1))</f>
        <v>129</v>
      </c>
    </row>
    <row r="24" spans="1:13" ht="16.05" customHeight="1">
      <c r="A24" s="80" t="s">
        <v>104</v>
      </c>
      <c r="B24" s="79" t="str">
        <f>IF(ISNA(VLOOKUP($F24,Declarations!B$6:C$185,2,FALSE)),"",IF(VLOOKUP($F24,Declarations!B$6:C$185,2,FALSE)="","NOT DECLARED",IF(ISNA(_xlfn.TEXTBEFORE(VLOOKUP($F24,Declarations!B$6:C$185,2,FALSE)," ")),VLOOKUP($F24,Declarations!B$6:C$185,2,FALSE),_xlfn.TEXTBEFORE(VLOOKUP($F24,Declarations!B$6:C$185,2,FALSE)," "))))</f>
        <v>OSCAR</v>
      </c>
      <c r="C24" s="79" t="str">
        <f>IF(ISNA(VLOOKUP($F24,Declarations!B$6:C$185,2,FALSE)),"",IF(VLOOKUP($F24,Declarations!B$6:C$185,2,FALSE)="","NOT DECLARED",IF(ISNA(_xlfn.TEXTAFTER(VLOOKUP($F24,Declarations!B$6:C$185,2,FALSE)," ")),VLOOKUP($F24,Declarations!B$6:C$185,2,FALSE),_xlfn.TEXTAFTER(VLOOKUP($F24,Declarations!B$6:C$185,2,FALSE)," "))))</f>
        <v>CARTWRIGHT</v>
      </c>
      <c r="D24" s="79" t="str">
        <f>IF(ISNA(VLOOKUP($F24,Declarations!$B$6:$F$185,5,FALSE)),"",IF(VLOOKUP($F24,Declarations!$B$6:$F$185,5,FALSE)="","NOT DECLARED",VLOOKUP($F24,Declarations!$B$6:$F$185,5,FALSE)))</f>
        <v>Poole Runners</v>
      </c>
      <c r="E24" s="112" t="str">
        <f>IF(ISNA(VLOOKUP($F24,Declarations!$B$6:$D$185,3,FALSE)),"",IF(VLOOKUP($F24,Declarations!$B$6:$D$185,3,FALSE)="","NOT DECLARED",VLOOKUP($F24,Declarations!$B$6:$D$185,3,FALSE)&amp;LEFT(VLOOKUP($F24,Declarations!$B$6:$E$185,4,FALSE))))</f>
        <v>U12B</v>
      </c>
      <c r="F24" s="20">
        <v>51</v>
      </c>
      <c r="G24" s="21">
        <v>28.67</v>
      </c>
      <c r="H24" s="281"/>
      <c r="I24" s="8" t="str">
        <f>IF(ISNA(VLOOKUP(F24,Declarations!B$6:C$185,2,FALSE)),"",IF(VLOOKUP(F24,Declarations!B$6:C$185,2,FALSE)="","NOT DECLARED",VLOOKUP(F24,Declarations!B$6:C$185,2,FALSE)))</f>
        <v>OSCAR CARTWRIGHT</v>
      </c>
      <c r="J24" s="2">
        <f>IF(LOWER(LEFT(G24,1))="n",1,VLOOKUP(G24,ScoringTable!E$2:I$95,5))</f>
        <v>57</v>
      </c>
      <c r="K24" s="112" t="str">
        <f>IF(OR(E24="",G24=""),"",IF(RIGHT(E24,1)="G",_xlfn.XLOOKUP(G24,Data!$D$13:$L$13,Data!$D$9:$L$9,"",-1,1),_xlfn.XLOOKUP(G24,Data!$D$6:$L$6,Data!$D$2:$L$2,"",-1,1)))</f>
        <v>PB8</v>
      </c>
      <c r="L24" s="160" t="str" cm="1">
        <f t="array" ref="L24">IFERROR(_xlfn.IFNA(
                      _xlfn.IFS(
                      F24="", "",
                      AND(E24="U12B",G24&gt;=Data!$M$6), "U12 Boys record",
                      AND(E24="U12G",G24&gt;=Data!$M$13), "U12 Girls record"
                       ),""), "")</f>
        <v/>
      </c>
      <c r="M24" s="18" cm="1">
        <f t="array" ref="M24">_xlfn.IFS($G24="",0,AND(NOT(ISNUMBER($G24)),LOWER(LEFT($G24,1))&lt;&gt;"n"),"Not a valid distance",OR(LOWER(LEFT($G24,1))="n",$G24&lt;ScoringTable!$P$161),1,RIGHT($E24,1)="B",_xlfn.XLOOKUP($G24,ScoringTable!$P$2:$P$161,ScoringTable!$L$2:$L$161,,-1),TRUE,_xlfn.XLOOKUP($G24,ScoringTable!$V$2:$V$161,ScoringTable!$R$2:$R$161,,-1))</f>
        <v>93</v>
      </c>
    </row>
    <row r="25" spans="1:13" ht="16.05" customHeight="1">
      <c r="A25" s="80" t="s">
        <v>104</v>
      </c>
      <c r="B25" s="79" t="str">
        <f>IF(ISNA(VLOOKUP($F25,Declarations!B$6:C$185,2,FALSE)),"",IF(VLOOKUP($F25,Declarations!B$6:C$185,2,FALSE)="","NOT DECLARED",IF(ISNA(_xlfn.TEXTBEFORE(VLOOKUP($F25,Declarations!B$6:C$185,2,FALSE)," ")),VLOOKUP($F25,Declarations!B$6:C$185,2,FALSE),_xlfn.TEXTBEFORE(VLOOKUP($F25,Declarations!B$6:C$185,2,FALSE)," "))))</f>
        <v>MARLOWE</v>
      </c>
      <c r="C25" s="79" t="str">
        <f>IF(ISNA(VLOOKUP($F25,Declarations!B$6:C$185,2,FALSE)),"",IF(VLOOKUP($F25,Declarations!B$6:C$185,2,FALSE)="","NOT DECLARED",IF(ISNA(_xlfn.TEXTAFTER(VLOOKUP($F25,Declarations!B$6:C$185,2,FALSE)," ")),VLOOKUP($F25,Declarations!B$6:C$185,2,FALSE),_xlfn.TEXTAFTER(VLOOKUP($F25,Declarations!B$6:C$185,2,FALSE)," "))))</f>
        <v>PEACH</v>
      </c>
      <c r="D25" s="79" t="str">
        <f>IF(ISNA(VLOOKUP($F25,Declarations!$B$6:$F$185,5,FALSE)),"",IF(VLOOKUP($F25,Declarations!$B$6:$F$185,5,FALSE)="","NOT DECLARED",VLOOKUP($F25,Declarations!$B$6:$F$185,5,FALSE)))</f>
        <v>Poole Runners</v>
      </c>
      <c r="E25" s="112" t="str">
        <f>IF(ISNA(VLOOKUP($F25,Declarations!$B$6:$D$185,3,FALSE)),"",IF(VLOOKUP($F25,Declarations!$B$6:$D$185,3,FALSE)="","NOT DECLARED",VLOOKUP($F25,Declarations!$B$6:$D$185,3,FALSE)&amp;LEFT(VLOOKUP($F25,Declarations!$B$6:$E$185,4,FALSE))))</f>
        <v>U12B</v>
      </c>
      <c r="F25" s="20">
        <v>52</v>
      </c>
      <c r="G25" s="21">
        <v>11.36</v>
      </c>
      <c r="H25" s="281"/>
      <c r="I25" s="8" t="str">
        <f>IF(ISNA(VLOOKUP(F25,Declarations!B$6:C$185,2,FALSE)),"",IF(VLOOKUP(F25,Declarations!B$6:C$185,2,FALSE)="","NOT DECLARED",VLOOKUP(F25,Declarations!B$6:C$185,2,FALSE)))</f>
        <v>MARLOWE PEACH</v>
      </c>
      <c r="J25" s="2">
        <f>IF(LOWER(LEFT(G25,1))="n",1,VLOOKUP(G25,ScoringTable!E$2:I$95,5))</f>
        <v>22</v>
      </c>
      <c r="K25" s="112" t="str">
        <f>IF(OR(E25="",G25=""),"",IF(RIGHT(E25,1)="G",_xlfn.XLOOKUP(G25,Data!$D$13:$L$13,Data!$D$9:$L$9,"",-1,1),_xlfn.XLOOKUP(G25,Data!$D$6:$L$6,Data!$D$2:$L$2,"",-1,1)))</f>
        <v/>
      </c>
      <c r="L25" s="160" t="str" cm="1">
        <f t="array" ref="L25">IFERROR(_xlfn.IFNA(
                      _xlfn.IFS(
                      F25="", "",
                      AND(E25="U12B",G25&gt;=Data!$M$6), "U12 Boys record",
                      AND(E25="U12G",G25&gt;=Data!$M$13), "U12 Girls record"
                       ),""), "")</f>
        <v/>
      </c>
      <c r="M25" s="18" cm="1">
        <f t="array" ref="M25">_xlfn.IFS($G25="",0,AND(NOT(ISNUMBER($G25)),LOWER(LEFT($G25,1))&lt;&gt;"n"),"Not a valid distance",OR(LOWER(LEFT($G25,1))="n",$G25&lt;ScoringTable!$P$161),1,RIGHT($E25,1)="B",_xlfn.XLOOKUP($G25,ScoringTable!$P$2:$P$161,ScoringTable!$L$2:$L$161,,-1),TRUE,_xlfn.XLOOKUP($G25,ScoringTable!$V$2:$V$161,ScoringTable!$R$2:$R$161,,-1))</f>
        <v>14</v>
      </c>
    </row>
    <row r="26" spans="1:13" ht="16.05" customHeight="1">
      <c r="A26" s="80" t="s">
        <v>104</v>
      </c>
      <c r="B26" s="79" t="str">
        <f>IF(ISNA(VLOOKUP($F26,Declarations!B$6:C$185,2,FALSE)),"",IF(VLOOKUP($F26,Declarations!B$6:C$185,2,FALSE)="","NOT DECLARED",IF(ISNA(_xlfn.TEXTBEFORE(VLOOKUP($F26,Declarations!B$6:C$185,2,FALSE)," ")),VLOOKUP($F26,Declarations!B$6:C$185,2,FALSE),_xlfn.TEXTBEFORE(VLOOKUP($F26,Declarations!B$6:C$185,2,FALSE)," "))))</f>
        <v>OAKLEY</v>
      </c>
      <c r="C26" s="79" t="str">
        <f>IF(ISNA(VLOOKUP($F26,Declarations!B$6:C$185,2,FALSE)),"",IF(VLOOKUP($F26,Declarations!B$6:C$185,2,FALSE)="","NOT DECLARED",IF(ISNA(_xlfn.TEXTAFTER(VLOOKUP($F26,Declarations!B$6:C$185,2,FALSE)," ")),VLOOKUP($F26,Declarations!B$6:C$185,2,FALSE),_xlfn.TEXTAFTER(VLOOKUP($F26,Declarations!B$6:C$185,2,FALSE)," "))))</f>
        <v>SHEAN-STEVENS</v>
      </c>
      <c r="D26" s="79" t="str">
        <f>IF(ISNA(VLOOKUP($F26,Declarations!$B$6:$F$185,5,FALSE)),"",IF(VLOOKUP($F26,Declarations!$B$6:$F$185,5,FALSE)="","NOT DECLARED",VLOOKUP($F26,Declarations!$B$6:$F$185,5,FALSE)))</f>
        <v>Poole Runners</v>
      </c>
      <c r="E26" s="112" t="str">
        <f>IF(ISNA(VLOOKUP($F26,Declarations!$B$6:$D$185,3,FALSE)),"",IF(VLOOKUP($F26,Declarations!$B$6:$D$185,3,FALSE)="","NOT DECLARED",VLOOKUP($F26,Declarations!$B$6:$D$185,3,FALSE)&amp;LEFT(VLOOKUP($F26,Declarations!$B$6:$E$185,4,FALSE))))</f>
        <v>U12B</v>
      </c>
      <c r="F26" s="20">
        <v>53</v>
      </c>
      <c r="G26" s="21">
        <v>20.63</v>
      </c>
      <c r="H26" s="281"/>
      <c r="I26" s="8" t="str">
        <f>IF(ISNA(VLOOKUP(F26,Declarations!B$6:C$185,2,FALSE)),"",IF(VLOOKUP(F26,Declarations!B$6:C$185,2,FALSE)="","NOT DECLARED",VLOOKUP(F26,Declarations!B$6:C$185,2,FALSE)))</f>
        <v>OAKLEY SHEAN-STEVENS</v>
      </c>
      <c r="J26" s="2">
        <f>IF(LOWER(LEFT(G26,1))="n",1,VLOOKUP(G26,ScoringTable!E$2:I$95,5))</f>
        <v>41</v>
      </c>
      <c r="K26" s="112" t="str">
        <f>IF(OR(E26="",G26=""),"",IF(RIGHT(E26,1)="G",_xlfn.XLOOKUP(G26,Data!$D$13:$L$13,Data!$D$9:$L$9,"",-1,1),_xlfn.XLOOKUP(G26,Data!$D$6:$L$6,Data!$D$2:$L$2,"",-1,1)))</f>
        <v>PB4</v>
      </c>
      <c r="L26" s="160" t="str" cm="1">
        <f t="array" ref="L26">IFERROR(_xlfn.IFNA(
                      _xlfn.IFS(
                      F26="", "",
                      AND(E26="U12B",G26&gt;=Data!$M$6), "U12 Boys record",
                      AND(E26="U12G",G26&gt;=Data!$M$13), "U12 Girls record"
                       ),""), "")</f>
        <v/>
      </c>
      <c r="M26" s="18" cm="1">
        <f t="array" ref="M26">_xlfn.IFS($G26="",0,AND(NOT(ISNUMBER($G26)),LOWER(LEFT($G26,1))&lt;&gt;"n"),"Not a valid distance",OR(LOWER(LEFT($G26,1))="n",$G26&lt;ScoringTable!$P$161),1,RIGHT($E26,1)="B",_xlfn.XLOOKUP($G26,ScoringTable!$P$2:$P$161,ScoringTable!$L$2:$L$161,,-1),TRUE,_xlfn.XLOOKUP($G26,ScoringTable!$V$2:$V$161,ScoringTable!$R$2:$R$161,,-1))</f>
        <v>53</v>
      </c>
    </row>
    <row r="27" spans="1:13" ht="16.05" customHeight="1">
      <c r="A27" s="80" t="s">
        <v>104</v>
      </c>
      <c r="B27" s="79" t="str">
        <f>IF(ISNA(VLOOKUP($F27,Declarations!B$6:C$185,2,FALSE)),"",IF(VLOOKUP($F27,Declarations!B$6:C$185,2,FALSE)="","NOT DECLARED",IF(ISNA(_xlfn.TEXTBEFORE(VLOOKUP($F27,Declarations!B$6:C$185,2,FALSE)," ")),VLOOKUP($F27,Declarations!B$6:C$185,2,FALSE),_xlfn.TEXTBEFORE(VLOOKUP($F27,Declarations!B$6:C$185,2,FALSE)," "))))</f>
        <v>FERGUS</v>
      </c>
      <c r="C27" s="79" t="str">
        <f>IF(ISNA(VLOOKUP($F27,Declarations!B$6:C$185,2,FALSE)),"",IF(VLOOKUP($F27,Declarations!B$6:C$185,2,FALSE)="","NOT DECLARED",IF(ISNA(_xlfn.TEXTAFTER(VLOOKUP($F27,Declarations!B$6:C$185,2,FALSE)," ")),VLOOKUP($F27,Declarations!B$6:C$185,2,FALSE),_xlfn.TEXTAFTER(VLOOKUP($F27,Declarations!B$6:C$185,2,FALSE)," "))))</f>
        <v>STANNING</v>
      </c>
      <c r="D27" s="79" t="str">
        <f>IF(ISNA(VLOOKUP($F27,Declarations!$B$6:$F$185,5,FALSE)),"",IF(VLOOKUP($F27,Declarations!$B$6:$F$185,5,FALSE)="","NOT DECLARED",VLOOKUP($F27,Declarations!$B$6:$F$185,5,FALSE)))</f>
        <v>Poole Runners</v>
      </c>
      <c r="E27" s="112" t="str">
        <f>IF(ISNA(VLOOKUP($F27,Declarations!$B$6:$D$185,3,FALSE)),"",IF(VLOOKUP($F27,Declarations!$B$6:$D$185,3,FALSE)="","NOT DECLARED",VLOOKUP($F27,Declarations!$B$6:$D$185,3,FALSE)&amp;LEFT(VLOOKUP($F27,Declarations!$B$6:$E$185,4,FALSE))))</f>
        <v>U12B</v>
      </c>
      <c r="F27" s="20">
        <v>54</v>
      </c>
      <c r="G27" s="21">
        <v>25.15</v>
      </c>
      <c r="H27" s="281"/>
      <c r="I27" s="8" t="str">
        <f>IF(ISNA(VLOOKUP(F27,Declarations!B$6:C$185,2,FALSE)),"",IF(VLOOKUP(F27,Declarations!B$6:C$185,2,FALSE)="","NOT DECLARED",VLOOKUP(F27,Declarations!B$6:C$185,2,FALSE)))</f>
        <v>FERGUS STANNING</v>
      </c>
      <c r="J27" s="2">
        <f>IF(LOWER(LEFT(G27,1))="n",1,VLOOKUP(G27,ScoringTable!E$2:I$95,5))</f>
        <v>50</v>
      </c>
      <c r="K27" s="112" t="str">
        <f>IF(OR(E27="",G27=""),"",IF(RIGHT(E27,1)="G",_xlfn.XLOOKUP(G27,Data!$D$13:$L$13,Data!$D$9:$L$9,"",-1,1),_xlfn.XLOOKUP(G27,Data!$D$6:$L$6,Data!$D$2:$L$2,"",-1,1)))</f>
        <v>PB6</v>
      </c>
      <c r="L27" s="160" t="str" cm="1">
        <f t="array" ref="L27">IFERROR(_xlfn.IFNA(
                      _xlfn.IFS(
                      F27="", "",
                      AND(E27="U12B",G27&gt;=Data!$M$6), "U12 Boys record",
                      AND(E27="U12G",G27&gt;=Data!$M$13), "U12 Girls record"
                       ),""), "")</f>
        <v/>
      </c>
      <c r="M27" s="18" cm="1">
        <f t="array" ref="M27">_xlfn.IFS($G27="",0,AND(NOT(ISNUMBER($G27)),LOWER(LEFT($G27,1))&lt;&gt;"n"),"Not a valid distance",OR(LOWER(LEFT($G27,1))="n",$G27&lt;ScoringTable!$P$161),1,RIGHT($E27,1)="B",_xlfn.XLOOKUP($G27,ScoringTable!$P$2:$P$161,ScoringTable!$L$2:$L$161,,-1),TRUE,_xlfn.XLOOKUP($G27,ScoringTable!$V$2:$V$161,ScoringTable!$R$2:$R$161,,-1))</f>
        <v>75</v>
      </c>
    </row>
    <row r="28" spans="1:13" ht="16.05" customHeight="1">
      <c r="A28" s="80" t="s">
        <v>104</v>
      </c>
      <c r="B28" s="79" t="str">
        <f>IF(ISNA(VLOOKUP($F28,Declarations!B$6:C$185,2,FALSE)),"",IF(VLOOKUP($F28,Declarations!B$6:C$185,2,FALSE)="","NOT DECLARED",IF(ISNA(_xlfn.TEXTBEFORE(VLOOKUP($F28,Declarations!B$6:C$185,2,FALSE)," ")),VLOOKUP($F28,Declarations!B$6:C$185,2,FALSE),_xlfn.TEXTBEFORE(VLOOKUP($F28,Declarations!B$6:C$185,2,FALSE)," "))))</f>
        <v>BERTIE</v>
      </c>
      <c r="C28" s="79" t="str">
        <f>IF(ISNA(VLOOKUP($F28,Declarations!B$6:C$185,2,FALSE)),"",IF(VLOOKUP($F28,Declarations!B$6:C$185,2,FALSE)="","NOT DECLARED",IF(ISNA(_xlfn.TEXTAFTER(VLOOKUP($F28,Declarations!B$6:C$185,2,FALSE)," ")),VLOOKUP($F28,Declarations!B$6:C$185,2,FALSE),_xlfn.TEXTAFTER(VLOOKUP($F28,Declarations!B$6:C$185,2,FALSE)," "))))</f>
        <v>LEIGH</v>
      </c>
      <c r="D28" s="79" t="str">
        <f>IF(ISNA(VLOOKUP($F28,Declarations!$B$6:$F$185,5,FALSE)),"",IF(VLOOKUP($F28,Declarations!$B$6:$F$185,5,FALSE)="","NOT DECLARED",VLOOKUP($F28,Declarations!$B$6:$F$185,5,FALSE)))</f>
        <v>Poole Runners</v>
      </c>
      <c r="E28" s="112" t="str">
        <f>IF(ISNA(VLOOKUP($F28,Declarations!$B$6:$D$185,3,FALSE)),"",IF(VLOOKUP($F28,Declarations!$B$6:$D$185,3,FALSE)="","NOT DECLARED",VLOOKUP($F28,Declarations!$B$6:$D$185,3,FALSE)&amp;LEFT(VLOOKUP($F28,Declarations!$B$6:$E$185,4,FALSE))))</f>
        <v>U12B</v>
      </c>
      <c r="F28" s="20">
        <v>55</v>
      </c>
      <c r="G28" s="21">
        <v>24.11</v>
      </c>
      <c r="H28" s="281"/>
      <c r="I28" s="8" t="str">
        <f>IF(ISNA(VLOOKUP(F28,Declarations!B$6:C$185,2,FALSE)),"",IF(VLOOKUP(F28,Declarations!B$6:C$185,2,FALSE)="","NOT DECLARED",VLOOKUP(F28,Declarations!B$6:C$185,2,FALSE)))</f>
        <v>BERTIE LEIGH</v>
      </c>
      <c r="J28" s="2">
        <f>IF(LOWER(LEFT(G28,1))="n",1,VLOOKUP(G28,ScoringTable!E$2:I$95,5))</f>
        <v>48</v>
      </c>
      <c r="K28" s="112" t="str">
        <f>IF(OR(E28="",G28=""),"",IF(RIGHT(E28,1)="G",_xlfn.XLOOKUP(G28,Data!$D$13:$L$13,Data!$D$9:$L$9,"",-1,1),_xlfn.XLOOKUP(G28,Data!$D$6:$L$6,Data!$D$2:$L$2,"",-1,1)))</f>
        <v>PB6</v>
      </c>
      <c r="L28" s="160" t="str" cm="1">
        <f t="array" ref="L28">IFERROR(_xlfn.IFNA(
                      _xlfn.IFS(
                      F28="", "",
                      AND(E28="U12B",G28&gt;=Data!$M$6), "U12 Boys record",
                      AND(E28="U12G",G28&gt;=Data!$M$13), "U12 Girls record"
                       ),""), "")</f>
        <v/>
      </c>
      <c r="M28" s="18" cm="1">
        <f t="array" ref="M28">_xlfn.IFS($G28="",0,AND(NOT(ISNUMBER($G28)),LOWER(LEFT($G28,1))&lt;&gt;"n"),"Not a valid distance",OR(LOWER(LEFT($G28,1))="n",$G28&lt;ScoringTable!$P$161),1,RIGHT($E28,1)="B",_xlfn.XLOOKUP($G28,ScoringTable!$P$2:$P$161,ScoringTable!$L$2:$L$161,,-1),TRUE,_xlfn.XLOOKUP($G28,ScoringTable!$V$2:$V$161,ScoringTable!$R$2:$R$161,,-1))</f>
        <v>70</v>
      </c>
    </row>
    <row r="29" spans="1:13" ht="16.05" customHeight="1">
      <c r="A29" s="80" t="s">
        <v>104</v>
      </c>
      <c r="B29" s="79" t="str">
        <f>IF(ISNA(VLOOKUP($F29,Declarations!B$6:C$185,2,FALSE)),"",IF(VLOOKUP($F29,Declarations!B$6:C$185,2,FALSE)="","NOT DECLARED",IF(ISNA(_xlfn.TEXTBEFORE(VLOOKUP($F29,Declarations!B$6:C$185,2,FALSE)," ")),VLOOKUP($F29,Declarations!B$6:C$185,2,FALSE),_xlfn.TEXTBEFORE(VLOOKUP($F29,Declarations!B$6:C$185,2,FALSE)," "))))</f>
        <v>LEO</v>
      </c>
      <c r="C29" s="79" t="str">
        <f>IF(ISNA(VLOOKUP($F29,Declarations!B$6:C$185,2,FALSE)),"",IF(VLOOKUP($F29,Declarations!B$6:C$185,2,FALSE)="","NOT DECLARED",IF(ISNA(_xlfn.TEXTAFTER(VLOOKUP($F29,Declarations!B$6:C$185,2,FALSE)," ")),VLOOKUP($F29,Declarations!B$6:C$185,2,FALSE),_xlfn.TEXTAFTER(VLOOKUP($F29,Declarations!B$6:C$185,2,FALSE)," "))))</f>
        <v>AMEY</v>
      </c>
      <c r="D29" s="79" t="str">
        <f>IF(ISNA(VLOOKUP($F29,Declarations!$B$6:$F$185,5,FALSE)),"",IF(VLOOKUP($F29,Declarations!$B$6:$F$185,5,FALSE)="","NOT DECLARED",VLOOKUP($F29,Declarations!$B$6:$F$185,5,FALSE)))</f>
        <v>Poole Runners</v>
      </c>
      <c r="E29" s="112" t="str">
        <f>IF(ISNA(VLOOKUP($F29,Declarations!$B$6:$D$185,3,FALSE)),"",IF(VLOOKUP($F29,Declarations!$B$6:$D$185,3,FALSE)="","NOT DECLARED",VLOOKUP($F29,Declarations!$B$6:$D$185,3,FALSE)&amp;LEFT(VLOOKUP($F29,Declarations!$B$6:$E$185,4,FALSE))))</f>
        <v>U12B</v>
      </c>
      <c r="F29" s="20">
        <v>56</v>
      </c>
      <c r="G29" s="21">
        <v>33.67</v>
      </c>
      <c r="H29" s="281"/>
      <c r="I29" s="8" t="str">
        <f>IF(ISNA(VLOOKUP(F29,Declarations!B$6:C$185,2,FALSE)),"",IF(VLOOKUP(F29,Declarations!B$6:C$185,2,FALSE)="","NOT DECLARED",VLOOKUP(F29,Declarations!B$6:C$185,2,FALSE)))</f>
        <v>LEO AMEY</v>
      </c>
      <c r="J29" s="2">
        <f>IF(LOWER(LEFT(G29,1))="n",1,VLOOKUP(G29,ScoringTable!E$2:I$95,5))</f>
        <v>67</v>
      </c>
      <c r="K29" s="112" t="str">
        <f>IF(OR(E29="",G29=""),"",IF(RIGHT(E29,1)="G",_xlfn.XLOOKUP(G29,Data!$D$13:$L$13,Data!$D$9:$L$9,"",-1,1),_xlfn.XLOOKUP(G29,Data!$D$6:$L$6,Data!$D$2:$L$2,"",-1,1)))</f>
        <v>PB9</v>
      </c>
      <c r="L29" s="160" t="str" cm="1">
        <f t="array" ref="L29">IFERROR(_xlfn.IFNA(
                      _xlfn.IFS(
                      F29="", "",
                      AND(E29="U12B",G29&gt;=Data!$M$6), "U12 Boys record",
                      AND(E29="U12G",G29&gt;=Data!$M$13), "U12 Girls record"
                       ),""), "")</f>
        <v/>
      </c>
      <c r="M29" s="18" cm="1">
        <f t="array" ref="M29">_xlfn.IFS($G29="",0,AND(NOT(ISNUMBER($G29)),LOWER(LEFT($G29,1))&lt;&gt;"n"),"Not a valid distance",OR(LOWER(LEFT($G29,1))="n",$G29&lt;ScoringTable!$P$161),1,RIGHT($E29,1)="B",_xlfn.XLOOKUP($G29,ScoringTable!$P$2:$P$161,ScoringTable!$L$2:$L$161,,-1),TRUE,_xlfn.XLOOKUP($G29,ScoringTable!$V$2:$V$161,ScoringTable!$R$2:$R$161,,-1))</f>
        <v>118</v>
      </c>
    </row>
    <row r="30" spans="1:13" ht="16.05" customHeight="1">
      <c r="A30" s="80" t="s">
        <v>104</v>
      </c>
      <c r="B30" s="79" t="str">
        <f>IF(ISNA(VLOOKUP($F30,Declarations!B$6:C$185,2,FALSE)),"",IF(VLOOKUP($F30,Declarations!B$6:C$185,2,FALSE)="","NOT DECLARED",IF(ISNA(_xlfn.TEXTBEFORE(VLOOKUP($F30,Declarations!B$6:C$185,2,FALSE)," ")),VLOOKUP($F30,Declarations!B$6:C$185,2,FALSE),_xlfn.TEXTBEFORE(VLOOKUP($F30,Declarations!B$6:C$185,2,FALSE)," "))))</f>
        <v>SAM</v>
      </c>
      <c r="C30" s="79" t="str">
        <f>IF(ISNA(VLOOKUP($F30,Declarations!B$6:C$185,2,FALSE)),"",IF(VLOOKUP($F30,Declarations!B$6:C$185,2,FALSE)="","NOT DECLARED",IF(ISNA(_xlfn.TEXTAFTER(VLOOKUP($F30,Declarations!B$6:C$185,2,FALSE)," ")),VLOOKUP($F30,Declarations!B$6:C$185,2,FALSE),_xlfn.TEXTAFTER(VLOOKUP($F30,Declarations!B$6:C$185,2,FALSE)," "))))</f>
        <v>SUCKLING</v>
      </c>
      <c r="D30" s="79" t="str">
        <f>IF(ISNA(VLOOKUP($F30,Declarations!$B$6:$F$185,5,FALSE)),"",IF(VLOOKUP($F30,Declarations!$B$6:$F$185,5,FALSE)="","NOT DECLARED",VLOOKUP($F30,Declarations!$B$6:$F$185,5,FALSE)))</f>
        <v>Poole Runners</v>
      </c>
      <c r="E30" s="112" t="str">
        <f>IF(ISNA(VLOOKUP($F30,Declarations!$B$6:$D$185,3,FALSE)),"",IF(VLOOKUP($F30,Declarations!$B$6:$D$185,3,FALSE)="","NOT DECLARED",VLOOKUP($F30,Declarations!$B$6:$D$185,3,FALSE)&amp;LEFT(VLOOKUP($F30,Declarations!$B$6:$E$185,4,FALSE))))</f>
        <v>U12B</v>
      </c>
      <c r="F30" s="20">
        <v>57</v>
      </c>
      <c r="G30" s="21">
        <v>18.059999999999999</v>
      </c>
      <c r="H30" s="281"/>
      <c r="I30" s="8" t="str">
        <f>IF(ISNA(VLOOKUP(F30,Declarations!B$6:C$185,2,FALSE)),"",IF(VLOOKUP(F30,Declarations!B$6:C$185,2,FALSE)="","NOT DECLARED",VLOOKUP(F30,Declarations!B$6:C$185,2,FALSE)))</f>
        <v>SAM SUCKLING</v>
      </c>
      <c r="J30" s="2">
        <f>IF(LOWER(LEFT(G30,1))="n",1,VLOOKUP(G30,ScoringTable!E$2:I$95,5))</f>
        <v>36</v>
      </c>
      <c r="K30" s="112" t="str">
        <f>IF(OR(E30="",G30=""),"",IF(RIGHT(E30,1)="G",_xlfn.XLOOKUP(G30,Data!$D$13:$L$13,Data!$D$9:$L$9,"",-1,1),_xlfn.XLOOKUP(G30,Data!$D$6:$L$6,Data!$D$2:$L$2,"",-1,1)))</f>
        <v>PB3</v>
      </c>
      <c r="L30" s="160" t="str" cm="1">
        <f t="array" ref="L30">IFERROR(_xlfn.IFNA(
                      _xlfn.IFS(
                      F30="", "",
                      AND(E30="U12B",G30&gt;=Data!$M$6), "U12 Boys record",
                      AND(E30="U12G",G30&gt;=Data!$M$13), "U12 Girls record"
                       ),""), "")</f>
        <v/>
      </c>
      <c r="M30" s="18" cm="1">
        <f t="array" ref="M30">_xlfn.IFS($G30="",0,AND(NOT(ISNUMBER($G30)),LOWER(LEFT($G30,1))&lt;&gt;"n"),"Not a valid distance",OR(LOWER(LEFT($G30,1))="n",$G30&lt;ScoringTable!$P$161),1,RIGHT($E30,1)="B",_xlfn.XLOOKUP($G30,ScoringTable!$P$2:$P$161,ScoringTable!$L$2:$L$161,,-1),TRUE,_xlfn.XLOOKUP($G30,ScoringTable!$V$2:$V$161,ScoringTable!$R$2:$R$161,,-1))</f>
        <v>40</v>
      </c>
    </row>
    <row r="31" spans="1:13" ht="16.05" customHeight="1">
      <c r="A31" s="80" t="s">
        <v>104</v>
      </c>
      <c r="B31" s="79" t="str">
        <f>IF(ISNA(VLOOKUP($F31,Declarations!B$6:C$185,2,FALSE)),"",IF(VLOOKUP($F31,Declarations!B$6:C$185,2,FALSE)="","NOT DECLARED",IF(ISNA(_xlfn.TEXTBEFORE(VLOOKUP($F31,Declarations!B$6:C$185,2,FALSE)," ")),VLOOKUP($F31,Declarations!B$6:C$185,2,FALSE),_xlfn.TEXTBEFORE(VLOOKUP($F31,Declarations!B$6:C$185,2,FALSE)," "))))</f>
        <v>FINLAY</v>
      </c>
      <c r="C31" s="79" t="str">
        <f>IF(ISNA(VLOOKUP($F31,Declarations!B$6:C$185,2,FALSE)),"",IF(VLOOKUP($F31,Declarations!B$6:C$185,2,FALSE)="","NOT DECLARED",IF(ISNA(_xlfn.TEXTAFTER(VLOOKUP($F31,Declarations!B$6:C$185,2,FALSE)," ")),VLOOKUP($F31,Declarations!B$6:C$185,2,FALSE),_xlfn.TEXTAFTER(VLOOKUP($F31,Declarations!B$6:C$185,2,FALSE)," "))))</f>
        <v>KENYON</v>
      </c>
      <c r="D31" s="79" t="str">
        <f>IF(ISNA(VLOOKUP($F31,Declarations!$B$6:$F$185,5,FALSE)),"",IF(VLOOKUP($F31,Declarations!$B$6:$F$185,5,FALSE)="","NOT DECLARED",VLOOKUP($F31,Declarations!$B$6:$F$185,5,FALSE)))</f>
        <v>Poole Runners</v>
      </c>
      <c r="E31" s="112" t="str">
        <f>IF(ISNA(VLOOKUP($F31,Declarations!$B$6:$D$185,3,FALSE)),"",IF(VLOOKUP($F31,Declarations!$B$6:$D$185,3,FALSE)="","NOT DECLARED",VLOOKUP($F31,Declarations!$B$6:$D$185,3,FALSE)&amp;LEFT(VLOOKUP($F31,Declarations!$B$6:$E$185,4,FALSE))))</f>
        <v>U12B</v>
      </c>
      <c r="F31" s="20">
        <v>58</v>
      </c>
      <c r="G31" s="21">
        <v>21.39</v>
      </c>
      <c r="H31" s="281"/>
      <c r="I31" s="8" t="str">
        <f>IF(ISNA(VLOOKUP(F31,Declarations!B$6:C$185,2,FALSE)),"",IF(VLOOKUP(F31,Declarations!B$6:C$185,2,FALSE)="","NOT DECLARED",VLOOKUP(F31,Declarations!B$6:C$185,2,FALSE)))</f>
        <v>FINLAY KENYON</v>
      </c>
      <c r="J31" s="2">
        <f>IF(LOWER(LEFT(G31,1))="n",1,VLOOKUP(G31,ScoringTable!E$2:I$95,5))</f>
        <v>42</v>
      </c>
      <c r="K31" s="112" t="str">
        <f>IF(OR(E31="",G31=""),"",IF(RIGHT(E31,1)="G",_xlfn.XLOOKUP(G31,Data!$D$13:$L$13,Data!$D$9:$L$9,"",-1,1),_xlfn.XLOOKUP(G31,Data!$D$6:$L$6,Data!$D$2:$L$2,"",-1,1)))</f>
        <v>PB4</v>
      </c>
      <c r="L31" s="160" t="str" cm="1">
        <f t="array" ref="L31">IFERROR(_xlfn.IFNA(
                      _xlfn.IFS(
                      F31="", "",
                      AND(E31="U12B",G31&gt;=Data!$M$6), "U12 Boys record",
                      AND(E31="U12G",G31&gt;=Data!$M$13), "U12 Girls record"
                       ),""), "")</f>
        <v/>
      </c>
      <c r="M31" s="18" cm="1">
        <f t="array" ref="M31">_xlfn.IFS($G31="",0,AND(NOT(ISNUMBER($G31)),LOWER(LEFT($G31,1))&lt;&gt;"n"),"Not a valid distance",OR(LOWER(LEFT($G31,1))="n",$G31&lt;ScoringTable!$P$161),1,RIGHT($E31,1)="B",_xlfn.XLOOKUP($G31,ScoringTable!$P$2:$P$161,ScoringTable!$L$2:$L$161,,-1),TRUE,_xlfn.XLOOKUP($G31,ScoringTable!$V$2:$V$161,ScoringTable!$R$2:$R$161,,-1))</f>
        <v>56</v>
      </c>
    </row>
    <row r="32" spans="1:13" ht="16.05" customHeight="1">
      <c r="A32" s="80" t="s">
        <v>104</v>
      </c>
      <c r="B32" s="79" t="str">
        <f>IF(ISNA(VLOOKUP($F32,Declarations!B$6:C$185,2,FALSE)),"",IF(VLOOKUP($F32,Declarations!B$6:C$185,2,FALSE)="","NOT DECLARED",IF(ISNA(_xlfn.TEXTBEFORE(VLOOKUP($F32,Declarations!B$6:C$185,2,FALSE)," ")),VLOOKUP($F32,Declarations!B$6:C$185,2,FALSE),_xlfn.TEXTBEFORE(VLOOKUP($F32,Declarations!B$6:C$185,2,FALSE)," "))))</f>
        <v>JESSE</v>
      </c>
      <c r="C32" s="79" t="str">
        <f>IF(ISNA(VLOOKUP($F32,Declarations!B$6:C$185,2,FALSE)),"",IF(VLOOKUP($F32,Declarations!B$6:C$185,2,FALSE)="","NOT DECLARED",IF(ISNA(_xlfn.TEXTAFTER(VLOOKUP($F32,Declarations!B$6:C$185,2,FALSE)," ")),VLOOKUP($F32,Declarations!B$6:C$185,2,FALSE),_xlfn.TEXTAFTER(VLOOKUP($F32,Declarations!B$6:C$185,2,FALSE)," "))))</f>
        <v>MCDONNELL</v>
      </c>
      <c r="D32" s="79" t="str">
        <f>IF(ISNA(VLOOKUP($F32,Declarations!$B$6:$F$185,5,FALSE)),"",IF(VLOOKUP($F32,Declarations!$B$6:$F$185,5,FALSE)="","NOT DECLARED",VLOOKUP($F32,Declarations!$B$6:$F$185,5,FALSE)))</f>
        <v>Fleet &amp; Crookham AC</v>
      </c>
      <c r="E32" s="112" t="str">
        <f>IF(ISNA(VLOOKUP($F32,Declarations!$B$6:$D$185,3,FALSE)),"",IF(VLOOKUP($F32,Declarations!$B$6:$D$185,3,FALSE)="","NOT DECLARED",VLOOKUP($F32,Declarations!$B$6:$D$185,3,FALSE)&amp;LEFT(VLOOKUP($F32,Declarations!$B$6:$E$185,4,FALSE))))</f>
        <v>U12B</v>
      </c>
      <c r="F32" s="20">
        <v>71</v>
      </c>
      <c r="G32" s="21">
        <v>29.88</v>
      </c>
      <c r="H32" s="281"/>
      <c r="I32" s="8" t="str">
        <f>IF(ISNA(VLOOKUP(F32,Declarations!B$6:C$185,2,FALSE)),"",IF(VLOOKUP(F32,Declarations!B$6:C$185,2,FALSE)="","NOT DECLARED",VLOOKUP(F32,Declarations!B$6:C$185,2,FALSE)))</f>
        <v>JESSE MCDONNELL</v>
      </c>
      <c r="J32" s="2">
        <f>IF(LOWER(LEFT(G32,1))="n",1,VLOOKUP(G32,ScoringTable!E$2:I$95,5))</f>
        <v>59</v>
      </c>
      <c r="K32" s="112" t="str">
        <f>IF(OR(E32="",G32=""),"",IF(RIGHT(E32,1)="G",_xlfn.XLOOKUP(G32,Data!$D$13:$L$13,Data!$D$9:$L$9,"",-1,1),_xlfn.XLOOKUP(G32,Data!$D$6:$L$6,Data!$D$2:$L$2,"",-1,1)))</f>
        <v>PB8</v>
      </c>
      <c r="L32" s="160" t="str" cm="1">
        <f t="array" ref="L32">IFERROR(_xlfn.IFNA(
                      _xlfn.IFS(
                      F32="", "",
                      AND(E32="U12B",G32&gt;=Data!$M$6), "U12 Boys record",
                      AND(E32="U12G",G32&gt;=Data!$M$13), "U12 Girls record"
                       ),""), "")</f>
        <v/>
      </c>
      <c r="M32" s="18" cm="1">
        <f t="array" ref="M32">_xlfn.IFS($G32="",0,AND(NOT(ISNUMBER($G32)),LOWER(LEFT($G32,1))&lt;&gt;"n"),"Not a valid distance",OR(LOWER(LEFT($G32,1))="n",$G32&lt;ScoringTable!$P$161),1,RIGHT($E32,1)="B",_xlfn.XLOOKUP($G32,ScoringTable!$P$2:$P$161,ScoringTable!$L$2:$L$161,,-1),TRUE,_xlfn.XLOOKUP($G32,ScoringTable!$V$2:$V$161,ScoringTable!$R$2:$R$161,,-1))</f>
        <v>99</v>
      </c>
    </row>
    <row r="33" spans="1:13" ht="16.05" customHeight="1">
      <c r="A33" s="80" t="s">
        <v>104</v>
      </c>
      <c r="B33" s="79" t="str">
        <f>IF(ISNA(VLOOKUP($F33,Declarations!B$6:C$185,2,FALSE)),"",IF(VLOOKUP($F33,Declarations!B$6:C$185,2,FALSE)="","NOT DECLARED",IF(ISNA(_xlfn.TEXTBEFORE(VLOOKUP($F33,Declarations!B$6:C$185,2,FALSE)," ")),VLOOKUP($F33,Declarations!B$6:C$185,2,FALSE),_xlfn.TEXTBEFORE(VLOOKUP($F33,Declarations!B$6:C$185,2,FALSE)," "))))</f>
        <v>LEVI</v>
      </c>
      <c r="C33" s="79" t="str">
        <f>IF(ISNA(VLOOKUP($F33,Declarations!B$6:C$185,2,FALSE)),"",IF(VLOOKUP($F33,Declarations!B$6:C$185,2,FALSE)="","NOT DECLARED",IF(ISNA(_xlfn.TEXTAFTER(VLOOKUP($F33,Declarations!B$6:C$185,2,FALSE)," ")),VLOOKUP($F33,Declarations!B$6:C$185,2,FALSE),_xlfn.TEXTAFTER(VLOOKUP($F33,Declarations!B$6:C$185,2,FALSE)," "))))</f>
        <v>KIRWAN</v>
      </c>
      <c r="D33" s="79" t="str">
        <f>IF(ISNA(VLOOKUP($F33,Declarations!$B$6:$F$185,5,FALSE)),"",IF(VLOOKUP($F33,Declarations!$B$6:$F$185,5,FALSE)="","NOT DECLARED",VLOOKUP($F33,Declarations!$B$6:$F$185,5,FALSE)))</f>
        <v>Fleet &amp; Crookham AC</v>
      </c>
      <c r="E33" s="112" t="str">
        <f>IF(ISNA(VLOOKUP($F33,Declarations!$B$6:$D$185,3,FALSE)),"",IF(VLOOKUP($F33,Declarations!$B$6:$D$185,3,FALSE)="","NOT DECLARED",VLOOKUP($F33,Declarations!$B$6:$D$185,3,FALSE)&amp;LEFT(VLOOKUP($F33,Declarations!$B$6:$E$185,4,FALSE))))</f>
        <v>U12B</v>
      </c>
      <c r="F33" s="20">
        <v>72</v>
      </c>
      <c r="G33" s="21">
        <v>31.64</v>
      </c>
      <c r="H33" s="281"/>
      <c r="I33" s="8" t="str">
        <f>IF(ISNA(VLOOKUP(F33,Declarations!B$6:C$185,2,FALSE)),"",IF(VLOOKUP(F33,Declarations!B$6:C$185,2,FALSE)="","NOT DECLARED",VLOOKUP(F33,Declarations!B$6:C$185,2,FALSE)))</f>
        <v>LEVI KIRWAN</v>
      </c>
      <c r="J33" s="2">
        <f>IF(LOWER(LEFT(G33,1))="n",1,VLOOKUP(G33,ScoringTable!E$2:I$95,5))</f>
        <v>63</v>
      </c>
      <c r="K33" s="112" t="str">
        <f>IF(OR(E33="",G33=""),"",IF(RIGHT(E33,1)="G",_xlfn.XLOOKUP(G33,Data!$D$13:$L$13,Data!$D$9:$L$9,"",-1,1),_xlfn.XLOOKUP(G33,Data!$D$6:$L$6,Data!$D$2:$L$2,"",-1,1)))</f>
        <v>PB9</v>
      </c>
      <c r="L33" s="160" t="str" cm="1">
        <f t="array" ref="L33">IFERROR(_xlfn.IFNA(
                      _xlfn.IFS(
                      F33="", "",
                      AND(E33="U12B",G33&gt;=Data!$M$6), "U12 Boys record",
                      AND(E33="U12G",G33&gt;=Data!$M$13), "U12 Girls record"
                       ),""), "")</f>
        <v/>
      </c>
      <c r="M33" s="18" cm="1">
        <f t="array" ref="M33">_xlfn.IFS($G33="",0,AND(NOT(ISNUMBER($G33)),LOWER(LEFT($G33,1))&lt;&gt;"n"),"Not a valid distance",OR(LOWER(LEFT($G33,1))="n",$G33&lt;ScoringTable!$P$161),1,RIGHT($E33,1)="B",_xlfn.XLOOKUP($G33,ScoringTable!$P$2:$P$161,ScoringTable!$L$2:$L$161,,-1),TRUE,_xlfn.XLOOKUP($G33,ScoringTable!$V$2:$V$161,ScoringTable!$R$2:$R$161,,-1))</f>
        <v>108</v>
      </c>
    </row>
    <row r="34" spans="1:13" ht="16.05" customHeight="1">
      <c r="A34" s="80" t="s">
        <v>104</v>
      </c>
      <c r="B34" s="79" t="str">
        <f>IF(ISNA(VLOOKUP($F34,Declarations!B$6:C$185,2,FALSE)),"",IF(VLOOKUP($F34,Declarations!B$6:C$185,2,FALSE)="","NOT DECLARED",IF(ISNA(_xlfn.TEXTBEFORE(VLOOKUP($F34,Declarations!B$6:C$185,2,FALSE)," ")),VLOOKUP($F34,Declarations!B$6:C$185,2,FALSE),_xlfn.TEXTBEFORE(VLOOKUP($F34,Declarations!B$6:C$185,2,FALSE)," "))))</f>
        <v>CHARLIE</v>
      </c>
      <c r="C34" s="79" t="str">
        <f>IF(ISNA(VLOOKUP($F34,Declarations!B$6:C$185,2,FALSE)),"",IF(VLOOKUP($F34,Declarations!B$6:C$185,2,FALSE)="","NOT DECLARED",IF(ISNA(_xlfn.TEXTAFTER(VLOOKUP($F34,Declarations!B$6:C$185,2,FALSE)," ")),VLOOKUP($F34,Declarations!B$6:C$185,2,FALSE),_xlfn.TEXTAFTER(VLOOKUP($F34,Declarations!B$6:C$185,2,FALSE)," "))))</f>
        <v>BLACKWELL</v>
      </c>
      <c r="D34" s="79" t="str">
        <f>IF(ISNA(VLOOKUP($F34,Declarations!$B$6:$F$185,5,FALSE)),"",IF(VLOOKUP($F34,Declarations!$B$6:$F$185,5,FALSE)="","NOT DECLARED",VLOOKUP($F34,Declarations!$B$6:$F$185,5,FALSE)))</f>
        <v>Fleet &amp; Crookham AC</v>
      </c>
      <c r="E34" s="112" t="str">
        <f>IF(ISNA(VLOOKUP($F34,Declarations!$B$6:$D$185,3,FALSE)),"",IF(VLOOKUP($F34,Declarations!$B$6:$D$185,3,FALSE)="","NOT DECLARED",VLOOKUP($F34,Declarations!$B$6:$D$185,3,FALSE)&amp;LEFT(VLOOKUP($F34,Declarations!$B$6:$E$185,4,FALSE))))</f>
        <v>U12B</v>
      </c>
      <c r="F34" s="20">
        <v>73</v>
      </c>
      <c r="G34" s="21">
        <v>32.840000000000003</v>
      </c>
      <c r="H34" s="281"/>
      <c r="I34" s="8" t="str">
        <f>IF(ISNA(VLOOKUP(F34,Declarations!B$6:C$185,2,FALSE)),"",IF(VLOOKUP(F34,Declarations!B$6:C$185,2,FALSE)="","NOT DECLARED",VLOOKUP(F34,Declarations!B$6:C$185,2,FALSE)))</f>
        <v>CHARLIE BLACKWELL</v>
      </c>
      <c r="J34" s="2">
        <f>IF(LOWER(LEFT(G34,1))="n",1,VLOOKUP(G34,ScoringTable!E$2:I$95,5))</f>
        <v>65</v>
      </c>
      <c r="K34" s="112" t="str">
        <f>IF(OR(E34="",G34=""),"",IF(RIGHT(E34,1)="G",_xlfn.XLOOKUP(G34,Data!$D$13:$L$13,Data!$D$9:$L$9,"",-1,1),_xlfn.XLOOKUP(G34,Data!$D$6:$L$6,Data!$D$2:$L$2,"",-1,1)))</f>
        <v>PB9</v>
      </c>
      <c r="L34" s="160" t="str" cm="1">
        <f t="array" ref="L34">IFERROR(_xlfn.IFNA(
                      _xlfn.IFS(
                      F34="", "",
                      AND(E34="U12B",G34&gt;=Data!$M$6), "U12 Boys record",
                      AND(E34="U12G",G34&gt;=Data!$M$13), "U12 Girls record"
                       ),""), "")</f>
        <v/>
      </c>
      <c r="M34" s="18" cm="1">
        <f t="array" ref="M34">_xlfn.IFS($G34="",0,AND(NOT(ISNUMBER($G34)),LOWER(LEFT($G34,1))&lt;&gt;"n"),"Not a valid distance",OR(LOWER(LEFT($G34,1))="n",$G34&lt;ScoringTable!$P$161),1,RIGHT($E34,1)="B",_xlfn.XLOOKUP($G34,ScoringTable!$P$2:$P$161,ScoringTable!$L$2:$L$161,,-1),TRUE,_xlfn.XLOOKUP($G34,ScoringTable!$V$2:$V$161,ScoringTable!$R$2:$R$161,,-1))</f>
        <v>114</v>
      </c>
    </row>
    <row r="35" spans="1:13" ht="16.05" customHeight="1">
      <c r="A35" s="80" t="s">
        <v>104</v>
      </c>
      <c r="B35" s="79" t="str">
        <f>IF(ISNA(VLOOKUP($F35,Declarations!B$6:C$185,2,FALSE)),"",IF(VLOOKUP($F35,Declarations!B$6:C$185,2,FALSE)="","NOT DECLARED",IF(ISNA(_xlfn.TEXTBEFORE(VLOOKUP($F35,Declarations!B$6:C$185,2,FALSE)," ")),VLOOKUP($F35,Declarations!B$6:C$185,2,FALSE),_xlfn.TEXTBEFORE(VLOOKUP($F35,Declarations!B$6:C$185,2,FALSE)," "))))</f>
        <v>THOMAS</v>
      </c>
      <c r="C35" s="79" t="str">
        <f>IF(ISNA(VLOOKUP($F35,Declarations!B$6:C$185,2,FALSE)),"",IF(VLOOKUP($F35,Declarations!B$6:C$185,2,FALSE)="","NOT DECLARED",IF(ISNA(_xlfn.TEXTAFTER(VLOOKUP($F35,Declarations!B$6:C$185,2,FALSE)," ")),VLOOKUP($F35,Declarations!B$6:C$185,2,FALSE),_xlfn.TEXTAFTER(VLOOKUP($F35,Declarations!B$6:C$185,2,FALSE)," "))))</f>
        <v>MOORE</v>
      </c>
      <c r="D35" s="79" t="str">
        <f>IF(ISNA(VLOOKUP($F35,Declarations!$B$6:$F$185,5,FALSE)),"",IF(VLOOKUP($F35,Declarations!$B$6:$F$185,5,FALSE)="","NOT DECLARED",VLOOKUP($F35,Declarations!$B$6:$F$185,5,FALSE)))</f>
        <v>Fleet &amp; Crookham AC</v>
      </c>
      <c r="E35" s="112" t="str">
        <f>IF(ISNA(VLOOKUP($F35,Declarations!$B$6:$D$185,3,FALSE)),"",IF(VLOOKUP($F35,Declarations!$B$6:$D$185,3,FALSE)="","NOT DECLARED",VLOOKUP($F35,Declarations!$B$6:$D$185,3,FALSE)&amp;LEFT(VLOOKUP($F35,Declarations!$B$6:$E$185,4,FALSE))))</f>
        <v>U12B</v>
      </c>
      <c r="F35" s="20">
        <v>74</v>
      </c>
      <c r="G35" s="21">
        <v>27.07</v>
      </c>
      <c r="H35" s="281"/>
      <c r="I35" s="8" t="str">
        <f>IF(ISNA(VLOOKUP(F35,Declarations!B$6:C$185,2,FALSE)),"",IF(VLOOKUP(F35,Declarations!B$6:C$185,2,FALSE)="","NOT DECLARED",VLOOKUP(F35,Declarations!B$6:C$185,2,FALSE)))</f>
        <v>THOMAS MOORE</v>
      </c>
      <c r="J35" s="2">
        <f>IF(LOWER(LEFT(G35,1))="n",1,VLOOKUP(G35,ScoringTable!E$2:I$95,5))</f>
        <v>54</v>
      </c>
      <c r="K35" s="112" t="str">
        <f>IF(OR(E35="",G35=""),"",IF(RIGHT(E35,1)="G",_xlfn.XLOOKUP(G35,Data!$D$13:$L$13,Data!$D$9:$L$9,"",-1,1),_xlfn.XLOOKUP(G35,Data!$D$6:$L$6,Data!$D$2:$L$2,"",-1,1)))</f>
        <v>PB7</v>
      </c>
      <c r="L35" s="160" t="str" cm="1">
        <f t="array" ref="L35">IFERROR(_xlfn.IFNA(
                      _xlfn.IFS(
                      F35="", "",
                      AND(E35="U12B",G35&gt;=Data!$M$6), "U12 Boys record",
                      AND(E35="U12G",G35&gt;=Data!$M$13), "U12 Girls record"
                       ),""), "")</f>
        <v/>
      </c>
      <c r="M35" s="18" cm="1">
        <f t="array" ref="M35">_xlfn.IFS($G35="",0,AND(NOT(ISNUMBER($G35)),LOWER(LEFT($G35,1))&lt;&gt;"n"),"Not a valid distance",OR(LOWER(LEFT($G35,1))="n",$G35&lt;ScoringTable!$P$161),1,RIGHT($E35,1)="B",_xlfn.XLOOKUP($G35,ScoringTable!$P$2:$P$161,ScoringTable!$L$2:$L$161,,-1),TRUE,_xlfn.XLOOKUP($G35,ScoringTable!$V$2:$V$161,ScoringTable!$R$2:$R$161,,-1))</f>
        <v>85</v>
      </c>
    </row>
    <row r="36" spans="1:13" ht="16.05" customHeight="1">
      <c r="A36" s="80" t="s">
        <v>104</v>
      </c>
      <c r="B36" s="79" t="str">
        <f>IF(ISNA(VLOOKUP($F36,Declarations!B$6:C$185,2,FALSE)),"",IF(VLOOKUP($F36,Declarations!B$6:C$185,2,FALSE)="","NOT DECLARED",IF(ISNA(_xlfn.TEXTBEFORE(VLOOKUP($F36,Declarations!B$6:C$185,2,FALSE)," ")),VLOOKUP($F36,Declarations!B$6:C$185,2,FALSE),_xlfn.TEXTBEFORE(VLOOKUP($F36,Declarations!B$6:C$185,2,FALSE)," "))))</f>
        <v>MURRAY</v>
      </c>
      <c r="C36" s="79" t="str">
        <f>IF(ISNA(VLOOKUP($F36,Declarations!B$6:C$185,2,FALSE)),"",IF(VLOOKUP($F36,Declarations!B$6:C$185,2,FALSE)="","NOT DECLARED",IF(ISNA(_xlfn.TEXTAFTER(VLOOKUP($F36,Declarations!B$6:C$185,2,FALSE)," ")),VLOOKUP($F36,Declarations!B$6:C$185,2,FALSE),_xlfn.TEXTAFTER(VLOOKUP($F36,Declarations!B$6:C$185,2,FALSE)," "))))</f>
        <v>VOADEN</v>
      </c>
      <c r="D36" s="79" t="str">
        <f>IF(ISNA(VLOOKUP($F36,Declarations!$B$6:$F$185,5,FALSE)),"",IF(VLOOKUP($F36,Declarations!$B$6:$F$185,5,FALSE)="","NOT DECLARED",VLOOKUP($F36,Declarations!$B$6:$F$185,5,FALSE)))</f>
        <v>Fleet &amp; Crookham AC</v>
      </c>
      <c r="E36" s="112" t="str">
        <f>IF(ISNA(VLOOKUP($F36,Declarations!$B$6:$D$185,3,FALSE)),"",IF(VLOOKUP($F36,Declarations!$B$6:$D$185,3,FALSE)="","NOT DECLARED",VLOOKUP($F36,Declarations!$B$6:$D$185,3,FALSE)&amp;LEFT(VLOOKUP($F36,Declarations!$B$6:$E$185,4,FALSE))))</f>
        <v>U12B</v>
      </c>
      <c r="F36" s="20">
        <v>75</v>
      </c>
      <c r="G36" s="21">
        <v>14.88</v>
      </c>
      <c r="H36" s="281"/>
      <c r="I36" s="8" t="str">
        <f>IF(ISNA(VLOOKUP(F36,Declarations!B$6:C$185,2,FALSE)),"",IF(VLOOKUP(F36,Declarations!B$6:C$185,2,FALSE)="","NOT DECLARED",VLOOKUP(F36,Declarations!B$6:C$185,2,FALSE)))</f>
        <v>MURRAY VOADEN</v>
      </c>
      <c r="J36" s="2">
        <f>IF(LOWER(LEFT(G36,1))="n",1,VLOOKUP(G36,ScoringTable!E$2:I$95,5))</f>
        <v>29</v>
      </c>
      <c r="K36" s="112" t="str">
        <f>IF(OR(E36="",G36=""),"",IF(RIGHT(E36,1)="G",_xlfn.XLOOKUP(G36,Data!$D$13:$L$13,Data!$D$9:$L$9,"",-1,1),_xlfn.XLOOKUP(G36,Data!$D$6:$L$6,Data!$D$2:$L$2,"",-1,1)))</f>
        <v>PB1</v>
      </c>
      <c r="L36" s="160" t="str" cm="1">
        <f t="array" ref="L36">IFERROR(_xlfn.IFNA(
                      _xlfn.IFS(
                      F36="", "",
                      AND(E36="U12B",G36&gt;=Data!$M$6), "U12 Boys record",
                      AND(E36="U12G",G36&gt;=Data!$M$13), "U12 Girls record"
                       ),""), "")</f>
        <v/>
      </c>
      <c r="M36" s="18" cm="1">
        <f t="array" ref="M36">_xlfn.IFS($G36="",0,AND(NOT(ISNUMBER($G36)),LOWER(LEFT($G36,1))&lt;&gt;"n"),"Not a valid distance",OR(LOWER(LEFT($G36,1))="n",$G36&lt;ScoringTable!$P$161),1,RIGHT($E36,1)="B",_xlfn.XLOOKUP($G36,ScoringTable!$P$2:$P$161,ScoringTable!$L$2:$L$161,,-1),TRUE,_xlfn.XLOOKUP($G36,ScoringTable!$V$2:$V$161,ScoringTable!$R$2:$R$161,,-1))</f>
        <v>24</v>
      </c>
    </row>
    <row r="37" spans="1:13" ht="16.05" customHeight="1">
      <c r="A37" s="80" t="s">
        <v>104</v>
      </c>
      <c r="B37" s="79" t="str">
        <f>IF(ISNA(VLOOKUP($F37,Declarations!B$6:C$185,2,FALSE)),"",IF(VLOOKUP($F37,Declarations!B$6:C$185,2,FALSE)="","NOT DECLARED",IF(ISNA(_xlfn.TEXTBEFORE(VLOOKUP($F37,Declarations!B$6:C$185,2,FALSE)," ")),VLOOKUP($F37,Declarations!B$6:C$185,2,FALSE),_xlfn.TEXTBEFORE(VLOOKUP($F37,Declarations!B$6:C$185,2,FALSE)," "))))</f>
        <v>DYLAN</v>
      </c>
      <c r="C37" s="79" t="str">
        <f>IF(ISNA(VLOOKUP($F37,Declarations!B$6:C$185,2,FALSE)),"",IF(VLOOKUP($F37,Declarations!B$6:C$185,2,FALSE)="","NOT DECLARED",IF(ISNA(_xlfn.TEXTAFTER(VLOOKUP($F37,Declarations!B$6:C$185,2,FALSE)," ")),VLOOKUP($F37,Declarations!B$6:C$185,2,FALSE),_xlfn.TEXTAFTER(VLOOKUP($F37,Declarations!B$6:C$185,2,FALSE)," "))))</f>
        <v>MARLEY</v>
      </c>
      <c r="D37" s="79" t="str">
        <f>IF(ISNA(VLOOKUP($F37,Declarations!$B$6:$F$185,5,FALSE)),"",IF(VLOOKUP($F37,Declarations!$B$6:$F$185,5,FALSE)="","NOT DECLARED",VLOOKUP($F37,Declarations!$B$6:$F$185,5,FALSE)))</f>
        <v>Fleet &amp; Crookham AC</v>
      </c>
      <c r="E37" s="112" t="str">
        <f>IF(ISNA(VLOOKUP($F37,Declarations!$B$6:$D$185,3,FALSE)),"",IF(VLOOKUP($F37,Declarations!$B$6:$D$185,3,FALSE)="","NOT DECLARED",VLOOKUP($F37,Declarations!$B$6:$D$185,3,FALSE)&amp;LEFT(VLOOKUP($F37,Declarations!$B$6:$E$185,4,FALSE))))</f>
        <v>U12B</v>
      </c>
      <c r="F37" s="20">
        <v>76</v>
      </c>
      <c r="G37" s="21">
        <v>15.47</v>
      </c>
      <c r="H37" s="281"/>
      <c r="I37" s="8" t="str">
        <f>IF(ISNA(VLOOKUP(F37,Declarations!B$6:C$185,2,FALSE)),"",IF(VLOOKUP(F37,Declarations!B$6:C$185,2,FALSE)="","NOT DECLARED",VLOOKUP(F37,Declarations!B$6:C$185,2,FALSE)))</f>
        <v>DYLAN MARLEY</v>
      </c>
      <c r="J37" s="2">
        <f>IF(LOWER(LEFT(G37,1))="n",1,VLOOKUP(G37,ScoringTable!E$2:I$95,5))</f>
        <v>30</v>
      </c>
      <c r="K37" s="112" t="str">
        <f>IF(OR(E37="",G37=""),"",IF(RIGHT(E37,1)="G",_xlfn.XLOOKUP(G37,Data!$D$13:$L$13,Data!$D$9:$L$9,"",-1,1),_xlfn.XLOOKUP(G37,Data!$D$6:$L$6,Data!$D$2:$L$2,"",-1,1)))</f>
        <v>PB1</v>
      </c>
      <c r="L37" s="160" t="str" cm="1">
        <f t="array" ref="L37">IFERROR(_xlfn.IFNA(
                      _xlfn.IFS(
                      F37="", "",
                      AND(E37="U12B",G37&gt;=Data!$M$6), "U12 Boys record",
                      AND(E37="U12G",G37&gt;=Data!$M$13), "U12 Girls record"
                       ),""), "")</f>
        <v/>
      </c>
      <c r="M37" s="18" cm="1">
        <f t="array" ref="M37">_xlfn.IFS($G37="",0,AND(NOT(ISNUMBER($G37)),LOWER(LEFT($G37,1))&lt;&gt;"n"),"Not a valid distance",OR(LOWER(LEFT($G37,1))="n",$G37&lt;ScoringTable!$P$161),1,RIGHT($E37,1)="B",_xlfn.XLOOKUP($G37,ScoringTable!$P$2:$P$161,ScoringTable!$L$2:$L$161,,-1),TRUE,_xlfn.XLOOKUP($G37,ScoringTable!$V$2:$V$161,ScoringTable!$R$2:$R$161,,-1))</f>
        <v>27</v>
      </c>
    </row>
    <row r="38" spans="1:13" ht="16.05" customHeight="1">
      <c r="A38" s="80" t="s">
        <v>104</v>
      </c>
      <c r="B38" s="79" t="str">
        <f>IF(ISNA(VLOOKUP($F38,Declarations!B$6:C$185,2,FALSE)),"",IF(VLOOKUP($F38,Declarations!B$6:C$185,2,FALSE)="","NOT DECLARED",IF(ISNA(_xlfn.TEXTBEFORE(VLOOKUP($F38,Declarations!B$6:C$185,2,FALSE)," ")),VLOOKUP($F38,Declarations!B$6:C$185,2,FALSE),_xlfn.TEXTBEFORE(VLOOKUP($F38,Declarations!B$6:C$185,2,FALSE)," "))))</f>
        <v>NOAH</v>
      </c>
      <c r="C38" s="79" t="str">
        <f>IF(ISNA(VLOOKUP($F38,Declarations!B$6:C$185,2,FALSE)),"",IF(VLOOKUP($F38,Declarations!B$6:C$185,2,FALSE)="","NOT DECLARED",IF(ISNA(_xlfn.TEXTAFTER(VLOOKUP($F38,Declarations!B$6:C$185,2,FALSE)," ")),VLOOKUP($F38,Declarations!B$6:C$185,2,FALSE),_xlfn.TEXTAFTER(VLOOKUP($F38,Declarations!B$6:C$185,2,FALSE)," "))))</f>
        <v>BARKER</v>
      </c>
      <c r="D38" s="79" t="str">
        <f>IF(ISNA(VLOOKUP($F38,Declarations!$B$6:$F$185,5,FALSE)),"",IF(VLOOKUP($F38,Declarations!$B$6:$F$185,5,FALSE)="","NOT DECLARED",VLOOKUP($F38,Declarations!$B$6:$F$185,5,FALSE)))</f>
        <v>Waverley Athletics Club</v>
      </c>
      <c r="E38" s="112" t="str">
        <f>IF(ISNA(VLOOKUP($F38,Declarations!$B$6:$D$185,3,FALSE)),"",IF(VLOOKUP($F38,Declarations!$B$6:$D$185,3,FALSE)="","NOT DECLARED",VLOOKUP($F38,Declarations!$B$6:$D$185,3,FALSE)&amp;LEFT(VLOOKUP($F38,Declarations!$B$6:$E$185,4,FALSE))))</f>
        <v>U12B</v>
      </c>
      <c r="F38" s="20">
        <v>91</v>
      </c>
      <c r="G38" s="21">
        <v>25.72</v>
      </c>
      <c r="H38" s="281"/>
      <c r="I38" s="8" t="str">
        <f>IF(ISNA(VLOOKUP(F38,Declarations!B$6:C$185,2,FALSE)),"",IF(VLOOKUP(F38,Declarations!B$6:C$185,2,FALSE)="","NOT DECLARED",VLOOKUP(F38,Declarations!B$6:C$185,2,FALSE)))</f>
        <v>NOAH BARKER</v>
      </c>
      <c r="J38" s="2">
        <f>IF(LOWER(LEFT(G38,1))="n",1,VLOOKUP(G38,ScoringTable!E$2:I$95,5))</f>
        <v>51</v>
      </c>
      <c r="K38" s="112" t="str">
        <f>IF(OR(E38="",G38=""),"",IF(RIGHT(E38,1)="G",_xlfn.XLOOKUP(G38,Data!$D$13:$L$13,Data!$D$9:$L$9,"",-1,1),_xlfn.XLOOKUP(G38,Data!$D$6:$L$6,Data!$D$2:$L$2,"",-1,1)))</f>
        <v>PB6</v>
      </c>
      <c r="L38" s="160" t="str" cm="1">
        <f t="array" ref="L38">IFERROR(_xlfn.IFNA(
                      _xlfn.IFS(
                      F38="", "",
                      AND(E38="U12B",G38&gt;=Data!$M$6), "U12 Boys record",
                      AND(E38="U12G",G38&gt;=Data!$M$13), "U12 Girls record"
                       ),""), "")</f>
        <v/>
      </c>
      <c r="M38" s="18" cm="1">
        <f t="array" ref="M38">_xlfn.IFS($G38="",0,AND(NOT(ISNUMBER($G38)),LOWER(LEFT($G38,1))&lt;&gt;"n"),"Not a valid distance",OR(LOWER(LEFT($G38,1))="n",$G38&lt;ScoringTable!$P$161),1,RIGHT($E38,1)="B",_xlfn.XLOOKUP($G38,ScoringTable!$P$2:$P$161,ScoringTable!$L$2:$L$161,,-1),TRUE,_xlfn.XLOOKUP($G38,ScoringTable!$V$2:$V$161,ScoringTable!$R$2:$R$161,,-1))</f>
        <v>78</v>
      </c>
    </row>
    <row r="39" spans="1:13" ht="16.05" customHeight="1">
      <c r="A39" s="80" t="s">
        <v>104</v>
      </c>
      <c r="B39" s="79" t="str">
        <f>IF(ISNA(VLOOKUP($F39,Declarations!B$6:C$185,2,FALSE)),"",IF(VLOOKUP($F39,Declarations!B$6:C$185,2,FALSE)="","NOT DECLARED",IF(ISNA(_xlfn.TEXTBEFORE(VLOOKUP($F39,Declarations!B$6:C$185,2,FALSE)," ")),VLOOKUP($F39,Declarations!B$6:C$185,2,FALSE),_xlfn.TEXTBEFORE(VLOOKUP($F39,Declarations!B$6:C$185,2,FALSE)," "))))</f>
        <v>BLAKE</v>
      </c>
      <c r="C39" s="79" t="str">
        <f>IF(ISNA(VLOOKUP($F39,Declarations!B$6:C$185,2,FALSE)),"",IF(VLOOKUP($F39,Declarations!B$6:C$185,2,FALSE)="","NOT DECLARED",IF(ISNA(_xlfn.TEXTAFTER(VLOOKUP($F39,Declarations!B$6:C$185,2,FALSE)," ")),VLOOKUP($F39,Declarations!B$6:C$185,2,FALSE),_xlfn.TEXTAFTER(VLOOKUP($F39,Declarations!B$6:C$185,2,FALSE)," "))))</f>
        <v>BARNES</v>
      </c>
      <c r="D39" s="79" t="str">
        <f>IF(ISNA(VLOOKUP($F39,Declarations!$B$6:$F$185,5,FALSE)),"",IF(VLOOKUP($F39,Declarations!$B$6:$F$185,5,FALSE)="","NOT DECLARED",VLOOKUP($F39,Declarations!$B$6:$F$185,5,FALSE)))</f>
        <v>Waverley Athletics Club</v>
      </c>
      <c r="E39" s="112" t="str">
        <f>IF(ISNA(VLOOKUP($F39,Declarations!$B$6:$D$185,3,FALSE)),"",IF(VLOOKUP($F39,Declarations!$B$6:$D$185,3,FALSE)="","NOT DECLARED",VLOOKUP($F39,Declarations!$B$6:$D$185,3,FALSE)&amp;LEFT(VLOOKUP($F39,Declarations!$B$6:$E$185,4,FALSE))))</f>
        <v>U12B</v>
      </c>
      <c r="F39" s="20">
        <v>92</v>
      </c>
      <c r="G39" s="21">
        <v>24.46</v>
      </c>
      <c r="H39" s="281"/>
      <c r="I39" s="8" t="str">
        <f>IF(ISNA(VLOOKUP(F39,Declarations!B$6:C$185,2,FALSE)),"",IF(VLOOKUP(F39,Declarations!B$6:C$185,2,FALSE)="","NOT DECLARED",VLOOKUP(F39,Declarations!B$6:C$185,2,FALSE)))</f>
        <v>BLAKE BARNES</v>
      </c>
      <c r="J39" s="2">
        <f>IF(LOWER(LEFT(G39,1))="n",1,VLOOKUP(G39,ScoringTable!E$2:I$95,5))</f>
        <v>48</v>
      </c>
      <c r="K39" s="112" t="str">
        <f>IF(OR(E39="",G39=""),"",IF(RIGHT(E39,1)="G",_xlfn.XLOOKUP(G39,Data!$D$13:$L$13,Data!$D$9:$L$9,"",-1,1),_xlfn.XLOOKUP(G39,Data!$D$6:$L$6,Data!$D$2:$L$2,"",-1,1)))</f>
        <v>PB6</v>
      </c>
      <c r="L39" s="160" t="str" cm="1">
        <f t="array" ref="L39">IFERROR(_xlfn.IFNA(
                      _xlfn.IFS(
                      F39="", "",
                      AND(E39="U12B",G39&gt;=Data!$M$6), "U12 Boys record",
                      AND(E39="U12G",G39&gt;=Data!$M$13), "U12 Girls record"
                       ),""), "")</f>
        <v/>
      </c>
      <c r="M39" s="18" cm="1">
        <f t="array" ref="M39">_xlfn.IFS($G39="",0,AND(NOT(ISNUMBER($G39)),LOWER(LEFT($G39,1))&lt;&gt;"n"),"Not a valid distance",OR(LOWER(LEFT($G39,1))="n",$G39&lt;ScoringTable!$P$161),1,RIGHT($E39,1)="B",_xlfn.XLOOKUP($G39,ScoringTable!$P$2:$P$161,ScoringTable!$L$2:$L$161,,-1),TRUE,_xlfn.XLOOKUP($G39,ScoringTable!$V$2:$V$161,ScoringTable!$R$2:$R$161,,-1))</f>
        <v>72</v>
      </c>
    </row>
    <row r="40" spans="1:13" ht="16.05" customHeight="1">
      <c r="A40" s="80" t="s">
        <v>104</v>
      </c>
      <c r="B40" s="79" t="str">
        <f>IF(ISNA(VLOOKUP($F40,Declarations!B$6:C$185,2,FALSE)),"",IF(VLOOKUP($F40,Declarations!B$6:C$185,2,FALSE)="","NOT DECLARED",IF(ISNA(_xlfn.TEXTBEFORE(VLOOKUP($F40,Declarations!B$6:C$185,2,FALSE)," ")),VLOOKUP($F40,Declarations!B$6:C$185,2,FALSE),_xlfn.TEXTBEFORE(VLOOKUP($F40,Declarations!B$6:C$185,2,FALSE)," "))))</f>
        <v>BEN</v>
      </c>
      <c r="C40" s="79" t="str">
        <f>IF(ISNA(VLOOKUP($F40,Declarations!B$6:C$185,2,FALSE)),"",IF(VLOOKUP($F40,Declarations!B$6:C$185,2,FALSE)="","NOT DECLARED",IF(ISNA(_xlfn.TEXTAFTER(VLOOKUP($F40,Declarations!B$6:C$185,2,FALSE)," ")),VLOOKUP($F40,Declarations!B$6:C$185,2,FALSE),_xlfn.TEXTAFTER(VLOOKUP($F40,Declarations!B$6:C$185,2,FALSE)," "))))</f>
        <v>QUICK</v>
      </c>
      <c r="D40" s="79" t="str">
        <f>IF(ISNA(VLOOKUP($F40,Declarations!$B$6:$F$185,5,FALSE)),"",IF(VLOOKUP($F40,Declarations!$B$6:$F$185,5,FALSE)="","NOT DECLARED",VLOOKUP($F40,Declarations!$B$6:$F$185,5,FALSE)))</f>
        <v>Waverley Athletics Club</v>
      </c>
      <c r="E40" s="112" t="str">
        <f>IF(ISNA(VLOOKUP($F40,Declarations!$B$6:$D$185,3,FALSE)),"",IF(VLOOKUP($F40,Declarations!$B$6:$D$185,3,FALSE)="","NOT DECLARED",VLOOKUP($F40,Declarations!$B$6:$D$185,3,FALSE)&amp;LEFT(VLOOKUP($F40,Declarations!$B$6:$E$185,4,FALSE))))</f>
        <v>U12B</v>
      </c>
      <c r="F40" s="20">
        <v>93</v>
      </c>
      <c r="G40" s="21">
        <v>24.15</v>
      </c>
      <c r="H40" s="281"/>
      <c r="I40" s="8" t="str">
        <f>IF(ISNA(VLOOKUP(F40,Declarations!B$6:C$185,2,FALSE)),"",IF(VLOOKUP(F40,Declarations!B$6:C$185,2,FALSE)="","NOT DECLARED",VLOOKUP(F40,Declarations!B$6:C$185,2,FALSE)))</f>
        <v>BEN QUICK</v>
      </c>
      <c r="J40" s="2">
        <f>IF(LOWER(LEFT(G40,1))="n",1,VLOOKUP(G40,ScoringTable!E$2:I$95,5))</f>
        <v>48</v>
      </c>
      <c r="K40" s="112" t="str">
        <f>IF(OR(E40="",G40=""),"",IF(RIGHT(E40,1)="G",_xlfn.XLOOKUP(G40,Data!$D$13:$L$13,Data!$D$9:$L$9,"",-1,1),_xlfn.XLOOKUP(G40,Data!$D$6:$L$6,Data!$D$2:$L$2,"",-1,1)))</f>
        <v>PB6</v>
      </c>
      <c r="L40" s="160" t="str" cm="1">
        <f t="array" ref="L40">IFERROR(_xlfn.IFNA(
                      _xlfn.IFS(
                      F40="", "",
                      AND(E40="U12B",G40&gt;=Data!$M$6), "U12 Boys record",
                      AND(E40="U12G",G40&gt;=Data!$M$13), "U12 Girls record"
                       ),""), "")</f>
        <v/>
      </c>
      <c r="M40" s="18" cm="1">
        <f t="array" ref="M40">_xlfn.IFS($G40="",0,AND(NOT(ISNUMBER($G40)),LOWER(LEFT($G40,1))&lt;&gt;"n"),"Not a valid distance",OR(LOWER(LEFT($G40,1))="n",$G40&lt;ScoringTable!$P$161),1,RIGHT($E40,1)="B",_xlfn.XLOOKUP($G40,ScoringTable!$P$2:$P$161,ScoringTable!$L$2:$L$161,,-1),TRUE,_xlfn.XLOOKUP($G40,ScoringTable!$V$2:$V$161,ScoringTable!$R$2:$R$161,,-1))</f>
        <v>70</v>
      </c>
    </row>
    <row r="41" spans="1:13" ht="16.05" customHeight="1">
      <c r="A41" s="80" t="s">
        <v>104</v>
      </c>
      <c r="B41" s="79" t="str">
        <f>IF(ISNA(VLOOKUP($F41,Declarations!B$6:C$185,2,FALSE)),"",IF(VLOOKUP($F41,Declarations!B$6:C$185,2,FALSE)="","NOT DECLARED",IF(ISNA(_xlfn.TEXTBEFORE(VLOOKUP($F41,Declarations!B$6:C$185,2,FALSE)," ")),VLOOKUP($F41,Declarations!B$6:C$185,2,FALSE),_xlfn.TEXTBEFORE(VLOOKUP($F41,Declarations!B$6:C$185,2,FALSE)," "))))</f>
        <v>DANIEL</v>
      </c>
      <c r="C41" s="79" t="str">
        <f>IF(ISNA(VLOOKUP($F41,Declarations!B$6:C$185,2,FALSE)),"",IF(VLOOKUP($F41,Declarations!B$6:C$185,2,FALSE)="","NOT DECLARED",IF(ISNA(_xlfn.TEXTAFTER(VLOOKUP($F41,Declarations!B$6:C$185,2,FALSE)," ")),VLOOKUP($F41,Declarations!B$6:C$185,2,FALSE),_xlfn.TEXTAFTER(VLOOKUP($F41,Declarations!B$6:C$185,2,FALSE)," "))))</f>
        <v>BURKE</v>
      </c>
      <c r="D41" s="79" t="str">
        <f>IF(ISNA(VLOOKUP($F41,Declarations!$B$6:$F$185,5,FALSE)),"",IF(VLOOKUP($F41,Declarations!$B$6:$F$185,5,FALSE)="","NOT DECLARED",VLOOKUP($F41,Declarations!$B$6:$F$185,5,FALSE)))</f>
        <v>Waverley Athletics Club</v>
      </c>
      <c r="E41" s="112" t="str">
        <f>IF(ISNA(VLOOKUP($F41,Declarations!$B$6:$D$185,3,FALSE)),"",IF(VLOOKUP($F41,Declarations!$B$6:$D$185,3,FALSE)="","NOT DECLARED",VLOOKUP($F41,Declarations!$B$6:$D$185,3,FALSE)&amp;LEFT(VLOOKUP($F41,Declarations!$B$6:$E$185,4,FALSE))))</f>
        <v>U12B</v>
      </c>
      <c r="F41" s="20">
        <v>94</v>
      </c>
      <c r="G41" s="21"/>
      <c r="H41" s="281"/>
      <c r="I41" s="8" t="str">
        <f>IF(ISNA(VLOOKUP(F41,Declarations!B$6:C$185,2,FALSE)),"",IF(VLOOKUP(F41,Declarations!B$6:C$185,2,FALSE)="","NOT DECLARED",VLOOKUP(F41,Declarations!B$6:C$185,2,FALSE)))</f>
        <v>DANIEL BURKE</v>
      </c>
      <c r="J41" s="2">
        <f>IF(LOWER(LEFT(G41,1))="n",1,VLOOKUP(G41,ScoringTable!E$2:I$95,5))</f>
        <v>0</v>
      </c>
      <c r="K41" s="112" t="str">
        <f>IF(OR(E41="",G41=""),"",IF(RIGHT(E41,1)="G",_xlfn.XLOOKUP(G41,Data!$D$13:$L$13,Data!$D$9:$L$9,"",-1,1),_xlfn.XLOOKUP(G41,Data!$D$6:$L$6,Data!$D$2:$L$2,"",-1,1)))</f>
        <v/>
      </c>
      <c r="L41" s="160" t="str" cm="1">
        <f t="array" ref="L41">IFERROR(_xlfn.IFNA(
                      _xlfn.IFS(
                      F41="", "",
                      AND(E41="U12B",G41&gt;=Data!$M$6), "U12 Boys record",
                      AND(E41="U12G",G41&gt;=Data!$M$13), "U12 Girls record"
                       ),""), "")</f>
        <v/>
      </c>
      <c r="M41" s="18" cm="1">
        <f t="array" ref="M41">_xlfn.IFS($G41="",0,AND(NOT(ISNUMBER($G41)),LOWER(LEFT($G41,1))&lt;&gt;"n"),"Not a valid distance",OR(LOWER(LEFT($G41,1))="n",$G41&lt;ScoringTable!$P$161),1,RIGHT($E41,1)="B",_xlfn.XLOOKUP($G41,ScoringTable!$P$2:$P$161,ScoringTable!$L$2:$L$161,,-1),TRUE,_xlfn.XLOOKUP($G41,ScoringTable!$V$2:$V$161,ScoringTable!$R$2:$R$161,,-1))</f>
        <v>0</v>
      </c>
    </row>
    <row r="42" spans="1:13" ht="16.05" customHeight="1">
      <c r="A42" s="80" t="s">
        <v>104</v>
      </c>
      <c r="B42" s="79" t="str">
        <f>IF(ISNA(VLOOKUP($F42,Declarations!B$6:C$185,2,FALSE)),"",IF(VLOOKUP($F42,Declarations!B$6:C$185,2,FALSE)="","NOT DECLARED",IF(ISNA(_xlfn.TEXTBEFORE(VLOOKUP($F42,Declarations!B$6:C$185,2,FALSE)," ")),VLOOKUP($F42,Declarations!B$6:C$185,2,FALSE),_xlfn.TEXTBEFORE(VLOOKUP($F42,Declarations!B$6:C$185,2,FALSE)," "))))</f>
        <v>LEONARDO</v>
      </c>
      <c r="C42" s="79" t="str">
        <f>IF(ISNA(VLOOKUP($F42,Declarations!B$6:C$185,2,FALSE)),"",IF(VLOOKUP($F42,Declarations!B$6:C$185,2,FALSE)="","NOT DECLARED",IF(ISNA(_xlfn.TEXTAFTER(VLOOKUP($F42,Declarations!B$6:C$185,2,FALSE)," ")),VLOOKUP($F42,Declarations!B$6:C$185,2,FALSE),_xlfn.TEXTAFTER(VLOOKUP($F42,Declarations!B$6:C$185,2,FALSE)," "))))</f>
        <v>OLALEMI</v>
      </c>
      <c r="D42" s="79" t="str">
        <f>IF(ISNA(VLOOKUP($F42,Declarations!$B$6:$F$185,5,FALSE)),"",IF(VLOOKUP($F42,Declarations!$B$6:$F$185,5,FALSE)="","NOT DECLARED",VLOOKUP($F42,Declarations!$B$6:$F$185,5,FALSE)))</f>
        <v>Waverley Athletics Club</v>
      </c>
      <c r="E42" s="112" t="str">
        <f>IF(ISNA(VLOOKUP($F42,Declarations!$B$6:$D$185,3,FALSE)),"",IF(VLOOKUP($F42,Declarations!$B$6:$D$185,3,FALSE)="","NOT DECLARED",VLOOKUP($F42,Declarations!$B$6:$D$185,3,FALSE)&amp;LEFT(VLOOKUP($F42,Declarations!$B$6:$E$185,4,FALSE))))</f>
        <v>U12B</v>
      </c>
      <c r="F42" s="20">
        <v>95</v>
      </c>
      <c r="G42" s="21">
        <v>36.99</v>
      </c>
      <c r="H42" s="281"/>
      <c r="I42" s="8" t="str">
        <f>IF(ISNA(VLOOKUP(F42,Declarations!B$6:C$185,2,FALSE)),"",IF(VLOOKUP(F42,Declarations!B$6:C$185,2,FALSE)="","NOT DECLARED",VLOOKUP(F42,Declarations!B$6:C$185,2,FALSE)))</f>
        <v>LEONARDO OLALEMI</v>
      </c>
      <c r="J42" s="2">
        <f>IF(LOWER(LEFT(G42,1))="n",1,VLOOKUP(G42,ScoringTable!E$2:I$95,5))</f>
        <v>73</v>
      </c>
      <c r="K42" s="112" t="str">
        <f>IF(OR(E42="",G42=""),"",IF(RIGHT(E42,1)="G",_xlfn.XLOOKUP(G42,Data!$D$13:$L$13,Data!$D$9:$L$9,"",-1,1),_xlfn.XLOOKUP(G42,Data!$D$6:$L$6,Data!$D$2:$L$2,"",-1,1)))</f>
        <v>PB9</v>
      </c>
      <c r="L42" s="160" t="str" cm="1">
        <f t="array" ref="L42">IFERROR(_xlfn.IFNA(
                      _xlfn.IFS(
                      F42="", "",
                      AND(E42="U12B",G42&gt;=Data!$M$6), "U12 Boys record",
                      AND(E42="U12G",G42&gt;=Data!$M$13), "U12 Girls record"
                       ),""), "")</f>
        <v/>
      </c>
      <c r="M42" s="18" cm="1">
        <f t="array" ref="M42">_xlfn.IFS($G42="",0,AND(NOT(ISNUMBER($G42)),LOWER(LEFT($G42,1))&lt;&gt;"n"),"Not a valid distance",OR(LOWER(LEFT($G42,1))="n",$G42&lt;ScoringTable!$P$161),1,RIGHT($E42,1)="B",_xlfn.XLOOKUP($G42,ScoringTable!$P$2:$P$161,ScoringTable!$L$2:$L$161,,-1),TRUE,_xlfn.XLOOKUP($G42,ScoringTable!$V$2:$V$161,ScoringTable!$R$2:$R$161,,-1))</f>
        <v>125</v>
      </c>
    </row>
    <row r="43" spans="1:13" ht="16.05" customHeight="1">
      <c r="A43" s="80" t="s">
        <v>104</v>
      </c>
      <c r="B43" s="79" t="str">
        <f>IF(ISNA(VLOOKUP($F43,Declarations!B$6:C$185,2,FALSE)),"",IF(VLOOKUP($F43,Declarations!B$6:C$185,2,FALSE)="","NOT DECLARED",IF(ISNA(_xlfn.TEXTBEFORE(VLOOKUP($F43,Declarations!B$6:C$185,2,FALSE)," ")),VLOOKUP($F43,Declarations!B$6:C$185,2,FALSE),_xlfn.TEXTBEFORE(VLOOKUP($F43,Declarations!B$6:C$185,2,FALSE)," "))))</f>
        <v>TADHG</v>
      </c>
      <c r="C43" s="79" t="str">
        <f>IF(ISNA(VLOOKUP($F43,Declarations!B$6:C$185,2,FALSE)),"",IF(VLOOKUP($F43,Declarations!B$6:C$185,2,FALSE)="","NOT DECLARED",IF(ISNA(_xlfn.TEXTAFTER(VLOOKUP($F43,Declarations!B$6:C$185,2,FALSE)," ")),VLOOKUP($F43,Declarations!B$6:C$185,2,FALSE),_xlfn.TEXTAFTER(VLOOKUP($F43,Declarations!B$6:C$185,2,FALSE)," "))))</f>
        <v>WATSON</v>
      </c>
      <c r="D43" s="79" t="str">
        <f>IF(ISNA(VLOOKUP($F43,Declarations!$B$6:$F$185,5,FALSE)),"",IF(VLOOKUP($F43,Declarations!$B$6:$F$185,5,FALSE)="","NOT DECLARED",VLOOKUP($F43,Declarations!$B$6:$F$185,5,FALSE)))</f>
        <v>Waverley Athletics Club</v>
      </c>
      <c r="E43" s="112" t="str">
        <f>IF(ISNA(VLOOKUP($F43,Declarations!$B$6:$D$185,3,FALSE)),"",IF(VLOOKUP($F43,Declarations!$B$6:$D$185,3,FALSE)="","NOT DECLARED",VLOOKUP($F43,Declarations!$B$6:$D$185,3,FALSE)&amp;LEFT(VLOOKUP($F43,Declarations!$B$6:$E$185,4,FALSE))))</f>
        <v>U12B</v>
      </c>
      <c r="F43" s="20">
        <v>96</v>
      </c>
      <c r="G43" s="21"/>
      <c r="H43" s="281"/>
      <c r="I43" s="8" t="str">
        <f>IF(ISNA(VLOOKUP(F43,Declarations!B$6:C$185,2,FALSE)),"",IF(VLOOKUP(F43,Declarations!B$6:C$185,2,FALSE)="","NOT DECLARED",VLOOKUP(F43,Declarations!B$6:C$185,2,FALSE)))</f>
        <v>TADHG WATSON</v>
      </c>
      <c r="J43" s="2">
        <f>IF(LOWER(LEFT(G43,1))="n",1,VLOOKUP(G43,ScoringTable!E$2:I$95,5))</f>
        <v>0</v>
      </c>
      <c r="K43" s="112" t="str">
        <f>IF(OR(E43="",G43=""),"",IF(RIGHT(E43,1)="G",_xlfn.XLOOKUP(G43,Data!$D$13:$L$13,Data!$D$9:$L$9,"",-1,1),_xlfn.XLOOKUP(G43,Data!$D$6:$L$6,Data!$D$2:$L$2,"",-1,1)))</f>
        <v/>
      </c>
      <c r="L43" s="160" t="str" cm="1">
        <f t="array" ref="L43">IFERROR(_xlfn.IFNA(
                      _xlfn.IFS(
                      F43="", "",
                      AND(E43="U12B",G43&gt;=Data!$M$6), "U12 Boys record",
                      AND(E43="U12G",G43&gt;=Data!$M$13), "U12 Girls record"
                       ),""), "")</f>
        <v/>
      </c>
      <c r="M43" s="18" cm="1">
        <f t="array" ref="M43">_xlfn.IFS($G43="",0,AND(NOT(ISNUMBER($G43)),LOWER(LEFT($G43,1))&lt;&gt;"n"),"Not a valid distance",OR(LOWER(LEFT($G43,1))="n",$G43&lt;ScoringTable!$P$161),1,RIGHT($E43,1)="B",_xlfn.XLOOKUP($G43,ScoringTable!$P$2:$P$161,ScoringTable!$L$2:$L$161,,-1),TRUE,_xlfn.XLOOKUP($G43,ScoringTable!$V$2:$V$161,ScoringTable!$R$2:$R$161,,-1))</f>
        <v>0</v>
      </c>
    </row>
    <row r="44" spans="1:13" ht="16.05" customHeight="1">
      <c r="A44" s="80" t="s">
        <v>104</v>
      </c>
      <c r="B44" s="79" t="str">
        <f>IF(ISNA(VLOOKUP($F44,Declarations!B$6:C$185,2,FALSE)),"",IF(VLOOKUP($F44,Declarations!B$6:C$185,2,FALSE)="","NOT DECLARED",IF(ISNA(_xlfn.TEXTBEFORE(VLOOKUP($F44,Declarations!B$6:C$185,2,FALSE)," ")),VLOOKUP($F44,Declarations!B$6:C$185,2,FALSE),_xlfn.TEXTBEFORE(VLOOKUP($F44,Declarations!B$6:C$185,2,FALSE)," "))))</f>
        <v>STAN</v>
      </c>
      <c r="C44" s="79" t="str">
        <f>IF(ISNA(VLOOKUP($F44,Declarations!B$6:C$185,2,FALSE)),"",IF(VLOOKUP($F44,Declarations!B$6:C$185,2,FALSE)="","NOT DECLARED",IF(ISNA(_xlfn.TEXTAFTER(VLOOKUP($F44,Declarations!B$6:C$185,2,FALSE)," ")),VLOOKUP($F44,Declarations!B$6:C$185,2,FALSE),_xlfn.TEXTAFTER(VLOOKUP($F44,Declarations!B$6:C$185,2,FALSE)," "))))</f>
        <v>CLIPSHAM</v>
      </c>
      <c r="D44" s="79" t="str">
        <f>IF(ISNA(VLOOKUP($F44,Declarations!$B$6:$F$185,5,FALSE)),"",IF(VLOOKUP($F44,Declarations!$B$6:$F$185,5,FALSE)="","NOT DECLARED",VLOOKUP($F44,Declarations!$B$6:$F$185,5,FALSE)))</f>
        <v>Waverley Athletics Club</v>
      </c>
      <c r="E44" s="112" t="str">
        <f>IF(ISNA(VLOOKUP($F44,Declarations!$B$6:$D$185,3,FALSE)),"",IF(VLOOKUP($F44,Declarations!$B$6:$D$185,3,FALSE)="","NOT DECLARED",VLOOKUP($F44,Declarations!$B$6:$D$185,3,FALSE)&amp;LEFT(VLOOKUP($F44,Declarations!$B$6:$E$185,4,FALSE))))</f>
        <v>U12B</v>
      </c>
      <c r="F44" s="20">
        <v>97</v>
      </c>
      <c r="G44" s="21"/>
      <c r="H44" s="281"/>
      <c r="I44" s="8" t="str">
        <f>IF(ISNA(VLOOKUP(F44,Declarations!B$6:C$185,2,FALSE)),"",IF(VLOOKUP(F44,Declarations!B$6:C$185,2,FALSE)="","NOT DECLARED",VLOOKUP(F44,Declarations!B$6:C$185,2,FALSE)))</f>
        <v>STAN CLIPSHAM</v>
      </c>
      <c r="J44" s="2">
        <f>IF(LOWER(LEFT(G44,1))="n",1,VLOOKUP(G44,ScoringTable!E$2:I$95,5))</f>
        <v>0</v>
      </c>
      <c r="K44" s="112" t="str">
        <f>IF(OR(E44="",G44=""),"",IF(RIGHT(E44,1)="G",_xlfn.XLOOKUP(G44,Data!$D$13:$L$13,Data!$D$9:$L$9,"",-1,1),_xlfn.XLOOKUP(G44,Data!$D$6:$L$6,Data!$D$2:$L$2,"",-1,1)))</f>
        <v/>
      </c>
      <c r="L44" s="160" t="str" cm="1">
        <f t="array" ref="L44">IFERROR(_xlfn.IFNA(
                      _xlfn.IFS(
                      F44="", "",
                      AND(E44="U12B",G44&gt;=Data!$M$6), "U12 Boys record",
                      AND(E44="U12G",G44&gt;=Data!$M$13), "U12 Girls record"
                       ),""), "")</f>
        <v/>
      </c>
      <c r="M44" s="18" cm="1">
        <f t="array" ref="M44">_xlfn.IFS($G44="",0,AND(NOT(ISNUMBER($G44)),LOWER(LEFT($G44,1))&lt;&gt;"n"),"Not a valid distance",OR(LOWER(LEFT($G44,1))="n",$G44&lt;ScoringTable!$P$161),1,RIGHT($E44,1)="B",_xlfn.XLOOKUP($G44,ScoringTable!$P$2:$P$161,ScoringTable!$L$2:$L$161,,-1),TRUE,_xlfn.XLOOKUP($G44,ScoringTable!$V$2:$V$161,ScoringTable!$R$2:$R$161,,-1))</f>
        <v>0</v>
      </c>
    </row>
    <row r="45" spans="1:13" ht="16.05" customHeight="1">
      <c r="A45" s="80" t="s">
        <v>104</v>
      </c>
      <c r="B45" s="79" t="str">
        <f>IF(ISNA(VLOOKUP($F45,Declarations!B$6:C$185,2,FALSE)),"",IF(VLOOKUP($F45,Declarations!B$6:C$185,2,FALSE)="","NOT DECLARED",IF(ISNA(_xlfn.TEXTBEFORE(VLOOKUP($F45,Declarations!B$6:C$185,2,FALSE)," ")),VLOOKUP($F45,Declarations!B$6:C$185,2,FALSE),_xlfn.TEXTBEFORE(VLOOKUP($F45,Declarations!B$6:C$185,2,FALSE)," "))))</f>
        <v>JENSON</v>
      </c>
      <c r="C45" s="79" t="str">
        <f>IF(ISNA(VLOOKUP($F45,Declarations!B$6:C$185,2,FALSE)),"",IF(VLOOKUP($F45,Declarations!B$6:C$185,2,FALSE)="","NOT DECLARED",IF(ISNA(_xlfn.TEXTAFTER(VLOOKUP($F45,Declarations!B$6:C$185,2,FALSE)," ")),VLOOKUP($F45,Declarations!B$6:C$185,2,FALSE),_xlfn.TEXTAFTER(VLOOKUP($F45,Declarations!B$6:C$185,2,FALSE)," "))))</f>
        <v>PROUT</v>
      </c>
      <c r="D45" s="79" t="str">
        <f>IF(ISNA(VLOOKUP($F45,Declarations!$B$6:$F$185,5,FALSE)),"",IF(VLOOKUP($F45,Declarations!$B$6:$F$185,5,FALSE)="","NOT DECLARED",VLOOKUP($F45,Declarations!$B$6:$F$185,5,FALSE)))</f>
        <v>Basingstoke &amp; Mid Hants AC</v>
      </c>
      <c r="E45" s="112" t="str">
        <f>IF(ISNA(VLOOKUP($F45,Declarations!$B$6:$D$185,3,FALSE)),"",IF(VLOOKUP($F45,Declarations!$B$6:$D$185,3,FALSE)="","NOT DECLARED",VLOOKUP($F45,Declarations!$B$6:$D$185,3,FALSE)&amp;LEFT(VLOOKUP($F45,Declarations!$B$6:$E$185,4,FALSE))))</f>
        <v>U12B</v>
      </c>
      <c r="F45" s="20">
        <v>111</v>
      </c>
      <c r="G45" s="21">
        <v>32.86</v>
      </c>
      <c r="H45" s="281"/>
      <c r="I45" s="8" t="str">
        <f>IF(ISNA(VLOOKUP(F45,Declarations!B$6:C$185,2,FALSE)),"",IF(VLOOKUP(F45,Declarations!B$6:C$185,2,FALSE)="","NOT DECLARED",VLOOKUP(F45,Declarations!B$6:C$185,2,FALSE)))</f>
        <v>JENSON PROUT</v>
      </c>
      <c r="J45" s="2">
        <f>IF(LOWER(LEFT(G45,1))="n",1,VLOOKUP(G45,ScoringTable!E$2:I$95,5))</f>
        <v>65</v>
      </c>
      <c r="K45" s="112" t="str">
        <f>IF(OR(E45="",G45=""),"",IF(RIGHT(E45,1)="G",_xlfn.XLOOKUP(G45,Data!$D$13:$L$13,Data!$D$9:$L$9,"",-1,1),_xlfn.XLOOKUP(G45,Data!$D$6:$L$6,Data!$D$2:$L$2,"",-1,1)))</f>
        <v>PB9</v>
      </c>
      <c r="L45" s="160" t="str" cm="1">
        <f t="array" ref="L45">IFERROR(_xlfn.IFNA(
                      _xlfn.IFS(
                      F45="", "",
                      AND(E45="U12B",G45&gt;=Data!$M$6), "U12 Boys record",
                      AND(E45="U12G",G45&gt;=Data!$M$13), "U12 Girls record"
                       ),""), "")</f>
        <v/>
      </c>
      <c r="M45" s="18" cm="1">
        <f t="array" ref="M45">_xlfn.IFS($G45="",0,AND(NOT(ISNUMBER($G45)),LOWER(LEFT($G45,1))&lt;&gt;"n"),"Not a valid distance",OR(LOWER(LEFT($G45,1))="n",$G45&lt;ScoringTable!$P$161),1,RIGHT($E45,1)="B",_xlfn.XLOOKUP($G45,ScoringTable!$P$2:$P$161,ScoringTable!$L$2:$L$161,,-1),TRUE,_xlfn.XLOOKUP($G45,ScoringTable!$V$2:$V$161,ScoringTable!$R$2:$R$161,,-1))</f>
        <v>114</v>
      </c>
    </row>
    <row r="46" spans="1:13" ht="16.05" customHeight="1">
      <c r="A46" s="80" t="s">
        <v>104</v>
      </c>
      <c r="B46" s="79" t="str">
        <f>IF(ISNA(VLOOKUP($F46,Declarations!B$6:C$185,2,FALSE)),"",IF(VLOOKUP($F46,Declarations!B$6:C$185,2,FALSE)="","NOT DECLARED",IF(ISNA(_xlfn.TEXTBEFORE(VLOOKUP($F46,Declarations!B$6:C$185,2,FALSE)," ")),VLOOKUP($F46,Declarations!B$6:C$185,2,FALSE),_xlfn.TEXTBEFORE(VLOOKUP($F46,Declarations!B$6:C$185,2,FALSE)," "))))</f>
        <v>NOAH</v>
      </c>
      <c r="C46" s="79" t="str">
        <f>IF(ISNA(VLOOKUP($F46,Declarations!B$6:C$185,2,FALSE)),"",IF(VLOOKUP($F46,Declarations!B$6:C$185,2,FALSE)="","NOT DECLARED",IF(ISNA(_xlfn.TEXTAFTER(VLOOKUP($F46,Declarations!B$6:C$185,2,FALSE)," ")),VLOOKUP($F46,Declarations!B$6:C$185,2,FALSE),_xlfn.TEXTAFTER(VLOOKUP($F46,Declarations!B$6:C$185,2,FALSE)," "))))</f>
        <v>GRAHAM</v>
      </c>
      <c r="D46" s="79" t="str">
        <f>IF(ISNA(VLOOKUP($F46,Declarations!$B$6:$F$185,5,FALSE)),"",IF(VLOOKUP($F46,Declarations!$B$6:$F$185,5,FALSE)="","NOT DECLARED",VLOOKUP($F46,Declarations!$B$6:$F$185,5,FALSE)))</f>
        <v>Basingstoke &amp; Mid Hants AC</v>
      </c>
      <c r="E46" s="112" t="str">
        <f>IF(ISNA(VLOOKUP($F46,Declarations!$B$6:$D$185,3,FALSE)),"",IF(VLOOKUP($F46,Declarations!$B$6:$D$185,3,FALSE)="","NOT DECLARED",VLOOKUP($F46,Declarations!$B$6:$D$185,3,FALSE)&amp;LEFT(VLOOKUP($F46,Declarations!$B$6:$E$185,4,FALSE))))</f>
        <v>U12B</v>
      </c>
      <c r="F46" s="20">
        <v>112</v>
      </c>
      <c r="G46" s="21">
        <v>33.53</v>
      </c>
      <c r="H46" s="281"/>
      <c r="I46" s="8" t="str">
        <f>IF(ISNA(VLOOKUP(F46,Declarations!B$6:C$185,2,FALSE)),"",IF(VLOOKUP(F46,Declarations!B$6:C$185,2,FALSE)="","NOT DECLARED",VLOOKUP(F46,Declarations!B$6:C$185,2,FALSE)))</f>
        <v>NOAH GRAHAM</v>
      </c>
      <c r="J46" s="2">
        <f>IF(LOWER(LEFT(G46,1))="n",1,VLOOKUP(G46,ScoringTable!E$2:I$95,5))</f>
        <v>67</v>
      </c>
      <c r="K46" s="112" t="str">
        <f>IF(OR(E46="",G46=""),"",IF(RIGHT(E46,1)="G",_xlfn.XLOOKUP(G46,Data!$D$13:$L$13,Data!$D$9:$L$9,"",-1,1),_xlfn.XLOOKUP(G46,Data!$D$6:$L$6,Data!$D$2:$L$2,"",-1,1)))</f>
        <v>PB9</v>
      </c>
      <c r="L46" s="160" t="str" cm="1">
        <f t="array" ref="L46">IFERROR(_xlfn.IFNA(
                      _xlfn.IFS(
                      F46="", "",
                      AND(E46="U12B",G46&gt;=Data!$M$6), "U12 Boys record",
                      AND(E46="U12G",G46&gt;=Data!$M$13), "U12 Girls record"
                       ),""), "")</f>
        <v/>
      </c>
      <c r="M46" s="18" cm="1">
        <f t="array" ref="M46">_xlfn.IFS($G46="",0,AND(NOT(ISNUMBER($G46)),LOWER(LEFT($G46,1))&lt;&gt;"n"),"Not a valid distance",OR(LOWER(LEFT($G46,1))="n",$G46&lt;ScoringTable!$P$161),1,RIGHT($E46,1)="B",_xlfn.XLOOKUP($G46,ScoringTable!$P$2:$P$161,ScoringTable!$L$2:$L$161,,-1),TRUE,_xlfn.XLOOKUP($G46,ScoringTable!$V$2:$V$161,ScoringTable!$R$2:$R$161,,-1))</f>
        <v>117</v>
      </c>
    </row>
    <row r="47" spans="1:13" ht="16.05" customHeight="1">
      <c r="A47" s="80" t="s">
        <v>104</v>
      </c>
      <c r="B47" s="79" t="str">
        <f>IF(ISNA(VLOOKUP($F47,Declarations!B$6:C$185,2,FALSE)),"",IF(VLOOKUP($F47,Declarations!B$6:C$185,2,FALSE)="","NOT DECLARED",IF(ISNA(_xlfn.TEXTBEFORE(VLOOKUP($F47,Declarations!B$6:C$185,2,FALSE)," ")),VLOOKUP($F47,Declarations!B$6:C$185,2,FALSE),_xlfn.TEXTBEFORE(VLOOKUP($F47,Declarations!B$6:C$185,2,FALSE)," "))))</f>
        <v>ROME</v>
      </c>
      <c r="C47" s="79" t="str">
        <f>IF(ISNA(VLOOKUP($F47,Declarations!B$6:C$185,2,FALSE)),"",IF(VLOOKUP($F47,Declarations!B$6:C$185,2,FALSE)="","NOT DECLARED",IF(ISNA(_xlfn.TEXTAFTER(VLOOKUP($F47,Declarations!B$6:C$185,2,FALSE)," ")),VLOOKUP($F47,Declarations!B$6:C$185,2,FALSE),_xlfn.TEXTAFTER(VLOOKUP($F47,Declarations!B$6:C$185,2,FALSE)," "))))</f>
        <v>ALEXANDER SOLOMAN</v>
      </c>
      <c r="D47" s="79" t="str">
        <f>IF(ISNA(VLOOKUP($F47,Declarations!$B$6:$F$185,5,FALSE)),"",IF(VLOOKUP($F47,Declarations!$B$6:$F$185,5,FALSE)="","NOT DECLARED",VLOOKUP($F47,Declarations!$B$6:$F$185,5,FALSE)))</f>
        <v>Basingstoke &amp; Mid Hants AC</v>
      </c>
      <c r="E47" s="112" t="str">
        <f>IF(ISNA(VLOOKUP($F47,Declarations!$B$6:$D$185,3,FALSE)),"",IF(VLOOKUP($F47,Declarations!$B$6:$D$185,3,FALSE)="","NOT DECLARED",VLOOKUP($F47,Declarations!$B$6:$D$185,3,FALSE)&amp;LEFT(VLOOKUP($F47,Declarations!$B$6:$E$185,4,FALSE))))</f>
        <v>U12B</v>
      </c>
      <c r="F47" s="20">
        <v>113</v>
      </c>
      <c r="G47" s="21">
        <v>23.78</v>
      </c>
      <c r="H47" s="281"/>
      <c r="I47" s="8" t="str">
        <f>IF(ISNA(VLOOKUP(F47,Declarations!B$6:C$185,2,FALSE)),"",IF(VLOOKUP(F47,Declarations!B$6:C$185,2,FALSE)="","NOT DECLARED",VLOOKUP(F47,Declarations!B$6:C$185,2,FALSE)))</f>
        <v>ROME ALEXANDER SOLOMAN</v>
      </c>
      <c r="J47" s="2">
        <f>IF(LOWER(LEFT(G47,1))="n",1,VLOOKUP(G47,ScoringTable!E$2:I$95,5))</f>
        <v>47</v>
      </c>
      <c r="K47" s="112" t="str">
        <f>IF(OR(E47="",G47=""),"",IF(RIGHT(E47,1)="G",_xlfn.XLOOKUP(G47,Data!$D$13:$L$13,Data!$D$9:$L$9,"",-1,1),_xlfn.XLOOKUP(G47,Data!$D$6:$L$6,Data!$D$2:$L$2,"",-1,1)))</f>
        <v>PB5</v>
      </c>
      <c r="L47" s="160" t="str" cm="1">
        <f t="array" ref="L47">IFERROR(_xlfn.IFNA(
                      _xlfn.IFS(
                      F47="", "",
                      AND(E47="U12B",G47&gt;=Data!$M$6), "U12 Boys record",
                      AND(E47="U12G",G47&gt;=Data!$M$13), "U12 Girls record"
                       ),""), "")</f>
        <v/>
      </c>
      <c r="M47" s="18" cm="1">
        <f t="array" ref="M47">_xlfn.IFS($G47="",0,AND(NOT(ISNUMBER($G47)),LOWER(LEFT($G47,1))&lt;&gt;"n"),"Not a valid distance",OR(LOWER(LEFT($G47,1))="n",$G47&lt;ScoringTable!$P$161),1,RIGHT($E47,1)="B",_xlfn.XLOOKUP($G47,ScoringTable!$P$2:$P$161,ScoringTable!$L$2:$L$161,,-1),TRUE,_xlfn.XLOOKUP($G47,ScoringTable!$V$2:$V$161,ScoringTable!$R$2:$R$161,,-1))</f>
        <v>68</v>
      </c>
    </row>
    <row r="48" spans="1:13" ht="16.05" customHeight="1">
      <c r="A48" s="80" t="s">
        <v>104</v>
      </c>
      <c r="B48" s="79" t="str">
        <f>IF(ISNA(VLOOKUP($F48,Declarations!B$6:C$185,2,FALSE)),"",IF(VLOOKUP($F48,Declarations!B$6:C$185,2,FALSE)="","NOT DECLARED",IF(ISNA(_xlfn.TEXTBEFORE(VLOOKUP($F48,Declarations!B$6:C$185,2,FALSE)," ")),VLOOKUP($F48,Declarations!B$6:C$185,2,FALSE),_xlfn.TEXTBEFORE(VLOOKUP($F48,Declarations!B$6:C$185,2,FALSE)," "))))</f>
        <v>ISAAC</v>
      </c>
      <c r="C48" s="79" t="str">
        <f>IF(ISNA(VLOOKUP($F48,Declarations!B$6:C$185,2,FALSE)),"",IF(VLOOKUP($F48,Declarations!B$6:C$185,2,FALSE)="","NOT DECLARED",IF(ISNA(_xlfn.TEXTAFTER(VLOOKUP($F48,Declarations!B$6:C$185,2,FALSE)," ")),VLOOKUP($F48,Declarations!B$6:C$185,2,FALSE),_xlfn.TEXTAFTER(VLOOKUP($F48,Declarations!B$6:C$185,2,FALSE)," "))))</f>
        <v>STEWART</v>
      </c>
      <c r="D48" s="79" t="str">
        <f>IF(ISNA(VLOOKUP($F48,Declarations!$B$6:$F$185,5,FALSE)),"",IF(VLOOKUP($F48,Declarations!$B$6:$F$185,5,FALSE)="","NOT DECLARED",VLOOKUP($F48,Declarations!$B$6:$F$185,5,FALSE)))</f>
        <v>Basingstoke &amp; Mid Hants AC</v>
      </c>
      <c r="E48" s="112" t="str">
        <f>IF(ISNA(VLOOKUP($F48,Declarations!$B$6:$D$185,3,FALSE)),"",IF(VLOOKUP($F48,Declarations!$B$6:$D$185,3,FALSE)="","NOT DECLARED",VLOOKUP($F48,Declarations!$B$6:$D$185,3,FALSE)&amp;LEFT(VLOOKUP($F48,Declarations!$B$6:$E$185,4,FALSE))))</f>
        <v>U12B</v>
      </c>
      <c r="F48" s="20">
        <v>114</v>
      </c>
      <c r="G48" s="21">
        <v>16.239999999999998</v>
      </c>
      <c r="H48" s="281"/>
      <c r="I48" s="8" t="str">
        <f>IF(ISNA(VLOOKUP(F48,Declarations!B$6:C$185,2,FALSE)),"",IF(VLOOKUP(F48,Declarations!B$6:C$185,2,FALSE)="","NOT DECLARED",VLOOKUP(F48,Declarations!B$6:C$185,2,FALSE)))</f>
        <v>ISAAC STEWART</v>
      </c>
      <c r="J48" s="2">
        <f>IF(LOWER(LEFT(G48,1))="n",1,VLOOKUP(G48,ScoringTable!E$2:I$95,5))</f>
        <v>32</v>
      </c>
      <c r="K48" s="112" t="str">
        <f>IF(OR(E48="",G48=""),"",IF(RIGHT(E48,1)="G",_xlfn.XLOOKUP(G48,Data!$D$13:$L$13,Data!$D$9:$L$9,"",-1,1),_xlfn.XLOOKUP(G48,Data!$D$6:$L$6,Data!$D$2:$L$2,"",-1,1)))</f>
        <v>PB2</v>
      </c>
      <c r="L48" s="160" t="str" cm="1">
        <f t="array" ref="L48">IFERROR(_xlfn.IFNA(
                      _xlfn.IFS(
                      F48="", "",
                      AND(E48="U12B",G48&gt;=Data!$M$6), "U12 Boys record",
                      AND(E48="U12G",G48&gt;=Data!$M$13), "U12 Girls record"
                       ),""), "")</f>
        <v/>
      </c>
      <c r="M48" s="18" cm="1">
        <f t="array" ref="M48">_xlfn.IFS($G48="",0,AND(NOT(ISNUMBER($G48)),LOWER(LEFT($G48,1))&lt;&gt;"n"),"Not a valid distance",OR(LOWER(LEFT($G48,1))="n",$G48&lt;ScoringTable!$P$161),1,RIGHT($E48,1)="B",_xlfn.XLOOKUP($G48,ScoringTable!$P$2:$P$161,ScoringTable!$L$2:$L$161,,-1),TRUE,_xlfn.XLOOKUP($G48,ScoringTable!$V$2:$V$161,ScoringTable!$R$2:$R$161,,-1))</f>
        <v>31</v>
      </c>
    </row>
    <row r="49" spans="1:13" ht="16.05" customHeight="1">
      <c r="A49" s="80" t="s">
        <v>104</v>
      </c>
      <c r="B49" s="79" t="str">
        <f>IF(ISNA(VLOOKUP($F49,Declarations!B$6:C$185,2,FALSE)),"",IF(VLOOKUP($F49,Declarations!B$6:C$185,2,FALSE)="","NOT DECLARED",IF(ISNA(_xlfn.TEXTBEFORE(VLOOKUP($F49,Declarations!B$6:C$185,2,FALSE)," ")),VLOOKUP($F49,Declarations!B$6:C$185,2,FALSE),_xlfn.TEXTBEFORE(VLOOKUP($F49,Declarations!B$6:C$185,2,FALSE)," "))))</f>
        <v>ELLIOTT</v>
      </c>
      <c r="C49" s="79" t="str">
        <f>IF(ISNA(VLOOKUP($F49,Declarations!B$6:C$185,2,FALSE)),"",IF(VLOOKUP($F49,Declarations!B$6:C$185,2,FALSE)="","NOT DECLARED",IF(ISNA(_xlfn.TEXTAFTER(VLOOKUP($F49,Declarations!B$6:C$185,2,FALSE)," ")),VLOOKUP($F49,Declarations!B$6:C$185,2,FALSE),_xlfn.TEXTAFTER(VLOOKUP($F49,Declarations!B$6:C$185,2,FALSE)," "))))</f>
        <v>LEAVEY</v>
      </c>
      <c r="D49" s="79" t="str">
        <f>IF(ISNA(VLOOKUP($F49,Declarations!$B$6:$F$185,5,FALSE)),"",IF(VLOOKUP($F49,Declarations!$B$6:$F$185,5,FALSE)="","NOT DECLARED",VLOOKUP($F49,Declarations!$B$6:$F$185,5,FALSE)))</f>
        <v>Basingstoke &amp; Mid Hants AC</v>
      </c>
      <c r="E49" s="112" t="str">
        <f>IF(ISNA(VLOOKUP($F49,Declarations!$B$6:$D$185,3,FALSE)),"",IF(VLOOKUP($F49,Declarations!$B$6:$D$185,3,FALSE)="","NOT DECLARED",VLOOKUP($F49,Declarations!$B$6:$D$185,3,FALSE)&amp;LEFT(VLOOKUP($F49,Declarations!$B$6:$E$185,4,FALSE))))</f>
        <v>U12B</v>
      </c>
      <c r="F49" s="20">
        <v>115</v>
      </c>
      <c r="G49" s="21">
        <v>27.31</v>
      </c>
      <c r="H49" s="281"/>
      <c r="I49" s="8" t="str">
        <f>IF(ISNA(VLOOKUP(F49,Declarations!B$6:C$185,2,FALSE)),"",IF(VLOOKUP(F49,Declarations!B$6:C$185,2,FALSE)="","NOT DECLARED",VLOOKUP(F49,Declarations!B$6:C$185,2,FALSE)))</f>
        <v>ELLIOTT LEAVEY</v>
      </c>
      <c r="J49" s="2">
        <f>IF(LOWER(LEFT(G49,1))="n",1,VLOOKUP(G49,ScoringTable!E$2:I$95,5))</f>
        <v>54</v>
      </c>
      <c r="K49" s="112" t="str">
        <f>IF(OR(E49="",G49=""),"",IF(RIGHT(E49,1)="G",_xlfn.XLOOKUP(G49,Data!$D$13:$L$13,Data!$D$9:$L$9,"",-1,1),_xlfn.XLOOKUP(G49,Data!$D$6:$L$6,Data!$D$2:$L$2,"",-1,1)))</f>
        <v>PB7</v>
      </c>
      <c r="L49" s="160" t="str" cm="1">
        <f t="array" ref="L49">IFERROR(_xlfn.IFNA(
                      _xlfn.IFS(
                      F49="", "",
                      AND(E49="U12B",G49&gt;=Data!$M$6), "U12 Boys record",
                      AND(E49="U12G",G49&gt;=Data!$M$13), "U12 Girls record"
                       ),""), "")</f>
        <v/>
      </c>
      <c r="M49" s="18" cm="1">
        <f t="array" ref="M49">_xlfn.IFS($G49="",0,AND(NOT(ISNUMBER($G49)),LOWER(LEFT($G49,1))&lt;&gt;"n"),"Not a valid distance",OR(LOWER(LEFT($G49,1))="n",$G49&lt;ScoringTable!$P$161),1,RIGHT($E49,1)="B",_xlfn.XLOOKUP($G49,ScoringTable!$P$2:$P$161,ScoringTable!$L$2:$L$161,,-1),TRUE,_xlfn.XLOOKUP($G49,ScoringTable!$V$2:$V$161,ScoringTable!$R$2:$R$161,,-1))</f>
        <v>86</v>
      </c>
    </row>
    <row r="50" spans="1:13" ht="16.05" customHeight="1">
      <c r="A50" s="80" t="s">
        <v>104</v>
      </c>
      <c r="B50" s="79" t="str">
        <f>IF(ISNA(VLOOKUP($F50,Declarations!B$6:C$185,2,FALSE)),"",IF(VLOOKUP($F50,Declarations!B$6:C$185,2,FALSE)="","NOT DECLARED",IF(ISNA(_xlfn.TEXTBEFORE(VLOOKUP($F50,Declarations!B$6:C$185,2,FALSE)," ")),VLOOKUP($F50,Declarations!B$6:C$185,2,FALSE),_xlfn.TEXTBEFORE(VLOOKUP($F50,Declarations!B$6:C$185,2,FALSE)," "))))</f>
        <v>MYLES</v>
      </c>
      <c r="C50" s="79" t="str">
        <f>IF(ISNA(VLOOKUP($F50,Declarations!B$6:C$185,2,FALSE)),"",IF(VLOOKUP($F50,Declarations!B$6:C$185,2,FALSE)="","NOT DECLARED",IF(ISNA(_xlfn.TEXTAFTER(VLOOKUP($F50,Declarations!B$6:C$185,2,FALSE)," ")),VLOOKUP($F50,Declarations!B$6:C$185,2,FALSE),_xlfn.TEXTAFTER(VLOOKUP($F50,Declarations!B$6:C$185,2,FALSE)," "))))</f>
        <v>GODDARD</v>
      </c>
      <c r="D50" s="79" t="str">
        <f>IF(ISNA(VLOOKUP($F50,Declarations!$B$6:$F$185,5,FALSE)),"",IF(VLOOKUP($F50,Declarations!$B$6:$F$185,5,FALSE)="","NOT DECLARED",VLOOKUP($F50,Declarations!$B$6:$F$185,5,FALSE)))</f>
        <v>Basingstoke &amp; Mid Hants AC</v>
      </c>
      <c r="E50" s="112" t="str">
        <f>IF(ISNA(VLOOKUP($F50,Declarations!$B$6:$D$185,3,FALSE)),"",IF(VLOOKUP($F50,Declarations!$B$6:$D$185,3,FALSE)="","NOT DECLARED",VLOOKUP($F50,Declarations!$B$6:$D$185,3,FALSE)&amp;LEFT(VLOOKUP($F50,Declarations!$B$6:$E$185,4,FALSE))))</f>
        <v>U12B</v>
      </c>
      <c r="F50" s="20">
        <v>116</v>
      </c>
      <c r="G50" s="21">
        <v>17.43</v>
      </c>
      <c r="H50" s="281"/>
      <c r="I50" s="8" t="str">
        <f>IF(ISNA(VLOOKUP(F50,Declarations!B$6:C$185,2,FALSE)),"",IF(VLOOKUP(F50,Declarations!B$6:C$185,2,FALSE)="","NOT DECLARED",VLOOKUP(F50,Declarations!B$6:C$185,2,FALSE)))</f>
        <v>MYLES GODDARD</v>
      </c>
      <c r="J50" s="2">
        <f>IF(LOWER(LEFT(G50,1))="n",1,VLOOKUP(G50,ScoringTable!E$2:I$95,5))</f>
        <v>34</v>
      </c>
      <c r="K50" s="112" t="str">
        <f>IF(OR(E50="",G50=""),"",IF(RIGHT(E50,1)="G",_xlfn.XLOOKUP(G50,Data!$D$13:$L$13,Data!$D$9:$L$9,"",-1,1),_xlfn.XLOOKUP(G50,Data!$D$6:$L$6,Data!$D$2:$L$2,"",-1,1)))</f>
        <v>PB2</v>
      </c>
      <c r="L50" s="160" t="str" cm="1">
        <f t="array" ref="L50">IFERROR(_xlfn.IFNA(
                      _xlfn.IFS(
                      F50="", "",
                      AND(E50="U12B",G50&gt;=Data!$M$6), "U12 Boys record",
                      AND(E50="U12G",G50&gt;=Data!$M$13), "U12 Girls record"
                       ),""), "")</f>
        <v/>
      </c>
      <c r="M50" s="18" cm="1">
        <f t="array" ref="M50">_xlfn.IFS($G50="",0,AND(NOT(ISNUMBER($G50)),LOWER(LEFT($G50,1))&lt;&gt;"n"),"Not a valid distance",OR(LOWER(LEFT($G50,1))="n",$G50&lt;ScoringTable!$P$161),1,RIGHT($E50,1)="B",_xlfn.XLOOKUP($G50,ScoringTable!$P$2:$P$161,ScoringTable!$L$2:$L$161,,-1),TRUE,_xlfn.XLOOKUP($G50,ScoringTable!$V$2:$V$161,ScoringTable!$R$2:$R$161,,-1))</f>
        <v>37</v>
      </c>
    </row>
    <row r="51" spans="1:13" ht="16.05" customHeight="1">
      <c r="A51" s="80" t="s">
        <v>104</v>
      </c>
      <c r="B51" s="79" t="str">
        <f>IF(ISNA(VLOOKUP($F51,Declarations!B$6:C$185,2,FALSE)),"",IF(VLOOKUP($F51,Declarations!B$6:C$185,2,FALSE)="","NOT DECLARED",IF(ISNA(_xlfn.TEXTBEFORE(VLOOKUP($F51,Declarations!B$6:C$185,2,FALSE)," ")),VLOOKUP($F51,Declarations!B$6:C$185,2,FALSE),_xlfn.TEXTBEFORE(VLOOKUP($F51,Declarations!B$6:C$185,2,FALSE)," "))))</f>
        <v>JAY</v>
      </c>
      <c r="C51" s="79" t="str">
        <f>IF(ISNA(VLOOKUP($F51,Declarations!B$6:C$185,2,FALSE)),"",IF(VLOOKUP($F51,Declarations!B$6:C$185,2,FALSE)="","NOT DECLARED",IF(ISNA(_xlfn.TEXTAFTER(VLOOKUP($F51,Declarations!B$6:C$185,2,FALSE)," ")),VLOOKUP($F51,Declarations!B$6:C$185,2,FALSE),_xlfn.TEXTAFTER(VLOOKUP($F51,Declarations!B$6:C$185,2,FALSE)," "))))</f>
        <v>GOVIND</v>
      </c>
      <c r="D51" s="79" t="str">
        <f>IF(ISNA(VLOOKUP($F51,Declarations!$B$6:$F$185,5,FALSE)),"",IF(VLOOKUP($F51,Declarations!$B$6:$F$185,5,FALSE)="","NOT DECLARED",VLOOKUP($F51,Declarations!$B$6:$F$185,5,FALSE)))</f>
        <v>Basingstoke &amp; Mid Hants AC</v>
      </c>
      <c r="E51" s="112" t="str">
        <f>IF(ISNA(VLOOKUP($F51,Declarations!$B$6:$D$185,3,FALSE)),"",IF(VLOOKUP($F51,Declarations!$B$6:$D$185,3,FALSE)="","NOT DECLARED",VLOOKUP($F51,Declarations!$B$6:$D$185,3,FALSE)&amp;LEFT(VLOOKUP($F51,Declarations!$B$6:$E$185,4,FALSE))))</f>
        <v>U12B</v>
      </c>
      <c r="F51" s="20">
        <v>117</v>
      </c>
      <c r="G51" s="21">
        <v>36</v>
      </c>
      <c r="H51" s="281"/>
      <c r="I51" s="8" t="str">
        <f>IF(ISNA(VLOOKUP(F51,Declarations!B$6:C$185,2,FALSE)),"",IF(VLOOKUP(F51,Declarations!B$6:C$185,2,FALSE)="","NOT DECLARED",VLOOKUP(F51,Declarations!B$6:C$185,2,FALSE)))</f>
        <v>JAY GOVIND</v>
      </c>
      <c r="J51" s="2">
        <f>IF(LOWER(LEFT(G51,1))="n",1,VLOOKUP(G51,ScoringTable!E$2:I$95,5))</f>
        <v>72</v>
      </c>
      <c r="K51" s="112" t="str">
        <f>IF(OR(E51="",G51=""),"",IF(RIGHT(E51,1)="G",_xlfn.XLOOKUP(G51,Data!$D$13:$L$13,Data!$D$9:$L$9,"",-1,1),_xlfn.XLOOKUP(G51,Data!$D$6:$L$6,Data!$D$2:$L$2,"",-1,1)))</f>
        <v>PB9</v>
      </c>
      <c r="L51" s="160" t="str" cm="1">
        <f t="array" ref="L51">IFERROR(_xlfn.IFNA(
                      _xlfn.IFS(
                      F51="", "",
                      AND(E51="U12B",G51&gt;=Data!$M$6), "U12 Boys record",
                      AND(E51="U12G",G51&gt;=Data!$M$13), "U12 Girls record"
                       ),""), "")</f>
        <v/>
      </c>
      <c r="M51" s="18" cm="1">
        <f t="array" ref="M51">_xlfn.IFS($G51="",0,AND(NOT(ISNUMBER($G51)),LOWER(LEFT($G51,1))&lt;&gt;"n"),"Not a valid distance",OR(LOWER(LEFT($G51,1))="n",$G51&lt;ScoringTable!$P$161),1,RIGHT($E51,1)="B",_xlfn.XLOOKUP($G51,ScoringTable!$P$2:$P$161,ScoringTable!$L$2:$L$161,,-1),TRUE,_xlfn.XLOOKUP($G51,ScoringTable!$V$2:$V$161,ScoringTable!$R$2:$R$161,,-1))</f>
        <v>124</v>
      </c>
    </row>
    <row r="52" spans="1:13" ht="16.05" customHeight="1">
      <c r="A52" s="80" t="s">
        <v>104</v>
      </c>
      <c r="B52" s="79" t="str">
        <f>IF(ISNA(VLOOKUP($F52,Declarations!B$6:C$185,2,FALSE)),"",IF(VLOOKUP($F52,Declarations!B$6:C$185,2,FALSE)="","NOT DECLARED",IF(ISNA(_xlfn.TEXTBEFORE(VLOOKUP($F52,Declarations!B$6:C$185,2,FALSE)," ")),VLOOKUP($F52,Declarations!B$6:C$185,2,FALSE),_xlfn.TEXTBEFORE(VLOOKUP($F52,Declarations!B$6:C$185,2,FALSE)," "))))</f>
        <v>TOBY</v>
      </c>
      <c r="C52" s="79" t="str">
        <f>IF(ISNA(VLOOKUP($F52,Declarations!B$6:C$185,2,FALSE)),"",IF(VLOOKUP($F52,Declarations!B$6:C$185,2,FALSE)="","NOT DECLARED",IF(ISNA(_xlfn.TEXTAFTER(VLOOKUP($F52,Declarations!B$6:C$185,2,FALSE)," ")),VLOOKUP($F52,Declarations!B$6:C$185,2,FALSE),_xlfn.TEXTAFTER(VLOOKUP($F52,Declarations!B$6:C$185,2,FALSE)," "))))</f>
        <v>POWELL</v>
      </c>
      <c r="D52" s="79" t="str">
        <f>IF(ISNA(VLOOKUP($F52,Declarations!$B$6:$F$185,5,FALSE)),"",IF(VLOOKUP($F52,Declarations!$B$6:$F$185,5,FALSE)="","NOT DECLARED",VLOOKUP($F52,Declarations!$B$6:$F$185,5,FALSE)))</f>
        <v>Basingstoke &amp; Mid Hants AC</v>
      </c>
      <c r="E52" s="112" t="str">
        <f>IF(ISNA(VLOOKUP($F52,Declarations!$B$6:$D$185,3,FALSE)),"",IF(VLOOKUP($F52,Declarations!$B$6:$D$185,3,FALSE)="","NOT DECLARED",VLOOKUP($F52,Declarations!$B$6:$D$185,3,FALSE)&amp;LEFT(VLOOKUP($F52,Declarations!$B$6:$E$185,4,FALSE))))</f>
        <v>U12B</v>
      </c>
      <c r="F52" s="20">
        <v>118</v>
      </c>
      <c r="G52" s="21">
        <v>32.950000000000003</v>
      </c>
      <c r="H52" s="281"/>
      <c r="I52" s="8" t="str">
        <f>IF(ISNA(VLOOKUP(F52,Declarations!B$6:C$185,2,FALSE)),"",IF(VLOOKUP(F52,Declarations!B$6:C$185,2,FALSE)="","NOT DECLARED",VLOOKUP(F52,Declarations!B$6:C$185,2,FALSE)))</f>
        <v>TOBY POWELL</v>
      </c>
      <c r="J52" s="2">
        <f>IF(LOWER(LEFT(G52,1))="n",1,VLOOKUP(G52,ScoringTable!E$2:I$95,5))</f>
        <v>65</v>
      </c>
      <c r="K52" s="112" t="str">
        <f>IF(OR(E52="",G52=""),"",IF(RIGHT(E52,1)="G",_xlfn.XLOOKUP(G52,Data!$D$13:$L$13,Data!$D$9:$L$9,"",-1,1),_xlfn.XLOOKUP(G52,Data!$D$6:$L$6,Data!$D$2:$L$2,"",-1,1)))</f>
        <v>PB9</v>
      </c>
      <c r="L52" s="160" t="str" cm="1">
        <f t="array" ref="L52">IFERROR(_xlfn.IFNA(
                      _xlfn.IFS(
                      F52="", "",
                      AND(E52="U12B",G52&gt;=Data!$M$6), "U12 Boys record",
                      AND(E52="U12G",G52&gt;=Data!$M$13), "U12 Girls record"
                       ),""), "")</f>
        <v/>
      </c>
      <c r="M52" s="18" cm="1">
        <f t="array" ref="M52">_xlfn.IFS($G52="",0,AND(NOT(ISNUMBER($G52)),LOWER(LEFT($G52,1))&lt;&gt;"n"),"Not a valid distance",OR(LOWER(LEFT($G52,1))="n",$G52&lt;ScoringTable!$P$161),1,RIGHT($E52,1)="B",_xlfn.XLOOKUP($G52,ScoringTable!$P$2:$P$161,ScoringTable!$L$2:$L$161,,-1),TRUE,_xlfn.XLOOKUP($G52,ScoringTable!$V$2:$V$161,ScoringTable!$R$2:$R$161,,-1))</f>
        <v>114</v>
      </c>
    </row>
    <row r="53" spans="1:13" ht="16.05" customHeight="1">
      <c r="A53" s="80" t="s">
        <v>104</v>
      </c>
      <c r="B53" s="79" t="str">
        <f>IF(ISNA(VLOOKUP($F53,Declarations!B$6:C$185,2,FALSE)),"",IF(VLOOKUP($F53,Declarations!B$6:C$185,2,FALSE)="","NOT DECLARED",IF(ISNA(_xlfn.TEXTBEFORE(VLOOKUP($F53,Declarations!B$6:C$185,2,FALSE)," ")),VLOOKUP($F53,Declarations!B$6:C$185,2,FALSE),_xlfn.TEXTBEFORE(VLOOKUP($F53,Declarations!B$6:C$185,2,FALSE)," "))))</f>
        <v>ALEX</v>
      </c>
      <c r="C53" s="79" t="str">
        <f>IF(ISNA(VLOOKUP($F53,Declarations!B$6:C$185,2,FALSE)),"",IF(VLOOKUP($F53,Declarations!B$6:C$185,2,FALSE)="","NOT DECLARED",IF(ISNA(_xlfn.TEXTAFTER(VLOOKUP($F53,Declarations!B$6:C$185,2,FALSE)," ")),VLOOKUP($F53,Declarations!B$6:C$185,2,FALSE),_xlfn.TEXTAFTER(VLOOKUP($F53,Declarations!B$6:C$185,2,FALSE)," "))))</f>
        <v>WILKINSON</v>
      </c>
      <c r="D53" s="79" t="str">
        <f>IF(ISNA(VLOOKUP($F53,Declarations!$B$6:$F$185,5,FALSE)),"",IF(VLOOKUP($F53,Declarations!$B$6:$F$185,5,FALSE)="","NOT DECLARED",VLOOKUP($F53,Declarations!$B$6:$F$185,5,FALSE)))</f>
        <v>Basingstoke &amp; Mid Hants AC</v>
      </c>
      <c r="E53" s="112" t="str">
        <f>IF(ISNA(VLOOKUP($F53,Declarations!$B$6:$D$185,3,FALSE)),"",IF(VLOOKUP($F53,Declarations!$B$6:$D$185,3,FALSE)="","NOT DECLARED",VLOOKUP($F53,Declarations!$B$6:$D$185,3,FALSE)&amp;LEFT(VLOOKUP($F53,Declarations!$B$6:$E$185,4,FALSE))))</f>
        <v>U12B</v>
      </c>
      <c r="F53" s="20">
        <v>119</v>
      </c>
      <c r="G53" s="21">
        <v>26.94</v>
      </c>
      <c r="H53" s="281"/>
      <c r="I53" s="8" t="str">
        <f>IF(ISNA(VLOOKUP(F53,Declarations!B$6:C$185,2,FALSE)),"",IF(VLOOKUP(F53,Declarations!B$6:C$185,2,FALSE)="","NOT DECLARED",VLOOKUP(F53,Declarations!B$6:C$185,2,FALSE)))</f>
        <v>ALEX WILKINSON</v>
      </c>
      <c r="J53" s="2">
        <f>IF(LOWER(LEFT(G53,1))="n",1,VLOOKUP(G53,ScoringTable!E$2:I$95,5))</f>
        <v>53</v>
      </c>
      <c r="K53" s="112" t="str">
        <f>IF(OR(E53="",G53=""),"",IF(RIGHT(E53,1)="G",_xlfn.XLOOKUP(G53,Data!$D$13:$L$13,Data!$D$9:$L$9,"",-1,1),_xlfn.XLOOKUP(G53,Data!$D$6:$L$6,Data!$D$2:$L$2,"",-1,1)))</f>
        <v>PB7</v>
      </c>
      <c r="L53" s="160" t="str" cm="1">
        <f t="array" ref="L53">IFERROR(_xlfn.IFNA(
                      _xlfn.IFS(
                      F53="", "",
                      AND(E53="U12B",G53&gt;=Data!$M$6), "U12 Boys record",
                      AND(E53="U12G",G53&gt;=Data!$M$13), "U12 Girls record"
                       ),""), "")</f>
        <v/>
      </c>
      <c r="M53" s="18" cm="1">
        <f t="array" ref="M53">_xlfn.IFS($G53="",0,AND(NOT(ISNUMBER($G53)),LOWER(LEFT($G53,1))&lt;&gt;"n"),"Not a valid distance",OR(LOWER(LEFT($G53,1))="n",$G53&lt;ScoringTable!$P$161),1,RIGHT($E53,1)="B",_xlfn.XLOOKUP($G53,ScoringTable!$P$2:$P$161,ScoringTable!$L$2:$L$161,,-1),TRUE,_xlfn.XLOOKUP($G53,ScoringTable!$V$2:$V$161,ScoringTable!$R$2:$R$161,,-1))</f>
        <v>84</v>
      </c>
    </row>
    <row r="54" spans="1:13" ht="16.05" customHeight="1">
      <c r="A54" s="80" t="s">
        <v>104</v>
      </c>
      <c r="B54" s="79" t="str">
        <f>IF(ISNA(VLOOKUP($F54,Declarations!B$6:C$185,2,FALSE)),"",IF(VLOOKUP($F54,Declarations!B$6:C$185,2,FALSE)="","NOT DECLARED",IF(ISNA(_xlfn.TEXTBEFORE(VLOOKUP($F54,Declarations!B$6:C$185,2,FALSE)," ")),VLOOKUP($F54,Declarations!B$6:C$185,2,FALSE),_xlfn.TEXTBEFORE(VLOOKUP($F54,Declarations!B$6:C$185,2,FALSE)," "))))</f>
        <v>ETHAN</v>
      </c>
      <c r="C54" s="79" t="str">
        <f>IF(ISNA(VLOOKUP($F54,Declarations!B$6:C$185,2,FALSE)),"",IF(VLOOKUP($F54,Declarations!B$6:C$185,2,FALSE)="","NOT DECLARED",IF(ISNA(_xlfn.TEXTAFTER(VLOOKUP($F54,Declarations!B$6:C$185,2,FALSE)," ")),VLOOKUP($F54,Declarations!B$6:C$185,2,FALSE),_xlfn.TEXTAFTER(VLOOKUP($F54,Declarations!B$6:C$185,2,FALSE)," "))))</f>
        <v>WEIGHT</v>
      </c>
      <c r="D54" s="79" t="str">
        <f>IF(ISNA(VLOOKUP($F54,Declarations!$B$6:$F$185,5,FALSE)),"",IF(VLOOKUP($F54,Declarations!$B$6:$F$185,5,FALSE)="","NOT DECLARED",VLOOKUP($F54,Declarations!$B$6:$F$185,5,FALSE)))</f>
        <v>Basingstoke &amp; Mid Hants AC</v>
      </c>
      <c r="E54" s="112" t="str">
        <f>IF(ISNA(VLOOKUP($F54,Declarations!$B$6:$D$185,3,FALSE)),"",IF(VLOOKUP($F54,Declarations!$B$6:$D$185,3,FALSE)="","NOT DECLARED",VLOOKUP($F54,Declarations!$B$6:$D$185,3,FALSE)&amp;LEFT(VLOOKUP($F54,Declarations!$B$6:$E$185,4,FALSE))))</f>
        <v>U12B</v>
      </c>
      <c r="F54" s="20">
        <v>120</v>
      </c>
      <c r="G54" s="21">
        <v>15.66</v>
      </c>
      <c r="H54" s="281"/>
      <c r="I54" s="8" t="str">
        <f>IF(ISNA(VLOOKUP(F54,Declarations!B$6:C$185,2,FALSE)),"",IF(VLOOKUP(F54,Declarations!B$6:C$185,2,FALSE)="","NOT DECLARED",VLOOKUP(F54,Declarations!B$6:C$185,2,FALSE)))</f>
        <v>ETHAN WEIGHT</v>
      </c>
      <c r="J54" s="2">
        <f>IF(LOWER(LEFT(G54,1))="n",1,VLOOKUP(G54,ScoringTable!E$2:I$95,5))</f>
        <v>31</v>
      </c>
      <c r="K54" s="112" t="str">
        <f>IF(OR(E54="",G54=""),"",IF(RIGHT(E54,1)="G",_xlfn.XLOOKUP(G54,Data!$D$13:$L$13,Data!$D$9:$L$9,"",-1,1),_xlfn.XLOOKUP(G54,Data!$D$6:$L$6,Data!$D$2:$L$2,"",-1,1)))</f>
        <v>PB1</v>
      </c>
      <c r="L54" s="160" t="str" cm="1">
        <f t="array" ref="L54">IFERROR(_xlfn.IFNA(
                      _xlfn.IFS(
                      F54="", "",
                      AND(E54="U12B",G54&gt;=Data!$M$6), "U12 Boys record",
                      AND(E54="U12G",G54&gt;=Data!$M$13), "U12 Girls record"
                       ),""), "")</f>
        <v/>
      </c>
      <c r="M54" s="18" cm="1">
        <f t="array" ref="M54">_xlfn.IFS($G54="",0,AND(NOT(ISNUMBER($G54)),LOWER(LEFT($G54,1))&lt;&gt;"n"),"Not a valid distance",OR(LOWER(LEFT($G54,1))="n",$G54&lt;ScoringTable!$P$161),1,RIGHT($E54,1)="B",_xlfn.XLOOKUP($G54,ScoringTable!$P$2:$P$161,ScoringTable!$L$2:$L$161,,-1),TRUE,_xlfn.XLOOKUP($G54,ScoringTable!$V$2:$V$161,ScoringTable!$R$2:$R$161,,-1))</f>
        <v>28</v>
      </c>
    </row>
    <row r="55" spans="1:13" ht="16.05" customHeight="1">
      <c r="A55" s="80" t="s">
        <v>104</v>
      </c>
      <c r="B55" s="79" t="str">
        <f>IF(ISNA(VLOOKUP($F55,Declarations!B$6:C$185,2,FALSE)),"",IF(VLOOKUP($F55,Declarations!B$6:C$185,2,FALSE)="","NOT DECLARED",IF(ISNA(_xlfn.TEXTBEFORE(VLOOKUP($F55,Declarations!B$6:C$185,2,FALSE)," ")),VLOOKUP($F55,Declarations!B$6:C$185,2,FALSE),_xlfn.TEXTBEFORE(VLOOKUP($F55,Declarations!B$6:C$185,2,FALSE)," "))))</f>
        <v>MARCY</v>
      </c>
      <c r="C55" s="79" t="str">
        <f>IF(ISNA(VLOOKUP($F55,Declarations!B$6:C$185,2,FALSE)),"",IF(VLOOKUP($F55,Declarations!B$6:C$185,2,FALSE)="","NOT DECLARED",IF(ISNA(_xlfn.TEXTAFTER(VLOOKUP($F55,Declarations!B$6:C$185,2,FALSE)," ")),VLOOKUP($F55,Declarations!B$6:C$185,2,FALSE),_xlfn.TEXTAFTER(VLOOKUP($F55,Declarations!B$6:C$185,2,FALSE)," "))))</f>
        <v>POWER</v>
      </c>
      <c r="D55" s="79" t="str">
        <f>IF(ISNA(VLOOKUP($F55,Declarations!$B$6:$F$185,5,FALSE)),"",IF(VLOOKUP($F55,Declarations!$B$6:$F$185,5,FALSE)="","NOT DECLARED",VLOOKUP($F55,Declarations!$B$6:$F$185,5,FALSE)))</f>
        <v>Fleet &amp; Crookham AC</v>
      </c>
      <c r="E55" s="112" t="str">
        <f>IF(ISNA(VLOOKUP($F55,Declarations!$B$6:$D$185,3,FALSE)),"",IF(VLOOKUP($F55,Declarations!$B$6:$D$185,3,FALSE)="","NOT DECLARED",VLOOKUP($F55,Declarations!$B$6:$D$185,3,FALSE)&amp;LEFT(VLOOKUP($F55,Declarations!$B$6:$E$185,4,FALSE))))</f>
        <v>U12G</v>
      </c>
      <c r="F55" s="20">
        <v>61</v>
      </c>
      <c r="G55" s="21">
        <v>23.89</v>
      </c>
      <c r="H55" s="281"/>
      <c r="I55" s="8" t="str">
        <f>IF(ISNA(VLOOKUP(F55,Declarations!B$6:C$185,2,FALSE)),"",IF(VLOOKUP(F55,Declarations!B$6:C$185,2,FALSE)="","NOT DECLARED",VLOOKUP(F55,Declarations!B$6:C$185,2,FALSE)))</f>
        <v>MARCY POWER</v>
      </c>
      <c r="J55" s="2">
        <f>IF(LOWER(LEFT(G55,1))="n",1,VLOOKUP(G55,ScoringTable!E$2:I$95,5))</f>
        <v>47</v>
      </c>
      <c r="K55" s="112" t="str">
        <f>IF(OR(E55="",G55=""),"",IF(RIGHT(E55,1)="G",_xlfn.XLOOKUP(G55,Data!$D$13:$L$13,Data!$D$9:$L$9,"",-1,1),_xlfn.XLOOKUP(G55,Data!$D$6:$L$6,Data!$D$2:$L$2,"",-1,1)))</f>
        <v>PB6</v>
      </c>
      <c r="L55" s="160" t="str" cm="1">
        <f t="array" ref="L55">IFERROR(_xlfn.IFNA(
                      _xlfn.IFS(
                      F55="", "",
                      AND(E55="U12B",G55&gt;=Data!$M$6), "U12 Boys record",
                      AND(E55="U12G",G55&gt;=Data!$M$13), "U12 Girls record"
                       ),""), "")</f>
        <v/>
      </c>
      <c r="M55" s="18" cm="1">
        <f t="array" ref="M55">_xlfn.IFS($G55="",0,AND(NOT(ISNUMBER($G55)),LOWER(LEFT($G55,1))&lt;&gt;"n"),"Not a valid distance",OR(LOWER(LEFT($G55,1))="n",$G55&lt;ScoringTable!$P$161),1,RIGHT($E55,1)="B",_xlfn.XLOOKUP($G55,ScoringTable!$P$2:$P$161,ScoringTable!$L$2:$L$161,,-1),TRUE,_xlfn.XLOOKUP($G55,ScoringTable!$V$2:$V$161,ScoringTable!$R$2:$R$161,,-1))</f>
        <v>79</v>
      </c>
    </row>
    <row r="56" spans="1:13" ht="16.05" customHeight="1">
      <c r="A56" s="80" t="s">
        <v>104</v>
      </c>
      <c r="B56" s="79" t="str">
        <f>IF(ISNA(VLOOKUP($F56,Declarations!B$6:C$185,2,FALSE)),"",IF(VLOOKUP($F56,Declarations!B$6:C$185,2,FALSE)="","NOT DECLARED",IF(ISNA(_xlfn.TEXTBEFORE(VLOOKUP($F56,Declarations!B$6:C$185,2,FALSE)," ")),VLOOKUP($F56,Declarations!B$6:C$185,2,FALSE),_xlfn.TEXTBEFORE(VLOOKUP($F56,Declarations!B$6:C$185,2,FALSE)," "))))</f>
        <v>OTTILE</v>
      </c>
      <c r="C56" s="79" t="str">
        <f>IF(ISNA(VLOOKUP($F56,Declarations!B$6:C$185,2,FALSE)),"",IF(VLOOKUP($F56,Declarations!B$6:C$185,2,FALSE)="","NOT DECLARED",IF(ISNA(_xlfn.TEXTAFTER(VLOOKUP($F56,Declarations!B$6:C$185,2,FALSE)," ")),VLOOKUP($F56,Declarations!B$6:C$185,2,FALSE),_xlfn.TEXTAFTER(VLOOKUP($F56,Declarations!B$6:C$185,2,FALSE)," "))))</f>
        <v>WHITE</v>
      </c>
      <c r="D56" s="79" t="str">
        <f>IF(ISNA(VLOOKUP($F56,Declarations!$B$6:$F$185,5,FALSE)),"",IF(VLOOKUP($F56,Declarations!$B$6:$F$185,5,FALSE)="","NOT DECLARED",VLOOKUP($F56,Declarations!$B$6:$F$185,5,FALSE)))</f>
        <v>Fleet &amp; Crookham AC</v>
      </c>
      <c r="E56" s="112" t="str">
        <f>IF(ISNA(VLOOKUP($F56,Declarations!$B$6:$D$185,3,FALSE)),"",IF(VLOOKUP($F56,Declarations!$B$6:$D$185,3,FALSE)="","NOT DECLARED",VLOOKUP($F56,Declarations!$B$6:$D$185,3,FALSE)&amp;LEFT(VLOOKUP($F56,Declarations!$B$6:$E$185,4,FALSE))))</f>
        <v>U12G</v>
      </c>
      <c r="F56" s="20">
        <v>62</v>
      </c>
      <c r="G56" s="21">
        <v>18.93</v>
      </c>
      <c r="H56" s="281"/>
      <c r="I56" s="8" t="str">
        <f>IF(ISNA(VLOOKUP(F56,Declarations!B$6:C$185,2,FALSE)),"",IF(VLOOKUP(F56,Declarations!B$6:C$185,2,FALSE)="","NOT DECLARED",VLOOKUP(F56,Declarations!B$6:C$185,2,FALSE)))</f>
        <v>OTTILE WHITE</v>
      </c>
      <c r="J56" s="2">
        <f>IF(LOWER(LEFT(G56,1))="n",1,VLOOKUP(G56,ScoringTable!E$2:I$95,5))</f>
        <v>37</v>
      </c>
      <c r="K56" s="112" t="str">
        <f>IF(OR(E56="",G56=""),"",IF(RIGHT(E56,1)="G",_xlfn.XLOOKUP(G56,Data!$D$13:$L$13,Data!$D$9:$L$9,"",-1,1),_xlfn.XLOOKUP(G56,Data!$D$6:$L$6,Data!$D$2:$L$2,"",-1,1)))</f>
        <v>PB4</v>
      </c>
      <c r="L56" s="160" t="str" cm="1">
        <f t="array" ref="L56">IFERROR(_xlfn.IFNA(
                      _xlfn.IFS(
                      F56="", "",
                      AND(E56="U12B",G56&gt;=Data!$M$6), "U12 Boys record",
                      AND(E56="U12G",G56&gt;=Data!$M$13), "U12 Girls record"
                       ),""), "")</f>
        <v/>
      </c>
      <c r="M56" s="18" cm="1">
        <f t="array" ref="M56">_xlfn.IFS($G56="",0,AND(NOT(ISNUMBER($G56)),LOWER(LEFT($G56,1))&lt;&gt;"n"),"Not a valid distance",OR(LOWER(LEFT($G56,1))="n",$G56&lt;ScoringTable!$P$161),1,RIGHT($E56,1)="B",_xlfn.XLOOKUP($G56,ScoringTable!$P$2:$P$161,ScoringTable!$L$2:$L$161,,-1),TRUE,_xlfn.XLOOKUP($G56,ScoringTable!$V$2:$V$161,ScoringTable!$R$2:$R$161,,-1))</f>
        <v>54</v>
      </c>
    </row>
    <row r="57" spans="1:13" ht="16.05" customHeight="1">
      <c r="A57" s="80" t="s">
        <v>104</v>
      </c>
      <c r="B57" s="79" t="str">
        <f>IF(ISNA(VLOOKUP($F57,Declarations!B$6:C$185,2,FALSE)),"",IF(VLOOKUP($F57,Declarations!B$6:C$185,2,FALSE)="","NOT DECLARED",IF(ISNA(_xlfn.TEXTBEFORE(VLOOKUP($F57,Declarations!B$6:C$185,2,FALSE)," ")),VLOOKUP($F57,Declarations!B$6:C$185,2,FALSE),_xlfn.TEXTBEFORE(VLOOKUP($F57,Declarations!B$6:C$185,2,FALSE)," "))))</f>
        <v>BETH</v>
      </c>
      <c r="C57" s="79" t="str">
        <f>IF(ISNA(VLOOKUP($F57,Declarations!B$6:C$185,2,FALSE)),"",IF(VLOOKUP($F57,Declarations!B$6:C$185,2,FALSE)="","NOT DECLARED",IF(ISNA(_xlfn.TEXTAFTER(VLOOKUP($F57,Declarations!B$6:C$185,2,FALSE)," ")),VLOOKUP($F57,Declarations!B$6:C$185,2,FALSE),_xlfn.TEXTAFTER(VLOOKUP($F57,Declarations!B$6:C$185,2,FALSE)," "))))</f>
        <v>JOHNSTON</v>
      </c>
      <c r="D57" s="79" t="str">
        <f>IF(ISNA(VLOOKUP($F57,Declarations!$B$6:$F$185,5,FALSE)),"",IF(VLOOKUP($F57,Declarations!$B$6:$F$185,5,FALSE)="","NOT DECLARED",VLOOKUP($F57,Declarations!$B$6:$F$185,5,FALSE)))</f>
        <v>Fleet &amp; Crookham AC</v>
      </c>
      <c r="E57" s="112" t="str">
        <f>IF(ISNA(VLOOKUP($F57,Declarations!$B$6:$D$185,3,FALSE)),"",IF(VLOOKUP($F57,Declarations!$B$6:$D$185,3,FALSE)="","NOT DECLARED",VLOOKUP($F57,Declarations!$B$6:$D$185,3,FALSE)&amp;LEFT(VLOOKUP($F57,Declarations!$B$6:$E$185,4,FALSE))))</f>
        <v>U12G</v>
      </c>
      <c r="F57" s="20">
        <v>63</v>
      </c>
      <c r="G57" s="21">
        <v>10.99</v>
      </c>
      <c r="H57" s="281"/>
      <c r="I57" s="8" t="str">
        <f>IF(ISNA(VLOOKUP(F57,Declarations!B$6:C$185,2,FALSE)),"",IF(VLOOKUP(F57,Declarations!B$6:C$185,2,FALSE)="","NOT DECLARED",VLOOKUP(F57,Declarations!B$6:C$185,2,FALSE)))</f>
        <v>BETH JOHNSTON</v>
      </c>
      <c r="J57" s="2">
        <f>IF(LOWER(LEFT(G57,1))="n",1,VLOOKUP(G57,ScoringTable!E$2:I$95,5))</f>
        <v>21</v>
      </c>
      <c r="K57" s="112" t="str">
        <f>IF(OR(E57="",G57=""),"",IF(RIGHT(E57,1)="G",_xlfn.XLOOKUP(G57,Data!$D$13:$L$13,Data!$D$9:$L$9,"",-1,1),_xlfn.XLOOKUP(G57,Data!$D$6:$L$6,Data!$D$2:$L$2,"",-1,1)))</f>
        <v/>
      </c>
      <c r="L57" s="160" t="str" cm="1">
        <f t="array" ref="L57">IFERROR(_xlfn.IFNA(
                      _xlfn.IFS(
                      F57="", "",
                      AND(E57="U12B",G57&gt;=Data!$M$6), "U12 Boys record",
                      AND(E57="U12G",G57&gt;=Data!$M$13), "U12 Girls record"
                       ),""), "")</f>
        <v/>
      </c>
      <c r="M57" s="18" cm="1">
        <f t="array" ref="M57">_xlfn.IFS($G57="",0,AND(NOT(ISNUMBER($G57)),LOWER(LEFT($G57,1))&lt;&gt;"n"),"Not a valid distance",OR(LOWER(LEFT($G57,1))="n",$G57&lt;ScoringTable!$P$161),1,RIGHT($E57,1)="B",_xlfn.XLOOKUP($G57,ScoringTable!$P$2:$P$161,ScoringTable!$L$2:$L$161,,-1),TRUE,_xlfn.XLOOKUP($G57,ScoringTable!$V$2:$V$161,ScoringTable!$R$2:$R$161,,-1))</f>
        <v>17</v>
      </c>
    </row>
    <row r="58" spans="1:13" ht="16.05" customHeight="1">
      <c r="A58" s="80" t="s">
        <v>104</v>
      </c>
      <c r="B58" s="79" t="str">
        <f>IF(ISNA(VLOOKUP($F58,Declarations!B$6:C$185,2,FALSE)),"",IF(VLOOKUP($F58,Declarations!B$6:C$185,2,FALSE)="","NOT DECLARED",IF(ISNA(_xlfn.TEXTBEFORE(VLOOKUP($F58,Declarations!B$6:C$185,2,FALSE)," ")),VLOOKUP($F58,Declarations!B$6:C$185,2,FALSE),_xlfn.TEXTBEFORE(VLOOKUP($F58,Declarations!B$6:C$185,2,FALSE)," "))))</f>
        <v>MATILDA</v>
      </c>
      <c r="C58" s="79" t="str">
        <f>IF(ISNA(VLOOKUP($F58,Declarations!B$6:C$185,2,FALSE)),"",IF(VLOOKUP($F58,Declarations!B$6:C$185,2,FALSE)="","NOT DECLARED",IF(ISNA(_xlfn.TEXTAFTER(VLOOKUP($F58,Declarations!B$6:C$185,2,FALSE)," ")),VLOOKUP($F58,Declarations!B$6:C$185,2,FALSE),_xlfn.TEXTAFTER(VLOOKUP($F58,Declarations!B$6:C$185,2,FALSE)," "))))</f>
        <v>FLINT</v>
      </c>
      <c r="D58" s="79" t="str">
        <f>IF(ISNA(VLOOKUP($F58,Declarations!$B$6:$F$185,5,FALSE)),"",IF(VLOOKUP($F58,Declarations!$B$6:$F$185,5,FALSE)="","NOT DECLARED",VLOOKUP($F58,Declarations!$B$6:$F$185,5,FALSE)))</f>
        <v>Fleet &amp; Crookham AC</v>
      </c>
      <c r="E58" s="112" t="str">
        <f>IF(ISNA(VLOOKUP($F58,Declarations!$B$6:$D$185,3,FALSE)),"",IF(VLOOKUP($F58,Declarations!$B$6:$D$185,3,FALSE)="","NOT DECLARED",VLOOKUP($F58,Declarations!$B$6:$D$185,3,FALSE)&amp;LEFT(VLOOKUP($F58,Declarations!$B$6:$E$185,4,FALSE))))</f>
        <v>U12G</v>
      </c>
      <c r="F58" s="20">
        <v>64</v>
      </c>
      <c r="G58" s="21">
        <v>21.15</v>
      </c>
      <c r="H58" s="281"/>
      <c r="I58" s="8" t="str">
        <f>IF(ISNA(VLOOKUP(F58,Declarations!B$6:C$185,2,FALSE)),"",IF(VLOOKUP(F58,Declarations!B$6:C$185,2,FALSE)="","NOT DECLARED",VLOOKUP(F58,Declarations!B$6:C$185,2,FALSE)))</f>
        <v>MATILDA FLINT</v>
      </c>
      <c r="J58" s="2">
        <f>IF(LOWER(LEFT(G58,1))="n",1,VLOOKUP(G58,ScoringTable!E$2:I$95,5))</f>
        <v>42</v>
      </c>
      <c r="K58" s="112" t="str">
        <f>IF(OR(E58="",G58=""),"",IF(RIGHT(E58,1)="G",_xlfn.XLOOKUP(G58,Data!$D$13:$L$13,Data!$D$9:$L$9,"",-1,1),_xlfn.XLOOKUP(G58,Data!$D$6:$L$6,Data!$D$2:$L$2,"",-1,1)))</f>
        <v>PB5</v>
      </c>
      <c r="L58" s="160" t="str" cm="1">
        <f t="array" ref="L58">IFERROR(_xlfn.IFNA(
                      _xlfn.IFS(
                      F58="", "",
                      AND(E58="U12B",G58&gt;=Data!$M$6), "U12 Boys record",
                      AND(E58="U12G",G58&gt;=Data!$M$13), "U12 Girls record"
                       ),""), "")</f>
        <v/>
      </c>
      <c r="M58" s="18" cm="1">
        <f t="array" ref="M58">_xlfn.IFS($G58="",0,AND(NOT(ISNUMBER($G58)),LOWER(LEFT($G58,1))&lt;&gt;"n"),"Not a valid distance",OR(LOWER(LEFT($G58,1))="n",$G58&lt;ScoringTable!$P$161),1,RIGHT($E58,1)="B",_xlfn.XLOOKUP($G58,ScoringTable!$P$2:$P$161,ScoringTable!$L$2:$L$161,,-1),TRUE,_xlfn.XLOOKUP($G58,ScoringTable!$V$2:$V$161,ScoringTable!$R$2:$R$161,,-1))</f>
        <v>65</v>
      </c>
    </row>
    <row r="59" spans="1:13" ht="16.05" customHeight="1">
      <c r="A59" s="80" t="s">
        <v>104</v>
      </c>
      <c r="B59" s="79" t="str">
        <f>IF(ISNA(VLOOKUP($F59,Declarations!B$6:C$185,2,FALSE)),"",IF(VLOOKUP($F59,Declarations!B$6:C$185,2,FALSE)="","NOT DECLARED",IF(ISNA(_xlfn.TEXTBEFORE(VLOOKUP($F59,Declarations!B$6:C$185,2,FALSE)," ")),VLOOKUP($F59,Declarations!B$6:C$185,2,FALSE),_xlfn.TEXTBEFORE(VLOOKUP($F59,Declarations!B$6:C$185,2,FALSE)," "))))</f>
        <v>HONEY</v>
      </c>
      <c r="C59" s="79" t="str">
        <f>IF(ISNA(VLOOKUP($F59,Declarations!B$6:C$185,2,FALSE)),"",IF(VLOOKUP($F59,Declarations!B$6:C$185,2,FALSE)="","NOT DECLARED",IF(ISNA(_xlfn.TEXTAFTER(VLOOKUP($F59,Declarations!B$6:C$185,2,FALSE)," ")),VLOOKUP($F59,Declarations!B$6:C$185,2,FALSE),_xlfn.TEXTAFTER(VLOOKUP($F59,Declarations!B$6:C$185,2,FALSE)," "))))</f>
        <v>FLINT</v>
      </c>
      <c r="D59" s="79" t="str">
        <f>IF(ISNA(VLOOKUP($F59,Declarations!$B$6:$F$185,5,FALSE)),"",IF(VLOOKUP($F59,Declarations!$B$6:$F$185,5,FALSE)="","NOT DECLARED",VLOOKUP($F59,Declarations!$B$6:$F$185,5,FALSE)))</f>
        <v>Fleet &amp; Crookham AC</v>
      </c>
      <c r="E59" s="112" t="str">
        <f>IF(ISNA(VLOOKUP($F59,Declarations!$B$6:$D$185,3,FALSE)),"",IF(VLOOKUP($F59,Declarations!$B$6:$D$185,3,FALSE)="","NOT DECLARED",VLOOKUP($F59,Declarations!$B$6:$D$185,3,FALSE)&amp;LEFT(VLOOKUP($F59,Declarations!$B$6:$E$185,4,FALSE))))</f>
        <v>U12G</v>
      </c>
      <c r="F59" s="20">
        <v>65</v>
      </c>
      <c r="G59" s="21">
        <v>14.22</v>
      </c>
      <c r="H59" s="281"/>
      <c r="I59" s="8" t="str">
        <f>IF(ISNA(VLOOKUP(F59,Declarations!B$6:C$185,2,FALSE)),"",IF(VLOOKUP(F59,Declarations!B$6:C$185,2,FALSE)="","NOT DECLARED",VLOOKUP(F59,Declarations!B$6:C$185,2,FALSE)))</f>
        <v>HONEY FLINT</v>
      </c>
      <c r="J59" s="2">
        <f>IF(LOWER(LEFT(G59,1))="n",1,VLOOKUP(G59,ScoringTable!E$2:I$95,5))</f>
        <v>28</v>
      </c>
      <c r="K59" s="112" t="str">
        <f>IF(OR(E59="",G59=""),"",IF(RIGHT(E59,1)="G",_xlfn.XLOOKUP(G59,Data!$D$13:$L$13,Data!$D$9:$L$9,"",-1,1),_xlfn.XLOOKUP(G59,Data!$D$6:$L$6,Data!$D$2:$L$2,"",-1,1)))</f>
        <v>PB2</v>
      </c>
      <c r="L59" s="160" t="str" cm="1">
        <f t="array" ref="L59">IFERROR(_xlfn.IFNA(
                      _xlfn.IFS(
                      F59="", "",
                      AND(E59="U12B",G59&gt;=Data!$M$6), "U12 Boys record",
                      AND(E59="U12G",G59&gt;=Data!$M$13), "U12 Girls record"
                       ),""), "")</f>
        <v/>
      </c>
      <c r="M59" s="18" cm="1">
        <f t="array" ref="M59">_xlfn.IFS($G59="",0,AND(NOT(ISNUMBER($G59)),LOWER(LEFT($G59,1))&lt;&gt;"n"),"Not a valid distance",OR(LOWER(LEFT($G59,1))="n",$G59&lt;ScoringTable!$P$161),1,RIGHT($E59,1)="B",_xlfn.XLOOKUP($G59,ScoringTable!$P$2:$P$161,ScoringTable!$L$2:$L$161,,-1),TRUE,_xlfn.XLOOKUP($G59,ScoringTable!$V$2:$V$161,ScoringTable!$R$2:$R$161,,-1))</f>
        <v>31</v>
      </c>
    </row>
    <row r="60" spans="1:13" ht="16.05" customHeight="1">
      <c r="A60" s="80" t="s">
        <v>104</v>
      </c>
      <c r="B60" s="79" t="str">
        <f>IF(ISNA(VLOOKUP($F60,Declarations!B$6:C$185,2,FALSE)),"",IF(VLOOKUP($F60,Declarations!B$6:C$185,2,FALSE)="","NOT DECLARED",IF(ISNA(_xlfn.TEXTBEFORE(VLOOKUP($F60,Declarations!B$6:C$185,2,FALSE)," ")),VLOOKUP($F60,Declarations!B$6:C$185,2,FALSE),_xlfn.TEXTBEFORE(VLOOKUP($F60,Declarations!B$6:C$185,2,FALSE)," "))))</f>
        <v>BONNIE</v>
      </c>
      <c r="C60" s="79" t="str">
        <f>IF(ISNA(VLOOKUP($F60,Declarations!B$6:C$185,2,FALSE)),"",IF(VLOOKUP($F60,Declarations!B$6:C$185,2,FALSE)="","NOT DECLARED",IF(ISNA(_xlfn.TEXTAFTER(VLOOKUP($F60,Declarations!B$6:C$185,2,FALSE)," ")),VLOOKUP($F60,Declarations!B$6:C$185,2,FALSE),_xlfn.TEXTAFTER(VLOOKUP($F60,Declarations!B$6:C$185,2,FALSE)," "))))</f>
        <v>MOORE</v>
      </c>
      <c r="D60" s="79" t="str">
        <f>IF(ISNA(VLOOKUP($F60,Declarations!$B$6:$F$185,5,FALSE)),"",IF(VLOOKUP($F60,Declarations!$B$6:$F$185,5,FALSE)="","NOT DECLARED",VLOOKUP($F60,Declarations!$B$6:$F$185,5,FALSE)))</f>
        <v>Fleet &amp; Crookham AC</v>
      </c>
      <c r="E60" s="112" t="str">
        <f>IF(ISNA(VLOOKUP($F60,Declarations!$B$6:$D$185,3,FALSE)),"",IF(VLOOKUP($F60,Declarations!$B$6:$D$185,3,FALSE)="","NOT DECLARED",VLOOKUP($F60,Declarations!$B$6:$D$185,3,FALSE)&amp;LEFT(VLOOKUP($F60,Declarations!$B$6:$E$185,4,FALSE))))</f>
        <v>U12G</v>
      </c>
      <c r="F60" s="20">
        <v>67</v>
      </c>
      <c r="G60" s="21">
        <v>17.84</v>
      </c>
      <c r="H60" s="281"/>
      <c r="I60" s="8" t="str">
        <f>IF(ISNA(VLOOKUP(F60,Declarations!B$6:C$185,2,FALSE)),"",IF(VLOOKUP(F60,Declarations!B$6:C$185,2,FALSE)="","NOT DECLARED",VLOOKUP(F60,Declarations!B$6:C$185,2,FALSE)))</f>
        <v>BONNIE MOORE</v>
      </c>
      <c r="J60" s="2">
        <f>IF(LOWER(LEFT(G60,1))="n",1,VLOOKUP(G60,ScoringTable!E$2:I$95,5))</f>
        <v>35</v>
      </c>
      <c r="K60" s="112" t="str">
        <f>IF(OR(E60="",G60=""),"",IF(RIGHT(E60,1)="G",_xlfn.XLOOKUP(G60,Data!$D$13:$L$13,Data!$D$9:$L$9,"",-1,1),_xlfn.XLOOKUP(G60,Data!$D$6:$L$6,Data!$D$2:$L$2,"",-1,1)))</f>
        <v>PB3</v>
      </c>
      <c r="L60" s="160" t="str" cm="1">
        <f t="array" ref="L60">IFERROR(_xlfn.IFNA(
                      _xlfn.IFS(
                      F60="", "",
                      AND(E60="U12B",G60&gt;=Data!$M$6), "U12 Boys record",
                      AND(E60="U12G",G60&gt;=Data!$M$13), "U12 Girls record"
                       ),""), "")</f>
        <v/>
      </c>
      <c r="M60" s="18" cm="1">
        <f t="array" ref="M60">_xlfn.IFS($G60="",0,AND(NOT(ISNUMBER($G60)),LOWER(LEFT($G60,1))&lt;&gt;"n"),"Not a valid distance",OR(LOWER(LEFT($G60,1))="n",$G60&lt;ScoringTable!$P$161),1,RIGHT($E60,1)="B",_xlfn.XLOOKUP($G60,ScoringTable!$P$2:$P$161,ScoringTable!$L$2:$L$161,,-1),TRUE,_xlfn.XLOOKUP($G60,ScoringTable!$V$2:$V$161,ScoringTable!$R$2:$R$161,,-1))</f>
        <v>49</v>
      </c>
    </row>
    <row r="61" spans="1:13" ht="16.05" customHeight="1">
      <c r="A61" s="80" t="s">
        <v>104</v>
      </c>
      <c r="B61" s="79" t="str">
        <f>IF(ISNA(VLOOKUP($F61,Declarations!B$6:C$185,2,FALSE)),"",IF(VLOOKUP($F61,Declarations!B$6:C$185,2,FALSE)="","NOT DECLARED",IF(ISNA(_xlfn.TEXTBEFORE(VLOOKUP($F61,Declarations!B$6:C$185,2,FALSE)," ")),VLOOKUP($F61,Declarations!B$6:C$185,2,FALSE),_xlfn.TEXTBEFORE(VLOOKUP($F61,Declarations!B$6:C$185,2,FALSE)," "))))</f>
        <v>JOSEPHINE</v>
      </c>
      <c r="C61" s="79" t="str">
        <f>IF(ISNA(VLOOKUP($F61,Declarations!B$6:C$185,2,FALSE)),"",IF(VLOOKUP($F61,Declarations!B$6:C$185,2,FALSE)="","NOT DECLARED",IF(ISNA(_xlfn.TEXTAFTER(VLOOKUP($F61,Declarations!B$6:C$185,2,FALSE)," ")),VLOOKUP($F61,Declarations!B$6:C$185,2,FALSE),_xlfn.TEXTAFTER(VLOOKUP($F61,Declarations!B$6:C$185,2,FALSE)," "))))</f>
        <v>HARPER</v>
      </c>
      <c r="D61" s="79" t="str">
        <f>IF(ISNA(VLOOKUP($F61,Declarations!$B$6:$F$185,5,FALSE)),"",IF(VLOOKUP($F61,Declarations!$B$6:$F$185,5,FALSE)="","NOT DECLARED",VLOOKUP($F61,Declarations!$B$6:$F$185,5,FALSE)))</f>
        <v>Fleet &amp; Crookham AC</v>
      </c>
      <c r="E61" s="112" t="str">
        <f>IF(ISNA(VLOOKUP($F61,Declarations!$B$6:$D$185,3,FALSE)),"",IF(VLOOKUP($F61,Declarations!$B$6:$D$185,3,FALSE)="","NOT DECLARED",VLOOKUP($F61,Declarations!$B$6:$D$185,3,FALSE)&amp;LEFT(VLOOKUP($F61,Declarations!$B$6:$E$185,4,FALSE))))</f>
        <v>U12G</v>
      </c>
      <c r="F61" s="20">
        <v>70</v>
      </c>
      <c r="G61" s="21">
        <v>15.22</v>
      </c>
      <c r="H61" s="281"/>
      <c r="I61" s="8" t="str">
        <f>IF(ISNA(VLOOKUP(F61,Declarations!B$6:C$185,2,FALSE)),"",IF(VLOOKUP(F61,Declarations!B$6:C$185,2,FALSE)="","NOT DECLARED",VLOOKUP(F61,Declarations!B$6:C$185,2,FALSE)))</f>
        <v>JOSEPHINE HARPER</v>
      </c>
      <c r="J61" s="2">
        <f>IF(LOWER(LEFT(G61,1))="n",1,VLOOKUP(G61,ScoringTable!E$2:I$95,5))</f>
        <v>30</v>
      </c>
      <c r="K61" s="112" t="str">
        <f>IF(OR(E61="",G61=""),"",IF(RIGHT(E61,1)="G",_xlfn.XLOOKUP(G61,Data!$D$13:$L$13,Data!$D$9:$L$9,"",-1,1),_xlfn.XLOOKUP(G61,Data!$D$6:$L$6,Data!$D$2:$L$2,"",-1,1)))</f>
        <v>PB2</v>
      </c>
      <c r="L61" s="160" t="str" cm="1">
        <f t="array" ref="L61">IFERROR(_xlfn.IFNA(
                      _xlfn.IFS(
                      F61="", "",
                      AND(E61="U12B",G61&gt;=Data!$M$6), "U12 Boys record",
                      AND(E61="U12G",G61&gt;=Data!$M$13), "U12 Girls record"
                       ),""), "")</f>
        <v/>
      </c>
      <c r="M61" s="18" cm="1">
        <f t="array" ref="M61">_xlfn.IFS($G61="",0,AND(NOT(ISNUMBER($G61)),LOWER(LEFT($G61,1))&lt;&gt;"n"),"Not a valid distance",OR(LOWER(LEFT($G61,1))="n",$G61&lt;ScoringTable!$P$161),1,RIGHT($E61,1)="B",_xlfn.XLOOKUP($G61,ScoringTable!$P$2:$P$161,ScoringTable!$L$2:$L$161,,-1),TRUE,_xlfn.XLOOKUP($G61,ScoringTable!$V$2:$V$161,ScoringTable!$R$2:$R$161,,-1))</f>
        <v>36</v>
      </c>
    </row>
    <row r="62" spans="1:13" ht="16.05" customHeight="1">
      <c r="A62" s="80" t="s">
        <v>104</v>
      </c>
      <c r="B62" s="79" t="str">
        <f>IF(ISNA(VLOOKUP($F62,Declarations!B$6:C$185,2,FALSE)),"",IF(VLOOKUP($F62,Declarations!B$6:C$185,2,FALSE)="","NOT DECLARED",IF(ISNA(_xlfn.TEXTBEFORE(VLOOKUP($F62,Declarations!B$6:C$185,2,FALSE)," ")),VLOOKUP($F62,Declarations!B$6:C$185,2,FALSE),_xlfn.TEXTBEFORE(VLOOKUP($F62,Declarations!B$6:C$185,2,FALSE)," "))))</f>
        <v>FREYA</v>
      </c>
      <c r="C62" s="79" t="str">
        <f>IF(ISNA(VLOOKUP($F62,Declarations!B$6:C$185,2,FALSE)),"",IF(VLOOKUP($F62,Declarations!B$6:C$185,2,FALSE)="","NOT DECLARED",IF(ISNA(_xlfn.TEXTAFTER(VLOOKUP($F62,Declarations!B$6:C$185,2,FALSE)," ")),VLOOKUP($F62,Declarations!B$6:C$185,2,FALSE),_xlfn.TEXTAFTER(VLOOKUP($F62,Declarations!B$6:C$185,2,FALSE)," "))))</f>
        <v>BURGE</v>
      </c>
      <c r="D62" s="79" t="str">
        <f>IF(ISNA(VLOOKUP($F62,Declarations!$B$6:$F$185,5,FALSE)),"",IF(VLOOKUP($F62,Declarations!$B$6:$F$185,5,FALSE)="","NOT DECLARED",VLOOKUP($F62,Declarations!$B$6:$F$185,5,FALSE)))</f>
        <v>Waverley Athletics Club</v>
      </c>
      <c r="E62" s="112" t="str">
        <f>IF(ISNA(VLOOKUP($F62,Declarations!$B$6:$D$185,3,FALSE)),"",IF(VLOOKUP($F62,Declarations!$B$6:$D$185,3,FALSE)="","NOT DECLARED",VLOOKUP($F62,Declarations!$B$6:$D$185,3,FALSE)&amp;LEFT(VLOOKUP($F62,Declarations!$B$6:$E$185,4,FALSE))))</f>
        <v>U12G</v>
      </c>
      <c r="F62" s="20">
        <v>81</v>
      </c>
      <c r="G62" s="21">
        <v>14.91</v>
      </c>
      <c r="H62" s="281"/>
      <c r="I62" s="8" t="str">
        <f>IF(ISNA(VLOOKUP(F62,Declarations!B$6:C$185,2,FALSE)),"",IF(VLOOKUP(F62,Declarations!B$6:C$185,2,FALSE)="","NOT DECLARED",VLOOKUP(F62,Declarations!B$6:C$185,2,FALSE)))</f>
        <v>FREYA BURGE</v>
      </c>
      <c r="J62" s="2">
        <f>IF(LOWER(LEFT(G62,1))="n",1,VLOOKUP(G62,ScoringTable!E$2:I$95,5))</f>
        <v>29</v>
      </c>
      <c r="K62" s="112" t="str">
        <f>IF(OR(E62="",G62=""),"",IF(RIGHT(E62,1)="G",_xlfn.XLOOKUP(G62,Data!$D$13:$L$13,Data!$D$9:$L$9,"",-1,1),_xlfn.XLOOKUP(G62,Data!$D$6:$L$6,Data!$D$2:$L$2,"",-1,1)))</f>
        <v>PB2</v>
      </c>
      <c r="L62" s="160" t="str" cm="1">
        <f t="array" ref="L62">IFERROR(_xlfn.IFNA(
                      _xlfn.IFS(
                      F62="", "",
                      AND(E62="U12B",G62&gt;=Data!$M$6), "U12 Boys record",
                      AND(E62="U12G",G62&gt;=Data!$M$13), "U12 Girls record"
                       ),""), "")</f>
        <v/>
      </c>
      <c r="M62" s="18" cm="1">
        <f t="array" ref="M62">_xlfn.IFS($G62="",0,AND(NOT(ISNUMBER($G62)),LOWER(LEFT($G62,1))&lt;&gt;"n"),"Not a valid distance",OR(LOWER(LEFT($G62,1))="n",$G62&lt;ScoringTable!$P$161),1,RIGHT($E62,1)="B",_xlfn.XLOOKUP($G62,ScoringTable!$P$2:$P$161,ScoringTable!$L$2:$L$161,,-1),TRUE,_xlfn.XLOOKUP($G62,ScoringTable!$V$2:$V$161,ScoringTable!$R$2:$R$161,,-1))</f>
        <v>34</v>
      </c>
    </row>
    <row r="63" spans="1:13" ht="16.05" customHeight="1">
      <c r="A63" s="80" t="s">
        <v>104</v>
      </c>
      <c r="B63" s="79" t="str">
        <f>IF(ISNA(VLOOKUP($F63,Declarations!B$6:C$185,2,FALSE)),"",IF(VLOOKUP($F63,Declarations!B$6:C$185,2,FALSE)="","NOT DECLARED",IF(ISNA(_xlfn.TEXTBEFORE(VLOOKUP($F63,Declarations!B$6:C$185,2,FALSE)," ")),VLOOKUP($F63,Declarations!B$6:C$185,2,FALSE),_xlfn.TEXTBEFORE(VLOOKUP($F63,Declarations!B$6:C$185,2,FALSE)," "))))</f>
        <v>MATILDA</v>
      </c>
      <c r="C63" s="79" t="str">
        <f>IF(ISNA(VLOOKUP($F63,Declarations!B$6:C$185,2,FALSE)),"",IF(VLOOKUP($F63,Declarations!B$6:C$185,2,FALSE)="","NOT DECLARED",IF(ISNA(_xlfn.TEXTAFTER(VLOOKUP($F63,Declarations!B$6:C$185,2,FALSE)," ")),VLOOKUP($F63,Declarations!B$6:C$185,2,FALSE),_xlfn.TEXTAFTER(VLOOKUP($F63,Declarations!B$6:C$185,2,FALSE)," "))))</f>
        <v>KEER</v>
      </c>
      <c r="D63" s="79" t="str">
        <f>IF(ISNA(VLOOKUP($F63,Declarations!$B$6:$F$185,5,FALSE)),"",IF(VLOOKUP($F63,Declarations!$B$6:$F$185,5,FALSE)="","NOT DECLARED",VLOOKUP($F63,Declarations!$B$6:$F$185,5,FALSE)))</f>
        <v>Waverley Athletics Club</v>
      </c>
      <c r="E63" s="112" t="str">
        <f>IF(ISNA(VLOOKUP($F63,Declarations!$B$6:$D$185,3,FALSE)),"",IF(VLOOKUP($F63,Declarations!$B$6:$D$185,3,FALSE)="","NOT DECLARED",VLOOKUP($F63,Declarations!$B$6:$D$185,3,FALSE)&amp;LEFT(VLOOKUP($F63,Declarations!$B$6:$E$185,4,FALSE))))</f>
        <v>U12G</v>
      </c>
      <c r="F63" s="20">
        <v>82</v>
      </c>
      <c r="G63" s="21">
        <v>17.89</v>
      </c>
      <c r="H63" s="281"/>
      <c r="I63" s="8" t="str">
        <f>IF(ISNA(VLOOKUP(F63,Declarations!B$6:C$185,2,FALSE)),"",IF(VLOOKUP(F63,Declarations!B$6:C$185,2,FALSE)="","NOT DECLARED",VLOOKUP(F63,Declarations!B$6:C$185,2,FALSE)))</f>
        <v>MATILDA KEER</v>
      </c>
      <c r="J63" s="2">
        <f>IF(LOWER(LEFT(G63,1))="n",1,VLOOKUP(G63,ScoringTable!E$2:I$95,5))</f>
        <v>35</v>
      </c>
      <c r="K63" s="112" t="str">
        <f>IF(OR(E63="",G63=""),"",IF(RIGHT(E63,1)="G",_xlfn.XLOOKUP(G63,Data!$D$13:$L$13,Data!$D$9:$L$9,"",-1,1),_xlfn.XLOOKUP(G63,Data!$D$6:$L$6,Data!$D$2:$L$2,"",-1,1)))</f>
        <v>PB3</v>
      </c>
      <c r="L63" s="160" t="str" cm="1">
        <f t="array" ref="L63">IFERROR(_xlfn.IFNA(
                      _xlfn.IFS(
                      F63="", "",
                      AND(E63="U12B",G63&gt;=Data!$M$6), "U12 Boys record",
                      AND(E63="U12G",G63&gt;=Data!$M$13), "U12 Girls record"
                       ),""), "")</f>
        <v/>
      </c>
      <c r="M63" s="18" cm="1">
        <f t="array" ref="M63">_xlfn.IFS($G63="",0,AND(NOT(ISNUMBER($G63)),LOWER(LEFT($G63,1))&lt;&gt;"n"),"Not a valid distance",OR(LOWER(LEFT($G63,1))="n",$G63&lt;ScoringTable!$P$161),1,RIGHT($E63,1)="B",_xlfn.XLOOKUP($G63,ScoringTable!$P$2:$P$161,ScoringTable!$L$2:$L$161,,-1),TRUE,_xlfn.XLOOKUP($G63,ScoringTable!$V$2:$V$161,ScoringTable!$R$2:$R$161,,-1))</f>
        <v>49</v>
      </c>
    </row>
    <row r="64" spans="1:13" ht="16.05" customHeight="1">
      <c r="A64" s="80" t="s">
        <v>104</v>
      </c>
      <c r="B64" s="79" t="str">
        <f>IF(ISNA(VLOOKUP($F64,Declarations!B$6:C$185,2,FALSE)),"",IF(VLOOKUP($F64,Declarations!B$6:C$185,2,FALSE)="","NOT DECLARED",IF(ISNA(_xlfn.TEXTBEFORE(VLOOKUP($F64,Declarations!B$6:C$185,2,FALSE)," ")),VLOOKUP($F64,Declarations!B$6:C$185,2,FALSE),_xlfn.TEXTBEFORE(VLOOKUP($F64,Declarations!B$6:C$185,2,FALSE)," "))))</f>
        <v>ELEANOR</v>
      </c>
      <c r="C64" s="79" t="str">
        <f>IF(ISNA(VLOOKUP($F64,Declarations!B$6:C$185,2,FALSE)),"",IF(VLOOKUP($F64,Declarations!B$6:C$185,2,FALSE)="","NOT DECLARED",IF(ISNA(_xlfn.TEXTAFTER(VLOOKUP($F64,Declarations!B$6:C$185,2,FALSE)," ")),VLOOKUP($F64,Declarations!B$6:C$185,2,FALSE),_xlfn.TEXTAFTER(VLOOKUP($F64,Declarations!B$6:C$185,2,FALSE)," "))))</f>
        <v>OLALEMI</v>
      </c>
      <c r="D64" s="79" t="str">
        <f>IF(ISNA(VLOOKUP($F64,Declarations!$B$6:$F$185,5,FALSE)),"",IF(VLOOKUP($F64,Declarations!$B$6:$F$185,5,FALSE)="","NOT DECLARED",VLOOKUP($F64,Declarations!$B$6:$F$185,5,FALSE)))</f>
        <v>Waverley Athletics Club</v>
      </c>
      <c r="E64" s="112" t="str">
        <f>IF(ISNA(VLOOKUP($F64,Declarations!$B$6:$D$185,3,FALSE)),"",IF(VLOOKUP($F64,Declarations!$B$6:$D$185,3,FALSE)="","NOT DECLARED",VLOOKUP($F64,Declarations!$B$6:$D$185,3,FALSE)&amp;LEFT(VLOOKUP($F64,Declarations!$B$6:$E$185,4,FALSE))))</f>
        <v>U12G</v>
      </c>
      <c r="F64" s="20">
        <v>83</v>
      </c>
      <c r="G64" s="21">
        <v>10.25</v>
      </c>
      <c r="H64" s="281"/>
      <c r="I64" s="8" t="str">
        <f>IF(ISNA(VLOOKUP(F64,Declarations!B$6:C$185,2,FALSE)),"",IF(VLOOKUP(F64,Declarations!B$6:C$185,2,FALSE)="","NOT DECLARED",VLOOKUP(F64,Declarations!B$6:C$185,2,FALSE)))</f>
        <v>ELEANOR OLALEMI</v>
      </c>
      <c r="J64" s="2">
        <f>IF(LOWER(LEFT(G64,1))="n",1,VLOOKUP(G64,ScoringTable!E$2:I$95,5))</f>
        <v>20</v>
      </c>
      <c r="K64" s="112" t="str">
        <f>IF(OR(E64="",G64=""),"",IF(RIGHT(E64,1)="G",_xlfn.XLOOKUP(G64,Data!$D$13:$L$13,Data!$D$9:$L$9,"",-1,1),_xlfn.XLOOKUP(G64,Data!$D$6:$L$6,Data!$D$2:$L$2,"",-1,1)))</f>
        <v/>
      </c>
      <c r="L64" s="160" t="str" cm="1">
        <f t="array" ref="L64">IFERROR(_xlfn.IFNA(
                      _xlfn.IFS(
                      F64="", "",
                      AND(E64="U12B",G64&gt;=Data!$M$6), "U12 Boys record",
                      AND(E64="U12G",G64&gt;=Data!$M$13), "U12 Girls record"
                       ),""), "")</f>
        <v/>
      </c>
      <c r="M64" s="18" cm="1">
        <f t="array" ref="M64">_xlfn.IFS($G64="",0,AND(NOT(ISNUMBER($G64)),LOWER(LEFT($G64,1))&lt;&gt;"n"),"Not a valid distance",OR(LOWER(LEFT($G64,1))="n",$G64&lt;ScoringTable!$P$161),1,RIGHT($E64,1)="B",_xlfn.XLOOKUP($G64,ScoringTable!$P$2:$P$161,ScoringTable!$L$2:$L$161,,-1),TRUE,_xlfn.XLOOKUP($G64,ScoringTable!$V$2:$V$161,ScoringTable!$R$2:$R$161,,-1))</f>
        <v>16</v>
      </c>
    </row>
    <row r="65" spans="1:13" ht="16.05" customHeight="1">
      <c r="A65" s="80" t="s">
        <v>104</v>
      </c>
      <c r="B65" s="79" t="str">
        <f>IF(ISNA(VLOOKUP($F65,Declarations!B$6:C$185,2,FALSE)),"",IF(VLOOKUP($F65,Declarations!B$6:C$185,2,FALSE)="","NOT DECLARED",IF(ISNA(_xlfn.TEXTBEFORE(VLOOKUP($F65,Declarations!B$6:C$185,2,FALSE)," ")),VLOOKUP($F65,Declarations!B$6:C$185,2,FALSE),_xlfn.TEXTBEFORE(VLOOKUP($F65,Declarations!B$6:C$185,2,FALSE)," "))))</f>
        <v>FREYA</v>
      </c>
      <c r="C65" s="79" t="str">
        <f>IF(ISNA(VLOOKUP($F65,Declarations!B$6:C$185,2,FALSE)),"",IF(VLOOKUP($F65,Declarations!B$6:C$185,2,FALSE)="","NOT DECLARED",IF(ISNA(_xlfn.TEXTAFTER(VLOOKUP($F65,Declarations!B$6:C$185,2,FALSE)," ")),VLOOKUP($F65,Declarations!B$6:C$185,2,FALSE),_xlfn.TEXTAFTER(VLOOKUP($F65,Declarations!B$6:C$185,2,FALSE)," "))))</f>
        <v>MCKENZIE</v>
      </c>
      <c r="D65" s="79" t="str">
        <f>IF(ISNA(VLOOKUP($F65,Declarations!$B$6:$F$185,5,FALSE)),"",IF(VLOOKUP($F65,Declarations!$B$6:$F$185,5,FALSE)="","NOT DECLARED",VLOOKUP($F65,Declarations!$B$6:$F$185,5,FALSE)))</f>
        <v>Waverley Athletics Club</v>
      </c>
      <c r="E65" s="112" t="str">
        <f>IF(ISNA(VLOOKUP($F65,Declarations!$B$6:$D$185,3,FALSE)),"",IF(VLOOKUP($F65,Declarations!$B$6:$D$185,3,FALSE)="","NOT DECLARED",VLOOKUP($F65,Declarations!$B$6:$D$185,3,FALSE)&amp;LEFT(VLOOKUP($F65,Declarations!$B$6:$E$185,4,FALSE))))</f>
        <v>U12G</v>
      </c>
      <c r="F65" s="20">
        <v>84</v>
      </c>
      <c r="G65" s="21">
        <v>22.77</v>
      </c>
      <c r="H65" s="281"/>
      <c r="I65" s="8" t="str">
        <f>IF(ISNA(VLOOKUP(F65,Declarations!B$6:C$185,2,FALSE)),"",IF(VLOOKUP(F65,Declarations!B$6:C$185,2,FALSE)="","NOT DECLARED",VLOOKUP(F65,Declarations!B$6:C$185,2,FALSE)))</f>
        <v>FREYA MCKENZIE</v>
      </c>
      <c r="J65" s="2">
        <f>IF(LOWER(LEFT(G65,1))="n",1,VLOOKUP(G65,ScoringTable!E$2:I$95,5))</f>
        <v>45</v>
      </c>
      <c r="K65" s="112" t="str">
        <f>IF(OR(E65="",G65=""),"",IF(RIGHT(E65,1)="G",_xlfn.XLOOKUP(G65,Data!$D$13:$L$13,Data!$D$9:$L$9,"",-1,1),_xlfn.XLOOKUP(G65,Data!$D$6:$L$6,Data!$D$2:$L$2,"",-1,1)))</f>
        <v>PB6</v>
      </c>
      <c r="L65" s="160" t="str" cm="1">
        <f t="array" ref="L65">IFERROR(_xlfn.IFNA(
                      _xlfn.IFS(
                      F65="", "",
                      AND(E65="U12B",G65&gt;=Data!$M$6), "U12 Boys record",
                      AND(E65="U12G",G65&gt;=Data!$M$13), "U12 Girls record"
                       ),""), "")</f>
        <v/>
      </c>
      <c r="M65" s="18" cm="1">
        <f t="array" ref="M65">_xlfn.IFS($G65="",0,AND(NOT(ISNUMBER($G65)),LOWER(LEFT($G65,1))&lt;&gt;"n"),"Not a valid distance",OR(LOWER(LEFT($G65,1))="n",$G65&lt;ScoringTable!$P$161),1,RIGHT($E65,1)="B",_xlfn.XLOOKUP($G65,ScoringTable!$P$2:$P$161,ScoringTable!$L$2:$L$161,,-1),TRUE,_xlfn.XLOOKUP($G65,ScoringTable!$V$2:$V$161,ScoringTable!$R$2:$R$161,,-1))</f>
        <v>73</v>
      </c>
    </row>
    <row r="66" spans="1:13" ht="16.05" customHeight="1">
      <c r="A66" s="80" t="s">
        <v>104</v>
      </c>
      <c r="B66" s="79" t="str">
        <f>IF(ISNA(VLOOKUP($F66,Declarations!B$6:C$185,2,FALSE)),"",IF(VLOOKUP($F66,Declarations!B$6:C$185,2,FALSE)="","NOT DECLARED",IF(ISNA(_xlfn.TEXTBEFORE(VLOOKUP($F66,Declarations!B$6:C$185,2,FALSE)," ")),VLOOKUP($F66,Declarations!B$6:C$185,2,FALSE),_xlfn.TEXTBEFORE(VLOOKUP($F66,Declarations!B$6:C$185,2,FALSE)," "))))</f>
        <v>SOPHIE</v>
      </c>
      <c r="C66" s="79" t="str">
        <f>IF(ISNA(VLOOKUP($F66,Declarations!B$6:C$185,2,FALSE)),"",IF(VLOOKUP($F66,Declarations!B$6:C$185,2,FALSE)="","NOT DECLARED",IF(ISNA(_xlfn.TEXTAFTER(VLOOKUP($F66,Declarations!B$6:C$185,2,FALSE)," ")),VLOOKUP($F66,Declarations!B$6:C$185,2,FALSE),_xlfn.TEXTAFTER(VLOOKUP($F66,Declarations!B$6:C$185,2,FALSE)," "))))</f>
        <v>HALL</v>
      </c>
      <c r="D66" s="79" t="str">
        <f>IF(ISNA(VLOOKUP($F66,Declarations!$B$6:$F$185,5,FALSE)),"",IF(VLOOKUP($F66,Declarations!$B$6:$F$185,5,FALSE)="","NOT DECLARED",VLOOKUP($F66,Declarations!$B$6:$F$185,5,FALSE)))</f>
        <v>Waverley Athletics Club</v>
      </c>
      <c r="E66" s="112" t="str">
        <f>IF(ISNA(VLOOKUP($F66,Declarations!$B$6:$D$185,3,FALSE)),"",IF(VLOOKUP($F66,Declarations!$B$6:$D$185,3,FALSE)="","NOT DECLARED",VLOOKUP($F66,Declarations!$B$6:$D$185,3,FALSE)&amp;LEFT(VLOOKUP($F66,Declarations!$B$6:$E$185,4,FALSE))))</f>
        <v>U12G</v>
      </c>
      <c r="F66" s="20">
        <v>85</v>
      </c>
      <c r="G66" s="21">
        <v>19.14</v>
      </c>
      <c r="H66" s="281"/>
      <c r="I66" s="8" t="str">
        <f>IF(ISNA(VLOOKUP(F66,Declarations!B$6:C$185,2,FALSE)),"",IF(VLOOKUP(F66,Declarations!B$6:C$185,2,FALSE)="","NOT DECLARED",VLOOKUP(F66,Declarations!B$6:C$185,2,FALSE)))</f>
        <v>SOPHIE HALL</v>
      </c>
      <c r="J66" s="2">
        <f>IF(LOWER(LEFT(G66,1))="n",1,VLOOKUP(G66,ScoringTable!E$2:I$95,5))</f>
        <v>38</v>
      </c>
      <c r="K66" s="112" t="str">
        <f>IF(OR(E66="",G66=""),"",IF(RIGHT(E66,1)="G",_xlfn.XLOOKUP(G66,Data!$D$13:$L$13,Data!$D$9:$L$9,"",-1,1),_xlfn.XLOOKUP(G66,Data!$D$6:$L$6,Data!$D$2:$L$2,"",-1,1)))</f>
        <v>PB4</v>
      </c>
      <c r="L66" s="160" t="str" cm="1">
        <f t="array" ref="L66">IFERROR(_xlfn.IFNA(
                      _xlfn.IFS(
                      F66="", "",
                      AND(E66="U12B",G66&gt;=Data!$M$6), "U12 Boys record",
                      AND(E66="U12G",G66&gt;=Data!$M$13), "U12 Girls record"
                       ),""), "")</f>
        <v/>
      </c>
      <c r="M66" s="18" cm="1">
        <f t="array" ref="M66">_xlfn.IFS($G66="",0,AND(NOT(ISNUMBER($G66)),LOWER(LEFT($G66,1))&lt;&gt;"n"),"Not a valid distance",OR(LOWER(LEFT($G66,1))="n",$G66&lt;ScoringTable!$P$161),1,RIGHT($E66,1)="B",_xlfn.XLOOKUP($G66,ScoringTable!$P$2:$P$161,ScoringTable!$L$2:$L$161,,-1),TRUE,_xlfn.XLOOKUP($G66,ScoringTable!$V$2:$V$161,ScoringTable!$R$2:$R$161,,-1))</f>
        <v>55</v>
      </c>
    </row>
    <row r="67" spans="1:13" ht="16.05" customHeight="1">
      <c r="A67" s="80" t="s">
        <v>104</v>
      </c>
      <c r="B67" s="79" t="str">
        <f>IF(ISNA(VLOOKUP($F67,Declarations!B$6:C$185,2,FALSE)),"",IF(VLOOKUP($F67,Declarations!B$6:C$185,2,FALSE)="","NOT DECLARED",IF(ISNA(_xlfn.TEXTBEFORE(VLOOKUP($F67,Declarations!B$6:C$185,2,FALSE)," ")),VLOOKUP($F67,Declarations!B$6:C$185,2,FALSE),_xlfn.TEXTBEFORE(VLOOKUP($F67,Declarations!B$6:C$185,2,FALSE)," "))))</f>
        <v>EMILY</v>
      </c>
      <c r="C67" s="79" t="str">
        <f>IF(ISNA(VLOOKUP($F67,Declarations!B$6:C$185,2,FALSE)),"",IF(VLOOKUP($F67,Declarations!B$6:C$185,2,FALSE)="","NOT DECLARED",IF(ISNA(_xlfn.TEXTAFTER(VLOOKUP($F67,Declarations!B$6:C$185,2,FALSE)," ")),VLOOKUP($F67,Declarations!B$6:C$185,2,FALSE),_xlfn.TEXTAFTER(VLOOKUP($F67,Declarations!B$6:C$185,2,FALSE)," "))))</f>
        <v>HANAK</v>
      </c>
      <c r="D67" s="79" t="str">
        <f>IF(ISNA(VLOOKUP($F67,Declarations!$B$6:$F$185,5,FALSE)),"",IF(VLOOKUP($F67,Declarations!$B$6:$F$185,5,FALSE)="","NOT DECLARED",VLOOKUP($F67,Declarations!$B$6:$F$185,5,FALSE)))</f>
        <v>Waverley Athletics Club</v>
      </c>
      <c r="E67" s="112" t="str">
        <f>IF(ISNA(VLOOKUP($F67,Declarations!$B$6:$D$185,3,FALSE)),"",IF(VLOOKUP($F67,Declarations!$B$6:$D$185,3,FALSE)="","NOT DECLARED",VLOOKUP($F67,Declarations!$B$6:$D$185,3,FALSE)&amp;LEFT(VLOOKUP($F67,Declarations!$B$6:$E$185,4,FALSE))))</f>
        <v>U12G</v>
      </c>
      <c r="F67" s="20">
        <v>86</v>
      </c>
      <c r="G67" s="21">
        <v>20.6</v>
      </c>
      <c r="H67" s="281"/>
      <c r="I67" s="8" t="str">
        <f>IF(ISNA(VLOOKUP(F67,Declarations!B$6:C$185,2,FALSE)),"",IF(VLOOKUP(F67,Declarations!B$6:C$185,2,FALSE)="","NOT DECLARED",VLOOKUP(F67,Declarations!B$6:C$185,2,FALSE)))</f>
        <v>EMILY HANAK</v>
      </c>
      <c r="J67" s="2">
        <f>IF(LOWER(LEFT(G67,1))="n",1,VLOOKUP(G67,ScoringTable!E$2:I$95,5))</f>
        <v>41</v>
      </c>
      <c r="K67" s="112" t="str">
        <f>IF(OR(E67="",G67=""),"",IF(RIGHT(E67,1)="G",_xlfn.XLOOKUP(G67,Data!$D$13:$L$13,Data!$D$9:$L$9,"",-1,1),_xlfn.XLOOKUP(G67,Data!$D$6:$L$6,Data!$D$2:$L$2,"",-1,1)))</f>
        <v>PB5</v>
      </c>
      <c r="L67" s="160" t="str" cm="1">
        <f t="array" ref="L67">IFERROR(_xlfn.IFNA(
                      _xlfn.IFS(
                      F67="", "",
                      AND(E67="U12B",G67&gt;=Data!$M$6), "U12 Boys record",
                      AND(E67="U12G",G67&gt;=Data!$M$13), "U12 Girls record"
                       ),""), "")</f>
        <v/>
      </c>
      <c r="M67" s="18" cm="1">
        <f t="array" ref="M67">_xlfn.IFS($G67="",0,AND(NOT(ISNUMBER($G67)),LOWER(LEFT($G67,1))&lt;&gt;"n"),"Not a valid distance",OR(LOWER(LEFT($G67,1))="n",$G67&lt;ScoringTable!$P$161),1,RIGHT($E67,1)="B",_xlfn.XLOOKUP($G67,ScoringTable!$P$2:$P$161,ScoringTable!$L$2:$L$161,,-1),TRUE,_xlfn.XLOOKUP($G67,ScoringTable!$V$2:$V$161,ScoringTable!$R$2:$R$161,,-1))</f>
        <v>63</v>
      </c>
    </row>
    <row r="68" spans="1:13" ht="16.05" customHeight="1">
      <c r="A68" s="80" t="s">
        <v>104</v>
      </c>
      <c r="B68" s="79" t="str">
        <f>IF(ISNA(VLOOKUP($F68,Declarations!B$6:C$185,2,FALSE)),"",IF(VLOOKUP($F68,Declarations!B$6:C$185,2,FALSE)="","NOT DECLARED",IF(ISNA(_xlfn.TEXTBEFORE(VLOOKUP($F68,Declarations!B$6:C$185,2,FALSE)," ")),VLOOKUP($F68,Declarations!B$6:C$185,2,FALSE),_xlfn.TEXTBEFORE(VLOOKUP($F68,Declarations!B$6:C$185,2,FALSE)," "))))</f>
        <v>LYRA</v>
      </c>
      <c r="C68" s="79" t="str">
        <f>IF(ISNA(VLOOKUP($F68,Declarations!B$6:C$185,2,FALSE)),"",IF(VLOOKUP($F68,Declarations!B$6:C$185,2,FALSE)="","NOT DECLARED",IF(ISNA(_xlfn.TEXTAFTER(VLOOKUP($F68,Declarations!B$6:C$185,2,FALSE)," ")),VLOOKUP($F68,Declarations!B$6:C$185,2,FALSE),_xlfn.TEXTAFTER(VLOOKUP($F68,Declarations!B$6:C$185,2,FALSE)," "))))</f>
        <v>JINKS</v>
      </c>
      <c r="D68" s="79" t="str">
        <f>IF(ISNA(VLOOKUP($F68,Declarations!$B$6:$F$185,5,FALSE)),"",IF(VLOOKUP($F68,Declarations!$B$6:$F$185,5,FALSE)="","NOT DECLARED",VLOOKUP($F68,Declarations!$B$6:$F$185,5,FALSE)))</f>
        <v>Basingstoke &amp; Mid Hants AC</v>
      </c>
      <c r="E68" s="112" t="str">
        <f>IF(ISNA(VLOOKUP($F68,Declarations!$B$6:$D$185,3,FALSE)),"",IF(VLOOKUP($F68,Declarations!$B$6:$D$185,3,FALSE)="","NOT DECLARED",VLOOKUP($F68,Declarations!$B$6:$D$185,3,FALSE)&amp;LEFT(VLOOKUP($F68,Declarations!$B$6:$E$185,4,FALSE))))</f>
        <v>U12G</v>
      </c>
      <c r="F68" s="20">
        <v>101</v>
      </c>
      <c r="G68" s="21">
        <v>11.46</v>
      </c>
      <c r="H68" s="281"/>
      <c r="I68" s="8" t="str">
        <f>IF(ISNA(VLOOKUP(F68,Declarations!B$6:C$185,2,FALSE)),"",IF(VLOOKUP(F68,Declarations!B$6:C$185,2,FALSE)="","NOT DECLARED",VLOOKUP(F68,Declarations!B$6:C$185,2,FALSE)))</f>
        <v>LYRA JINKS</v>
      </c>
      <c r="J68" s="2">
        <f>IF(LOWER(LEFT(G68,1))="n",1,VLOOKUP(G68,ScoringTable!E$2:I$95,5))</f>
        <v>22</v>
      </c>
      <c r="K68" s="112" t="str">
        <f>IF(OR(E68="",G68=""),"",IF(RIGHT(E68,1)="G",_xlfn.XLOOKUP(G68,Data!$D$13:$L$13,Data!$D$9:$L$9,"",-1,1),_xlfn.XLOOKUP(G68,Data!$D$6:$L$6,Data!$D$2:$L$2,"",-1,1)))</f>
        <v/>
      </c>
      <c r="L68" s="160" t="str" cm="1">
        <f t="array" ref="L68">IFERROR(_xlfn.IFNA(
                      _xlfn.IFS(
                      F68="", "",
                      AND(E68="U12B",G68&gt;=Data!$M$6), "U12 Boys record",
                      AND(E68="U12G",G68&gt;=Data!$M$13), "U12 Girls record"
                       ),""), "")</f>
        <v/>
      </c>
      <c r="M68" s="18" cm="1">
        <f t="array" ref="M68">_xlfn.IFS($G68="",0,AND(NOT(ISNUMBER($G68)),LOWER(LEFT($G68,1))&lt;&gt;"n"),"Not a valid distance",OR(LOWER(LEFT($G68,1))="n",$G68&lt;ScoringTable!$P$161),1,RIGHT($E68,1)="B",_xlfn.XLOOKUP($G68,ScoringTable!$P$2:$P$161,ScoringTable!$L$2:$L$161,,-1),TRUE,_xlfn.XLOOKUP($G68,ScoringTable!$V$2:$V$161,ScoringTable!$R$2:$R$161,,-1))</f>
        <v>18</v>
      </c>
    </row>
    <row r="69" spans="1:13" ht="16.05" customHeight="1">
      <c r="A69" s="80" t="s">
        <v>104</v>
      </c>
      <c r="B69" s="79" t="str">
        <f>IF(ISNA(VLOOKUP($F69,Declarations!B$6:C$185,2,FALSE)),"",IF(VLOOKUP($F69,Declarations!B$6:C$185,2,FALSE)="","NOT DECLARED",IF(ISNA(_xlfn.TEXTBEFORE(VLOOKUP($F69,Declarations!B$6:C$185,2,FALSE)," ")),VLOOKUP($F69,Declarations!B$6:C$185,2,FALSE),_xlfn.TEXTBEFORE(VLOOKUP($F69,Declarations!B$6:C$185,2,FALSE)," "))))</f>
        <v>NORA</v>
      </c>
      <c r="C69" s="79" t="str">
        <f>IF(ISNA(VLOOKUP($F69,Declarations!B$6:C$185,2,FALSE)),"",IF(VLOOKUP($F69,Declarations!B$6:C$185,2,FALSE)="","NOT DECLARED",IF(ISNA(_xlfn.TEXTAFTER(VLOOKUP($F69,Declarations!B$6:C$185,2,FALSE)," ")),VLOOKUP($F69,Declarations!B$6:C$185,2,FALSE),_xlfn.TEXTAFTER(VLOOKUP($F69,Declarations!B$6:C$185,2,FALSE)," "))))</f>
        <v>POFF</v>
      </c>
      <c r="D69" s="79" t="str">
        <f>IF(ISNA(VLOOKUP($F69,Declarations!$B$6:$F$185,5,FALSE)),"",IF(VLOOKUP($F69,Declarations!$B$6:$F$185,5,FALSE)="","NOT DECLARED",VLOOKUP($F69,Declarations!$B$6:$F$185,5,FALSE)))</f>
        <v>Basingstoke &amp; Mid Hants AC</v>
      </c>
      <c r="E69" s="112" t="str">
        <f>IF(ISNA(VLOOKUP($F69,Declarations!$B$6:$D$185,3,FALSE)),"",IF(VLOOKUP($F69,Declarations!$B$6:$D$185,3,FALSE)="","NOT DECLARED",VLOOKUP($F69,Declarations!$B$6:$D$185,3,FALSE)&amp;LEFT(VLOOKUP($F69,Declarations!$B$6:$E$185,4,FALSE))))</f>
        <v>U12G</v>
      </c>
      <c r="F69" s="20">
        <v>102</v>
      </c>
      <c r="G69" s="21">
        <v>15.4</v>
      </c>
      <c r="H69" s="281"/>
      <c r="I69" s="8" t="str">
        <f>IF(ISNA(VLOOKUP(F69,Declarations!B$6:C$185,2,FALSE)),"",IF(VLOOKUP(F69,Declarations!B$6:C$185,2,FALSE)="","NOT DECLARED",VLOOKUP(F69,Declarations!B$6:C$185,2,FALSE)))</f>
        <v>NORA POFF</v>
      </c>
      <c r="J69" s="2">
        <f>IF(LOWER(LEFT(G69,1))="n",1,VLOOKUP(G69,ScoringTable!E$2:I$95,5))</f>
        <v>30</v>
      </c>
      <c r="K69" s="112" t="str">
        <f>IF(OR(E69="",G69=""),"",IF(RIGHT(E69,1)="G",_xlfn.XLOOKUP(G69,Data!$D$13:$L$13,Data!$D$9:$L$9,"",-1,1),_xlfn.XLOOKUP(G69,Data!$D$6:$L$6,Data!$D$2:$L$2,"",-1,1)))</f>
        <v>PB2</v>
      </c>
      <c r="L69" s="160" t="str" cm="1">
        <f t="array" ref="L69">IFERROR(_xlfn.IFNA(
                      _xlfn.IFS(
                      F69="", "",
                      AND(E69="U12B",G69&gt;=Data!$M$6), "U12 Boys record",
                      AND(E69="U12G",G69&gt;=Data!$M$13), "U12 Girls record"
                       ),""), "")</f>
        <v/>
      </c>
      <c r="M69" s="18" cm="1">
        <f t="array" ref="M69">_xlfn.IFS($G69="",0,AND(NOT(ISNUMBER($G69)),LOWER(LEFT($G69,1))&lt;&gt;"n"),"Not a valid distance",OR(LOWER(LEFT($G69,1))="n",$G69&lt;ScoringTable!$P$161),1,RIGHT($E69,1)="B",_xlfn.XLOOKUP($G69,ScoringTable!$P$2:$P$161,ScoringTable!$L$2:$L$161,,-1),TRUE,_xlfn.XLOOKUP($G69,ScoringTable!$V$2:$V$161,ScoringTable!$R$2:$R$161,,-1))</f>
        <v>37</v>
      </c>
    </row>
    <row r="70" spans="1:13" ht="16.05" customHeight="1">
      <c r="A70" s="80" t="s">
        <v>104</v>
      </c>
      <c r="B70" s="79" t="str">
        <f>IF(ISNA(VLOOKUP($F70,Declarations!B$6:C$185,2,FALSE)),"",IF(VLOOKUP($F70,Declarations!B$6:C$185,2,FALSE)="","NOT DECLARED",IF(ISNA(_xlfn.TEXTBEFORE(VLOOKUP($F70,Declarations!B$6:C$185,2,FALSE)," ")),VLOOKUP($F70,Declarations!B$6:C$185,2,FALSE),_xlfn.TEXTBEFORE(VLOOKUP($F70,Declarations!B$6:C$185,2,FALSE)," "))))</f>
        <v>ISLA</v>
      </c>
      <c r="C70" s="79" t="str">
        <f>IF(ISNA(VLOOKUP($F70,Declarations!B$6:C$185,2,FALSE)),"",IF(VLOOKUP($F70,Declarations!B$6:C$185,2,FALSE)="","NOT DECLARED",IF(ISNA(_xlfn.TEXTAFTER(VLOOKUP($F70,Declarations!B$6:C$185,2,FALSE)," ")),VLOOKUP($F70,Declarations!B$6:C$185,2,FALSE),_xlfn.TEXTAFTER(VLOOKUP($F70,Declarations!B$6:C$185,2,FALSE)," "))))</f>
        <v>HOBBINS</v>
      </c>
      <c r="D70" s="79" t="str">
        <f>IF(ISNA(VLOOKUP($F70,Declarations!$B$6:$F$185,5,FALSE)),"",IF(VLOOKUP($F70,Declarations!$B$6:$F$185,5,FALSE)="","NOT DECLARED",VLOOKUP($F70,Declarations!$B$6:$F$185,5,FALSE)))</f>
        <v>Basingstoke &amp; Mid Hants AC</v>
      </c>
      <c r="E70" s="112" t="str">
        <f>IF(ISNA(VLOOKUP($F70,Declarations!$B$6:$D$185,3,FALSE)),"",IF(VLOOKUP($F70,Declarations!$B$6:$D$185,3,FALSE)="","NOT DECLARED",VLOOKUP($F70,Declarations!$B$6:$D$185,3,FALSE)&amp;LEFT(VLOOKUP($F70,Declarations!$B$6:$E$185,4,FALSE))))</f>
        <v>U12G</v>
      </c>
      <c r="F70" s="20">
        <v>103</v>
      </c>
      <c r="G70" s="21">
        <v>17.350000000000001</v>
      </c>
      <c r="H70" s="281"/>
      <c r="I70" s="8" t="str">
        <f>IF(ISNA(VLOOKUP(F70,Declarations!B$6:C$185,2,FALSE)),"",IF(VLOOKUP(F70,Declarations!B$6:C$185,2,FALSE)="","NOT DECLARED",VLOOKUP(F70,Declarations!B$6:C$185,2,FALSE)))</f>
        <v>ISLA HOBBINS</v>
      </c>
      <c r="J70" s="2">
        <f>IF(LOWER(LEFT(G70,1))="n",1,VLOOKUP(G70,ScoringTable!E$2:I$95,5))</f>
        <v>34</v>
      </c>
      <c r="K70" s="112" t="str">
        <f>IF(OR(E70="",G70=""),"",IF(RIGHT(E70,1)="G",_xlfn.XLOOKUP(G70,Data!$D$13:$L$13,Data!$D$9:$L$9,"",-1,1),_xlfn.XLOOKUP(G70,Data!$D$6:$L$6,Data!$D$2:$L$2,"",-1,1)))</f>
        <v>PB3</v>
      </c>
      <c r="L70" s="160" t="str" cm="1">
        <f t="array" ref="L70">IFERROR(_xlfn.IFNA(
                      _xlfn.IFS(
                      F70="", "",
                      AND(E70="U12B",G70&gt;=Data!$M$6), "U12 Boys record",
                      AND(E70="U12G",G70&gt;=Data!$M$13), "U12 Girls record"
                       ),""), "")</f>
        <v/>
      </c>
      <c r="M70" s="18" cm="1">
        <f t="array" ref="M70">_xlfn.IFS($G70="",0,AND(NOT(ISNUMBER($G70)),LOWER(LEFT($G70,1))&lt;&gt;"n"),"Not a valid distance",OR(LOWER(LEFT($G70,1))="n",$G70&lt;ScoringTable!$P$161),1,RIGHT($E70,1)="B",_xlfn.XLOOKUP($G70,ScoringTable!$P$2:$P$161,ScoringTable!$L$2:$L$161,,-1),TRUE,_xlfn.XLOOKUP($G70,ScoringTable!$V$2:$V$161,ScoringTable!$R$2:$R$161,,-1))</f>
        <v>46</v>
      </c>
    </row>
    <row r="71" spans="1:13" ht="16.05" customHeight="1">
      <c r="A71" s="80" t="s">
        <v>104</v>
      </c>
      <c r="B71" s="79" t="str">
        <f>IF(ISNA(VLOOKUP($F71,Declarations!B$6:C$185,2,FALSE)),"",IF(VLOOKUP($F71,Declarations!B$6:C$185,2,FALSE)="","NOT DECLARED",IF(ISNA(_xlfn.TEXTBEFORE(VLOOKUP($F71,Declarations!B$6:C$185,2,FALSE)," ")),VLOOKUP($F71,Declarations!B$6:C$185,2,FALSE),_xlfn.TEXTBEFORE(VLOOKUP($F71,Declarations!B$6:C$185,2,FALSE)," "))))</f>
        <v>BEATRICE</v>
      </c>
      <c r="C71" s="79" t="str">
        <f>IF(ISNA(VLOOKUP($F71,Declarations!B$6:C$185,2,FALSE)),"",IF(VLOOKUP($F71,Declarations!B$6:C$185,2,FALSE)="","NOT DECLARED",IF(ISNA(_xlfn.TEXTAFTER(VLOOKUP($F71,Declarations!B$6:C$185,2,FALSE)," ")),VLOOKUP($F71,Declarations!B$6:C$185,2,FALSE),_xlfn.TEXTAFTER(VLOOKUP($F71,Declarations!B$6:C$185,2,FALSE)," "))))</f>
        <v>MONCAD</v>
      </c>
      <c r="D71" s="79" t="str">
        <f>IF(ISNA(VLOOKUP($F71,Declarations!$B$6:$F$185,5,FALSE)),"",IF(VLOOKUP($F71,Declarations!$B$6:$F$185,5,FALSE)="","NOT DECLARED",VLOOKUP($F71,Declarations!$B$6:$F$185,5,FALSE)))</f>
        <v>Basingstoke &amp; Mid Hants AC</v>
      </c>
      <c r="E71" s="112" t="str">
        <f>IF(ISNA(VLOOKUP($F71,Declarations!$B$6:$D$185,3,FALSE)),"",IF(VLOOKUP($F71,Declarations!$B$6:$D$185,3,FALSE)="","NOT DECLARED",VLOOKUP($F71,Declarations!$B$6:$D$185,3,FALSE)&amp;LEFT(VLOOKUP($F71,Declarations!$B$6:$E$185,4,FALSE))))</f>
        <v>U12G</v>
      </c>
      <c r="F71" s="20">
        <v>104</v>
      </c>
      <c r="G71" s="21">
        <v>14.13</v>
      </c>
      <c r="H71" s="281"/>
      <c r="I71" s="8" t="str">
        <f>IF(ISNA(VLOOKUP(F71,Declarations!B$6:C$185,2,FALSE)),"",IF(VLOOKUP(F71,Declarations!B$6:C$185,2,FALSE)="","NOT DECLARED",VLOOKUP(F71,Declarations!B$6:C$185,2,FALSE)))</f>
        <v>BEATRICE MONCAD</v>
      </c>
      <c r="J71" s="2">
        <f>IF(LOWER(LEFT(G71,1))="n",1,VLOOKUP(G71,ScoringTable!E$2:I$95,5))</f>
        <v>28</v>
      </c>
      <c r="K71" s="112" t="str">
        <f>IF(OR(E71="",G71=""),"",IF(RIGHT(E71,1)="G",_xlfn.XLOOKUP(G71,Data!$D$13:$L$13,Data!$D$9:$L$9,"",-1,1),_xlfn.XLOOKUP(G71,Data!$D$6:$L$6,Data!$D$2:$L$2,"",-1,1)))</f>
        <v>PB2</v>
      </c>
      <c r="L71" s="160" t="str" cm="1">
        <f t="array" ref="L71">IFERROR(_xlfn.IFNA(
                      _xlfn.IFS(
                      F71="", "",
                      AND(E71="U12B",G71&gt;=Data!$M$6), "U12 Boys record",
                      AND(E71="U12G",G71&gt;=Data!$M$13), "U12 Girls record"
                       ),""), "")</f>
        <v/>
      </c>
      <c r="M71" s="18" cm="1">
        <f t="array" ref="M71">_xlfn.IFS($G71="",0,AND(NOT(ISNUMBER($G71)),LOWER(LEFT($G71,1))&lt;&gt;"n"),"Not a valid distance",OR(LOWER(LEFT($G71,1))="n",$G71&lt;ScoringTable!$P$161),1,RIGHT($E71,1)="B",_xlfn.XLOOKUP($G71,ScoringTable!$P$2:$P$161,ScoringTable!$L$2:$L$161,,-1),TRUE,_xlfn.XLOOKUP($G71,ScoringTable!$V$2:$V$161,ScoringTable!$R$2:$R$161,,-1))</f>
        <v>30</v>
      </c>
    </row>
    <row r="72" spans="1:13" ht="16.05" customHeight="1">
      <c r="A72" s="80" t="s">
        <v>104</v>
      </c>
      <c r="B72" s="79" t="str">
        <f>IF(ISNA(VLOOKUP($F72,Declarations!B$6:C$185,2,FALSE)),"",IF(VLOOKUP($F72,Declarations!B$6:C$185,2,FALSE)="","NOT DECLARED",IF(ISNA(_xlfn.TEXTBEFORE(VLOOKUP($F72,Declarations!B$6:C$185,2,FALSE)," ")),VLOOKUP($F72,Declarations!B$6:C$185,2,FALSE),_xlfn.TEXTBEFORE(VLOOKUP($F72,Declarations!B$6:C$185,2,FALSE)," "))))</f>
        <v>BETH</v>
      </c>
      <c r="C72" s="79" t="str">
        <f>IF(ISNA(VLOOKUP($F72,Declarations!B$6:C$185,2,FALSE)),"",IF(VLOOKUP($F72,Declarations!B$6:C$185,2,FALSE)="","NOT DECLARED",IF(ISNA(_xlfn.TEXTAFTER(VLOOKUP($F72,Declarations!B$6:C$185,2,FALSE)," ")),VLOOKUP($F72,Declarations!B$6:C$185,2,FALSE),_xlfn.TEXTAFTER(VLOOKUP($F72,Declarations!B$6:C$185,2,FALSE)," "))))</f>
        <v>BOLE</v>
      </c>
      <c r="D72" s="79" t="str">
        <f>IF(ISNA(VLOOKUP($F72,Declarations!$B$6:$F$185,5,FALSE)),"",IF(VLOOKUP($F72,Declarations!$B$6:$F$185,5,FALSE)="","NOT DECLARED",VLOOKUP($F72,Declarations!$B$6:$F$185,5,FALSE)))</f>
        <v>Basingstoke &amp; Mid Hants AC</v>
      </c>
      <c r="E72" s="112" t="str">
        <f>IF(ISNA(VLOOKUP($F72,Declarations!$B$6:$D$185,3,FALSE)),"",IF(VLOOKUP($F72,Declarations!$B$6:$D$185,3,FALSE)="","NOT DECLARED",VLOOKUP($F72,Declarations!$B$6:$D$185,3,FALSE)&amp;LEFT(VLOOKUP($F72,Declarations!$B$6:$E$185,4,FALSE))))</f>
        <v>U12G</v>
      </c>
      <c r="F72" s="20">
        <v>105</v>
      </c>
      <c r="G72" s="21">
        <v>16.2</v>
      </c>
      <c r="H72" s="281"/>
      <c r="I72" s="8" t="str">
        <f>IF(ISNA(VLOOKUP(F72,Declarations!B$6:C$185,2,FALSE)),"",IF(VLOOKUP(F72,Declarations!B$6:C$185,2,FALSE)="","NOT DECLARED",VLOOKUP(F72,Declarations!B$6:C$185,2,FALSE)))</f>
        <v>BETH BOLE</v>
      </c>
      <c r="J72" s="2">
        <f>IF(LOWER(LEFT(G72,1))="n",1,VLOOKUP(G72,ScoringTable!E$2:I$95,5))</f>
        <v>32</v>
      </c>
      <c r="K72" s="112" t="str">
        <f>IF(OR(E72="",G72=""),"",IF(RIGHT(E72,1)="G",_xlfn.XLOOKUP(G72,Data!$D$13:$L$13,Data!$D$9:$L$9,"",-1,1),_xlfn.XLOOKUP(G72,Data!$D$6:$L$6,Data!$D$2:$L$2,"",-1,1)))</f>
        <v>PB3</v>
      </c>
      <c r="L72" s="160" t="str" cm="1">
        <f t="array" ref="L72">IFERROR(_xlfn.IFNA(
                      _xlfn.IFS(
                      F72="", "",
                      AND(E72="U12B",G72&gt;=Data!$M$6), "U12 Boys record",
                      AND(E72="U12G",G72&gt;=Data!$M$13), "U12 Girls record"
                       ),""), "")</f>
        <v/>
      </c>
      <c r="M72" s="18" cm="1">
        <f t="array" ref="M72">_xlfn.IFS($G72="",0,AND(NOT(ISNUMBER($G72)),LOWER(LEFT($G72,1))&lt;&gt;"n"),"Not a valid distance",OR(LOWER(LEFT($G72,1))="n",$G72&lt;ScoringTable!$P$161),1,RIGHT($E72,1)="B",_xlfn.XLOOKUP($G72,ScoringTable!$P$2:$P$161,ScoringTable!$L$2:$L$161,,-1),TRUE,_xlfn.XLOOKUP($G72,ScoringTable!$V$2:$V$161,ScoringTable!$R$2:$R$161,,-1))</f>
        <v>41</v>
      </c>
    </row>
    <row r="73" spans="1:13" ht="16.05" customHeight="1">
      <c r="A73" s="80" t="s">
        <v>104</v>
      </c>
      <c r="B73" s="79" t="str">
        <f>IF(ISNA(VLOOKUP($F73,Declarations!B$6:C$185,2,FALSE)),"",IF(VLOOKUP($F73,Declarations!B$6:C$185,2,FALSE)="","NOT DECLARED",IF(ISNA(_xlfn.TEXTBEFORE(VLOOKUP($F73,Declarations!B$6:C$185,2,FALSE)," ")),VLOOKUP($F73,Declarations!B$6:C$185,2,FALSE),_xlfn.TEXTBEFORE(VLOOKUP($F73,Declarations!B$6:C$185,2,FALSE)," "))))</f>
        <v>KLEMANTINE</v>
      </c>
      <c r="C73" s="79" t="str">
        <f>IF(ISNA(VLOOKUP($F73,Declarations!B$6:C$185,2,FALSE)),"",IF(VLOOKUP($F73,Declarations!B$6:C$185,2,FALSE)="","NOT DECLARED",IF(ISNA(_xlfn.TEXTAFTER(VLOOKUP($F73,Declarations!B$6:C$185,2,FALSE)," ")),VLOOKUP($F73,Declarations!B$6:C$185,2,FALSE),_xlfn.TEXTAFTER(VLOOKUP($F73,Declarations!B$6:C$185,2,FALSE)," "))))</f>
        <v>PATA</v>
      </c>
      <c r="D73" s="79" t="str">
        <f>IF(ISNA(VLOOKUP($F73,Declarations!$B$6:$F$185,5,FALSE)),"",IF(VLOOKUP($F73,Declarations!$B$6:$F$185,5,FALSE)="","NOT DECLARED",VLOOKUP($F73,Declarations!$B$6:$F$185,5,FALSE)))</f>
        <v>Basingstoke &amp; Mid Hants AC</v>
      </c>
      <c r="E73" s="112" t="str">
        <f>IF(ISNA(VLOOKUP($F73,Declarations!$B$6:$D$185,3,FALSE)),"",IF(VLOOKUP($F73,Declarations!$B$6:$D$185,3,FALSE)="","NOT DECLARED",VLOOKUP($F73,Declarations!$B$6:$D$185,3,FALSE)&amp;LEFT(VLOOKUP($F73,Declarations!$B$6:$E$185,4,FALSE))))</f>
        <v>U12G</v>
      </c>
      <c r="F73" s="20">
        <v>106</v>
      </c>
      <c r="G73" s="21">
        <v>16.68</v>
      </c>
      <c r="H73" s="281"/>
      <c r="I73" s="8" t="str">
        <f>IF(ISNA(VLOOKUP(F73,Declarations!B$6:C$185,2,FALSE)),"",IF(VLOOKUP(F73,Declarations!B$6:C$185,2,FALSE)="","NOT DECLARED",VLOOKUP(F73,Declarations!B$6:C$185,2,FALSE)))</f>
        <v>KLEMANTINE PATA</v>
      </c>
      <c r="J73" s="2">
        <f>IF(LOWER(LEFT(G73,1))="n",1,VLOOKUP(G73,ScoringTable!E$2:I$95,5))</f>
        <v>33</v>
      </c>
      <c r="K73" s="112" t="str">
        <f>IF(OR(E73="",G73=""),"",IF(RIGHT(E73,1)="G",_xlfn.XLOOKUP(G73,Data!$D$13:$L$13,Data!$D$9:$L$9,"",-1,1),_xlfn.XLOOKUP(G73,Data!$D$6:$L$6,Data!$D$2:$L$2,"",-1,1)))</f>
        <v>PB3</v>
      </c>
      <c r="L73" s="160" t="str" cm="1">
        <f t="array" ref="L73">IFERROR(_xlfn.IFNA(
                      _xlfn.IFS(
                      F73="", "",
                      AND(E73="U12B",G73&gt;=Data!$M$6), "U12 Boys record",
                      AND(E73="U12G",G73&gt;=Data!$M$13), "U12 Girls record"
                       ),""), "")</f>
        <v/>
      </c>
      <c r="M73" s="18" cm="1">
        <f t="array" ref="M73">_xlfn.IFS($G73="",0,AND(NOT(ISNUMBER($G73)),LOWER(LEFT($G73,1))&lt;&gt;"n"),"Not a valid distance",OR(LOWER(LEFT($G73,1))="n",$G73&lt;ScoringTable!$P$161),1,RIGHT($E73,1)="B",_xlfn.XLOOKUP($G73,ScoringTable!$P$2:$P$161,ScoringTable!$L$2:$L$161,,-1),TRUE,_xlfn.XLOOKUP($G73,ScoringTable!$V$2:$V$161,ScoringTable!$R$2:$R$161,,-1))</f>
        <v>43</v>
      </c>
    </row>
    <row r="74" spans="1:13" ht="16.05" customHeight="1">
      <c r="A74" s="80" t="s">
        <v>104</v>
      </c>
      <c r="B74" s="79" t="str">
        <f>IF(ISNA(VLOOKUP($F74,Declarations!B$6:C$185,2,FALSE)),"",IF(VLOOKUP($F74,Declarations!B$6:C$185,2,FALSE)="","NOT DECLARED",IF(ISNA(_xlfn.TEXTBEFORE(VLOOKUP($F74,Declarations!B$6:C$185,2,FALSE)," ")),VLOOKUP($F74,Declarations!B$6:C$185,2,FALSE),_xlfn.TEXTBEFORE(VLOOKUP($F74,Declarations!B$6:C$185,2,FALSE)," "))))</f>
        <v>EVNI</v>
      </c>
      <c r="C74" s="79" t="str">
        <f>IF(ISNA(VLOOKUP($F74,Declarations!B$6:C$185,2,FALSE)),"",IF(VLOOKUP($F74,Declarations!B$6:C$185,2,FALSE)="","NOT DECLARED",IF(ISNA(_xlfn.TEXTAFTER(VLOOKUP($F74,Declarations!B$6:C$185,2,FALSE)," ")),VLOOKUP($F74,Declarations!B$6:C$185,2,FALSE),_xlfn.TEXTAFTER(VLOOKUP($F74,Declarations!B$6:C$185,2,FALSE)," "))))</f>
        <v>DUNUSINGHE</v>
      </c>
      <c r="D74" s="79" t="str">
        <f>IF(ISNA(VLOOKUP($F74,Declarations!$B$6:$F$185,5,FALSE)),"",IF(VLOOKUP($F74,Declarations!$B$6:$F$185,5,FALSE)="","NOT DECLARED",VLOOKUP($F74,Declarations!$B$6:$F$185,5,FALSE)))</f>
        <v>Camberley &amp; District AC</v>
      </c>
      <c r="E74" s="112" t="str">
        <f>IF(ISNA(VLOOKUP($F74,Declarations!$B$6:$D$185,3,FALSE)),"",IF(VLOOKUP($F74,Declarations!$B$6:$D$185,3,FALSE)="","NOT DECLARED",VLOOKUP($F74,Declarations!$B$6:$D$185,3,FALSE)&amp;LEFT(VLOOKUP($F74,Declarations!$B$6:$E$185,4,FALSE))))</f>
        <v>U12G</v>
      </c>
      <c r="F74" s="20">
        <v>1</v>
      </c>
      <c r="G74" s="21">
        <v>28.79</v>
      </c>
      <c r="H74" s="281"/>
      <c r="I74" s="8" t="str">
        <f>IF(ISNA(VLOOKUP(F74,Declarations!B$6:C$185,2,FALSE)),"",IF(VLOOKUP(F74,Declarations!B$6:C$185,2,FALSE)="","NOT DECLARED",VLOOKUP(F74,Declarations!B$6:C$185,2,FALSE)))</f>
        <v>EVNI DUNUSINGHE</v>
      </c>
      <c r="J74" s="2">
        <f>IF(LOWER(LEFT(G74,1))="n",1,VLOOKUP(G74,ScoringTable!E$2:I$95,5))</f>
        <v>57</v>
      </c>
      <c r="K74" s="112" t="str">
        <f>IF(OR(E74="",G74=""),"",IF(RIGHT(E74,1)="G",_xlfn.XLOOKUP(G74,Data!$D$13:$L$13,Data!$D$9:$L$9,"",-1,1),_xlfn.XLOOKUP(G74,Data!$D$6:$L$6,Data!$D$2:$L$2,"",-1,1)))</f>
        <v>PB9</v>
      </c>
      <c r="L74" s="160" t="str" cm="1">
        <f t="array" ref="L74">IFERROR(_xlfn.IFNA(
                      _xlfn.IFS(
                      F74="", "",
                      AND(E74="U12B",G74&gt;=Data!$M$6), "U12 Boys record",
                      AND(E74="U12G",G74&gt;=Data!$M$13), "U12 Girls record"
                       ),""), "")</f>
        <v/>
      </c>
      <c r="M74" s="18" cm="1">
        <f t="array" ref="M74">_xlfn.IFS($G74="",0,AND(NOT(ISNUMBER($G74)),LOWER(LEFT($G74,1))&lt;&gt;"n"),"Not a valid distance",OR(LOWER(LEFT($G74,1))="n",$G74&lt;ScoringTable!$P$161),1,RIGHT($E74,1)="B",_xlfn.XLOOKUP($G74,ScoringTable!$P$2:$P$161,ScoringTable!$L$2:$L$161,,-1),TRUE,_xlfn.XLOOKUP($G74,ScoringTable!$V$2:$V$161,ScoringTable!$R$2:$R$161,,-1))</f>
        <v>103</v>
      </c>
    </row>
    <row r="75" spans="1:13" ht="16.05" customHeight="1">
      <c r="A75" s="80" t="s">
        <v>104</v>
      </c>
      <c r="B75" s="79" t="str">
        <f>IF(ISNA(VLOOKUP($F75,Declarations!B$6:C$185,2,FALSE)),"",IF(VLOOKUP($F75,Declarations!B$6:C$185,2,FALSE)="","NOT DECLARED",IF(ISNA(_xlfn.TEXTBEFORE(VLOOKUP($F75,Declarations!B$6:C$185,2,FALSE)," ")),VLOOKUP($F75,Declarations!B$6:C$185,2,FALSE),_xlfn.TEXTBEFORE(VLOOKUP($F75,Declarations!B$6:C$185,2,FALSE)," "))))</f>
        <v>POPPY</v>
      </c>
      <c r="C75" s="79" t="str">
        <f>IF(ISNA(VLOOKUP($F75,Declarations!B$6:C$185,2,FALSE)),"",IF(VLOOKUP($F75,Declarations!B$6:C$185,2,FALSE)="","NOT DECLARED",IF(ISNA(_xlfn.TEXTAFTER(VLOOKUP($F75,Declarations!B$6:C$185,2,FALSE)," ")),VLOOKUP($F75,Declarations!B$6:C$185,2,FALSE),_xlfn.TEXTAFTER(VLOOKUP($F75,Declarations!B$6:C$185,2,FALSE)," "))))</f>
        <v>READ</v>
      </c>
      <c r="D75" s="79" t="str">
        <f>IF(ISNA(VLOOKUP($F75,Declarations!$B$6:$F$185,5,FALSE)),"",IF(VLOOKUP($F75,Declarations!$B$6:$F$185,5,FALSE)="","NOT DECLARED",VLOOKUP($F75,Declarations!$B$6:$F$185,5,FALSE)))</f>
        <v>Camberley &amp; District AC</v>
      </c>
      <c r="E75" s="112" t="str">
        <f>IF(ISNA(VLOOKUP($F75,Declarations!$B$6:$D$185,3,FALSE)),"",IF(VLOOKUP($F75,Declarations!$B$6:$D$185,3,FALSE)="","NOT DECLARED",VLOOKUP($F75,Declarations!$B$6:$D$185,3,FALSE)&amp;LEFT(VLOOKUP($F75,Declarations!$B$6:$E$185,4,FALSE))))</f>
        <v>U12G</v>
      </c>
      <c r="F75" s="20">
        <v>2</v>
      </c>
      <c r="G75" s="21">
        <v>15.8</v>
      </c>
      <c r="H75" s="281"/>
      <c r="I75" s="8" t="str">
        <f>IF(ISNA(VLOOKUP(F75,Declarations!B$6:C$185,2,FALSE)),"",IF(VLOOKUP(F75,Declarations!B$6:C$185,2,FALSE)="","NOT DECLARED",VLOOKUP(F75,Declarations!B$6:C$185,2,FALSE)))</f>
        <v>POPPY READ</v>
      </c>
      <c r="J75" s="2">
        <f>IF(LOWER(LEFT(G75,1))="n",1,VLOOKUP(G75,ScoringTable!E$2:I$95,5))</f>
        <v>31</v>
      </c>
      <c r="K75" s="112" t="str">
        <f>IF(OR(E75="",G75=""),"",IF(RIGHT(E75,1)="G",_xlfn.XLOOKUP(G75,Data!$D$13:$L$13,Data!$D$9:$L$9,"",-1,1),_xlfn.XLOOKUP(G75,Data!$D$6:$L$6,Data!$D$2:$L$2,"",-1,1)))</f>
        <v>PB2</v>
      </c>
      <c r="L75" s="160" t="str" cm="1">
        <f t="array" ref="L75">IFERROR(_xlfn.IFNA(
                      _xlfn.IFS(
                      F75="", "",
                      AND(E75="U12B",G75&gt;=Data!$M$6), "U12 Boys record",
                      AND(E75="U12G",G75&gt;=Data!$M$13), "U12 Girls record"
                       ),""), "")</f>
        <v/>
      </c>
      <c r="M75" s="18" cm="1">
        <f t="array" ref="M75">_xlfn.IFS($G75="",0,AND(NOT(ISNUMBER($G75)),LOWER(LEFT($G75,1))&lt;&gt;"n"),"Not a valid distance",OR(LOWER(LEFT($G75,1))="n",$G75&lt;ScoringTable!$P$161),1,RIGHT($E75,1)="B",_xlfn.XLOOKUP($G75,ScoringTable!$P$2:$P$161,ScoringTable!$L$2:$L$161,,-1),TRUE,_xlfn.XLOOKUP($G75,ScoringTable!$V$2:$V$161,ScoringTable!$R$2:$R$161,,-1))</f>
        <v>39</v>
      </c>
    </row>
    <row r="76" spans="1:13" ht="16.05" customHeight="1">
      <c r="A76" s="80" t="s">
        <v>104</v>
      </c>
      <c r="B76" s="79" t="str">
        <f>IF(ISNA(VLOOKUP($F76,Declarations!B$6:C$185,2,FALSE)),"",IF(VLOOKUP($F76,Declarations!B$6:C$185,2,FALSE)="","NOT DECLARED",IF(ISNA(_xlfn.TEXTBEFORE(VLOOKUP($F76,Declarations!B$6:C$185,2,FALSE)," ")),VLOOKUP($F76,Declarations!B$6:C$185,2,FALSE),_xlfn.TEXTBEFORE(VLOOKUP($F76,Declarations!B$6:C$185,2,FALSE)," "))))</f>
        <v>CHARLOTTE</v>
      </c>
      <c r="C76" s="79" t="str">
        <f>IF(ISNA(VLOOKUP($F76,Declarations!B$6:C$185,2,FALSE)),"",IF(VLOOKUP($F76,Declarations!B$6:C$185,2,FALSE)="","NOT DECLARED",IF(ISNA(_xlfn.TEXTAFTER(VLOOKUP($F76,Declarations!B$6:C$185,2,FALSE)," ")),VLOOKUP($F76,Declarations!B$6:C$185,2,FALSE),_xlfn.TEXTAFTER(VLOOKUP($F76,Declarations!B$6:C$185,2,FALSE)," "))))</f>
        <v>SHEPPARD</v>
      </c>
      <c r="D76" s="79" t="str">
        <f>IF(ISNA(VLOOKUP($F76,Declarations!$B$6:$F$185,5,FALSE)),"",IF(VLOOKUP($F76,Declarations!$B$6:$F$185,5,FALSE)="","NOT DECLARED",VLOOKUP($F76,Declarations!$B$6:$F$185,5,FALSE)))</f>
        <v>Camberley &amp; District AC</v>
      </c>
      <c r="E76" s="112" t="str">
        <f>IF(ISNA(VLOOKUP($F76,Declarations!$B$6:$D$185,3,FALSE)),"",IF(VLOOKUP($F76,Declarations!$B$6:$D$185,3,FALSE)="","NOT DECLARED",VLOOKUP($F76,Declarations!$B$6:$D$185,3,FALSE)&amp;LEFT(VLOOKUP($F76,Declarations!$B$6:$E$185,4,FALSE))))</f>
        <v>U12G</v>
      </c>
      <c r="F76" s="20">
        <v>3</v>
      </c>
      <c r="G76" s="21">
        <v>14.98</v>
      </c>
      <c r="H76" s="281"/>
      <c r="I76" s="8" t="str">
        <f>IF(ISNA(VLOOKUP(F76,Declarations!B$6:C$185,2,FALSE)),"",IF(VLOOKUP(F76,Declarations!B$6:C$185,2,FALSE)="","NOT DECLARED",VLOOKUP(F76,Declarations!B$6:C$185,2,FALSE)))</f>
        <v>CHARLOTTE SHEPPARD</v>
      </c>
      <c r="J76" s="2">
        <f>IF(LOWER(LEFT(G76,1))="n",1,VLOOKUP(G76,ScoringTable!E$2:I$95,5))</f>
        <v>29</v>
      </c>
      <c r="K76" s="112" t="str">
        <f>IF(OR(E76="",G76=""),"",IF(RIGHT(E76,1)="G",_xlfn.XLOOKUP(G76,Data!$D$13:$L$13,Data!$D$9:$L$9,"",-1,1),_xlfn.XLOOKUP(G76,Data!$D$6:$L$6,Data!$D$2:$L$2,"",-1,1)))</f>
        <v>PB2</v>
      </c>
      <c r="L76" s="160" t="str" cm="1">
        <f t="array" ref="L76">IFERROR(_xlfn.IFNA(
                      _xlfn.IFS(
                      F76="", "",
                      AND(E76="U12B",G76&gt;=Data!$M$6), "U12 Boys record",
                      AND(E76="U12G",G76&gt;=Data!$M$13), "U12 Girls record"
                       ),""), "")</f>
        <v/>
      </c>
      <c r="M76" s="18" cm="1">
        <f t="array" ref="M76">_xlfn.IFS($G76="",0,AND(NOT(ISNUMBER($G76)),LOWER(LEFT($G76,1))&lt;&gt;"n"),"Not a valid distance",OR(LOWER(LEFT($G76,1))="n",$G76&lt;ScoringTable!$P$161),1,RIGHT($E76,1)="B",_xlfn.XLOOKUP($G76,ScoringTable!$P$2:$P$161,ScoringTable!$L$2:$L$161,,-1),TRUE,_xlfn.XLOOKUP($G76,ScoringTable!$V$2:$V$161,ScoringTable!$R$2:$R$161,,-1))</f>
        <v>34</v>
      </c>
    </row>
    <row r="77" spans="1:13" ht="16.05" customHeight="1">
      <c r="A77" s="80" t="s">
        <v>104</v>
      </c>
      <c r="B77" s="79" t="str">
        <f>IF(ISNA(VLOOKUP($F77,Declarations!B$6:C$185,2,FALSE)),"",IF(VLOOKUP($F77,Declarations!B$6:C$185,2,FALSE)="","NOT DECLARED",IF(ISNA(_xlfn.TEXTBEFORE(VLOOKUP($F77,Declarations!B$6:C$185,2,FALSE)," ")),VLOOKUP($F77,Declarations!B$6:C$185,2,FALSE),_xlfn.TEXTBEFORE(VLOOKUP($F77,Declarations!B$6:C$185,2,FALSE)," "))))</f>
        <v>AVA</v>
      </c>
      <c r="C77" s="79" t="str">
        <f>IF(ISNA(VLOOKUP($F77,Declarations!B$6:C$185,2,FALSE)),"",IF(VLOOKUP($F77,Declarations!B$6:C$185,2,FALSE)="","NOT DECLARED",IF(ISNA(_xlfn.TEXTAFTER(VLOOKUP($F77,Declarations!B$6:C$185,2,FALSE)," ")),VLOOKUP($F77,Declarations!B$6:C$185,2,FALSE),_xlfn.TEXTAFTER(VLOOKUP($F77,Declarations!B$6:C$185,2,FALSE)," "))))</f>
        <v>WANLESS</v>
      </c>
      <c r="D77" s="79" t="str">
        <f>IF(ISNA(VLOOKUP($F77,Declarations!$B$6:$F$185,5,FALSE)),"",IF(VLOOKUP($F77,Declarations!$B$6:$F$185,5,FALSE)="","NOT DECLARED",VLOOKUP($F77,Declarations!$B$6:$F$185,5,FALSE)))</f>
        <v>Camberley &amp; District AC</v>
      </c>
      <c r="E77" s="112" t="str">
        <f>IF(ISNA(VLOOKUP($F77,Declarations!$B$6:$D$185,3,FALSE)),"",IF(VLOOKUP($F77,Declarations!$B$6:$D$185,3,FALSE)="","NOT DECLARED",VLOOKUP($F77,Declarations!$B$6:$D$185,3,FALSE)&amp;LEFT(VLOOKUP($F77,Declarations!$B$6:$E$185,4,FALSE))))</f>
        <v>U12G</v>
      </c>
      <c r="F77" s="20">
        <v>4</v>
      </c>
      <c r="G77" s="21">
        <v>14.76</v>
      </c>
      <c r="H77" s="281"/>
      <c r="I77" s="8" t="str">
        <f>IF(ISNA(VLOOKUP(F77,Declarations!B$6:C$185,2,FALSE)),"",IF(VLOOKUP(F77,Declarations!B$6:C$185,2,FALSE)="","NOT DECLARED",VLOOKUP(F77,Declarations!B$6:C$185,2,FALSE)))</f>
        <v>AVA WANLESS</v>
      </c>
      <c r="J77" s="2">
        <f>IF(LOWER(LEFT(G77,1))="n",1,VLOOKUP(G77,ScoringTable!E$2:I$95,5))</f>
        <v>29</v>
      </c>
      <c r="K77" s="112" t="str">
        <f>IF(OR(E77="",G77=""),"",IF(RIGHT(E77,1)="G",_xlfn.XLOOKUP(G77,Data!$D$13:$L$13,Data!$D$9:$L$9,"",-1,1),_xlfn.XLOOKUP(G77,Data!$D$6:$L$6,Data!$D$2:$L$2,"",-1,1)))</f>
        <v>PB2</v>
      </c>
      <c r="L77" s="160" t="str" cm="1">
        <f t="array" ref="L77">IFERROR(_xlfn.IFNA(
                      _xlfn.IFS(
                      F77="", "",
                      AND(E77="U12B",G77&gt;=Data!$M$6), "U12 Boys record",
                      AND(E77="U12G",G77&gt;=Data!$M$13), "U12 Girls record"
                       ),""), "")</f>
        <v/>
      </c>
      <c r="M77" s="18" cm="1">
        <f t="array" ref="M77">_xlfn.IFS($G77="",0,AND(NOT(ISNUMBER($G77)),LOWER(LEFT($G77,1))&lt;&gt;"n"),"Not a valid distance",OR(LOWER(LEFT($G77,1))="n",$G77&lt;ScoringTable!$P$161),1,RIGHT($E77,1)="B",_xlfn.XLOOKUP($G77,ScoringTable!$P$2:$P$161,ScoringTable!$L$2:$L$161,,-1),TRUE,_xlfn.XLOOKUP($G77,ScoringTable!$V$2:$V$161,ScoringTable!$R$2:$R$161,,-1))</f>
        <v>33</v>
      </c>
    </row>
    <row r="78" spans="1:13" ht="16.05" customHeight="1">
      <c r="A78" s="80" t="s">
        <v>104</v>
      </c>
      <c r="B78" s="79" t="str">
        <f>IF(ISNA(VLOOKUP($F78,Declarations!B$6:C$185,2,FALSE)),"",IF(VLOOKUP($F78,Declarations!B$6:C$185,2,FALSE)="","NOT DECLARED",IF(ISNA(_xlfn.TEXTBEFORE(VLOOKUP($F78,Declarations!B$6:C$185,2,FALSE)," ")),VLOOKUP($F78,Declarations!B$6:C$185,2,FALSE),_xlfn.TEXTBEFORE(VLOOKUP($F78,Declarations!B$6:C$185,2,FALSE)," "))))</f>
        <v>EMILIA-MAE</v>
      </c>
      <c r="C78" s="79" t="str">
        <f>IF(ISNA(VLOOKUP($F78,Declarations!B$6:C$185,2,FALSE)),"",IF(VLOOKUP($F78,Declarations!B$6:C$185,2,FALSE)="","NOT DECLARED",IF(ISNA(_xlfn.TEXTAFTER(VLOOKUP($F78,Declarations!B$6:C$185,2,FALSE)," ")),VLOOKUP($F78,Declarations!B$6:C$185,2,FALSE),_xlfn.TEXTAFTER(VLOOKUP($F78,Declarations!B$6:C$185,2,FALSE)," "))))</f>
        <v>O'DWYER</v>
      </c>
      <c r="D78" s="79" t="str">
        <f>IF(ISNA(VLOOKUP($F78,Declarations!$B$6:$F$185,5,FALSE)),"",IF(VLOOKUP($F78,Declarations!$B$6:$F$185,5,FALSE)="","NOT DECLARED",VLOOKUP($F78,Declarations!$B$6:$F$185,5,FALSE)))</f>
        <v>Camberley &amp; District AC</v>
      </c>
      <c r="E78" s="112" t="str">
        <f>IF(ISNA(VLOOKUP($F78,Declarations!$B$6:$D$185,3,FALSE)),"",IF(VLOOKUP($F78,Declarations!$B$6:$D$185,3,FALSE)="","NOT DECLARED",VLOOKUP($F78,Declarations!$B$6:$D$185,3,FALSE)&amp;LEFT(VLOOKUP($F78,Declarations!$B$6:$E$185,4,FALSE))))</f>
        <v>U12G</v>
      </c>
      <c r="F78" s="20">
        <v>5</v>
      </c>
      <c r="G78" s="21">
        <v>15.49</v>
      </c>
      <c r="H78" s="281"/>
      <c r="I78" s="8" t="str">
        <f>IF(ISNA(VLOOKUP(F78,Declarations!B$6:C$185,2,FALSE)),"",IF(VLOOKUP(F78,Declarations!B$6:C$185,2,FALSE)="","NOT DECLARED",VLOOKUP(F78,Declarations!B$6:C$185,2,FALSE)))</f>
        <v>EMILIA-MAE O'DWYER</v>
      </c>
      <c r="J78" s="2">
        <f>IF(LOWER(LEFT(G78,1))="n",1,VLOOKUP(G78,ScoringTable!E$2:I$95,5))</f>
        <v>30</v>
      </c>
      <c r="K78" s="112" t="str">
        <f>IF(OR(E78="",G78=""),"",IF(RIGHT(E78,1)="G",_xlfn.XLOOKUP(G78,Data!$D$13:$L$13,Data!$D$9:$L$9,"",-1,1),_xlfn.XLOOKUP(G78,Data!$D$6:$L$6,Data!$D$2:$L$2,"",-1,1)))</f>
        <v>PB2</v>
      </c>
      <c r="L78" s="160" t="str" cm="1">
        <f t="array" ref="L78">IFERROR(_xlfn.IFNA(
                      _xlfn.IFS(
                      F78="", "",
                      AND(E78="U12B",G78&gt;=Data!$M$6), "U12 Boys record",
                      AND(E78="U12G",G78&gt;=Data!$M$13), "U12 Girls record"
                       ),""), "")</f>
        <v/>
      </c>
      <c r="M78" s="18" cm="1">
        <f t="array" ref="M78">_xlfn.IFS($G78="",0,AND(NOT(ISNUMBER($G78)),LOWER(LEFT($G78,1))&lt;&gt;"n"),"Not a valid distance",OR(LOWER(LEFT($G78,1))="n",$G78&lt;ScoringTable!$P$161),1,RIGHT($E78,1)="B",_xlfn.XLOOKUP($G78,ScoringTable!$P$2:$P$161,ScoringTable!$L$2:$L$161,,-1),TRUE,_xlfn.XLOOKUP($G78,ScoringTable!$V$2:$V$161,ScoringTable!$R$2:$R$161,,-1))</f>
        <v>37</v>
      </c>
    </row>
    <row r="79" spans="1:13" ht="16.05" customHeight="1">
      <c r="A79" s="80" t="s">
        <v>104</v>
      </c>
      <c r="B79" s="79" t="str">
        <f>IF(ISNA(VLOOKUP($F79,Declarations!B$6:C$185,2,FALSE)),"",IF(VLOOKUP($F79,Declarations!B$6:C$185,2,FALSE)="","NOT DECLARED",IF(ISNA(_xlfn.TEXTBEFORE(VLOOKUP($F79,Declarations!B$6:C$185,2,FALSE)," ")),VLOOKUP($F79,Declarations!B$6:C$185,2,FALSE),_xlfn.TEXTBEFORE(VLOOKUP($F79,Declarations!B$6:C$185,2,FALSE)," "))))</f>
        <v>RUBY</v>
      </c>
      <c r="C79" s="79" t="str">
        <f>IF(ISNA(VLOOKUP($F79,Declarations!B$6:C$185,2,FALSE)),"",IF(VLOOKUP($F79,Declarations!B$6:C$185,2,FALSE)="","NOT DECLARED",IF(ISNA(_xlfn.TEXTAFTER(VLOOKUP($F79,Declarations!B$6:C$185,2,FALSE)," ")),VLOOKUP($F79,Declarations!B$6:C$185,2,FALSE),_xlfn.TEXTAFTER(VLOOKUP($F79,Declarations!B$6:C$185,2,FALSE)," "))))</f>
        <v>WILLIAMS</v>
      </c>
      <c r="D79" s="79" t="str">
        <f>IF(ISNA(VLOOKUP($F79,Declarations!$B$6:$F$185,5,FALSE)),"",IF(VLOOKUP($F79,Declarations!$B$6:$F$185,5,FALSE)="","NOT DECLARED",VLOOKUP($F79,Declarations!$B$6:$F$185,5,FALSE)))</f>
        <v>Camberley &amp; District AC</v>
      </c>
      <c r="E79" s="112" t="str">
        <f>IF(ISNA(VLOOKUP($F79,Declarations!$B$6:$D$185,3,FALSE)),"",IF(VLOOKUP($F79,Declarations!$B$6:$D$185,3,FALSE)="","NOT DECLARED",VLOOKUP($F79,Declarations!$B$6:$D$185,3,FALSE)&amp;LEFT(VLOOKUP($F79,Declarations!$B$6:$E$185,4,FALSE))))</f>
        <v>U12G</v>
      </c>
      <c r="F79" s="20">
        <v>6</v>
      </c>
      <c r="G79" s="21">
        <v>21.37</v>
      </c>
      <c r="H79" s="281"/>
      <c r="I79" s="8" t="str">
        <f>IF(ISNA(VLOOKUP(F79,Declarations!B$6:C$185,2,FALSE)),"",IF(VLOOKUP(F79,Declarations!B$6:C$185,2,FALSE)="","NOT DECLARED",VLOOKUP(F79,Declarations!B$6:C$185,2,FALSE)))</f>
        <v>RUBY WILLIAMS</v>
      </c>
      <c r="J79" s="2">
        <f>IF(LOWER(LEFT(G79,1))="n",1,VLOOKUP(G79,ScoringTable!E$2:I$95,5))</f>
        <v>42</v>
      </c>
      <c r="K79" s="112" t="str">
        <f>IF(OR(E79="",G79=""),"",IF(RIGHT(E79,1)="G",_xlfn.XLOOKUP(G79,Data!$D$13:$L$13,Data!$D$9:$L$9,"",-1,1),_xlfn.XLOOKUP(G79,Data!$D$6:$L$6,Data!$D$2:$L$2,"",-1,1)))</f>
        <v>PB5</v>
      </c>
      <c r="L79" s="160" t="str" cm="1">
        <f t="array" ref="L79">IFERROR(_xlfn.IFNA(
                      _xlfn.IFS(
                      F79="", "",
                      AND(E79="U12B",G79&gt;=Data!$M$6), "U12 Boys record",
                      AND(E79="U12G",G79&gt;=Data!$M$13), "U12 Girls record"
                       ),""), "")</f>
        <v/>
      </c>
      <c r="M79" s="18" cm="1">
        <f t="array" ref="M79">_xlfn.IFS($G79="",0,AND(NOT(ISNUMBER($G79)),LOWER(LEFT($G79,1))&lt;&gt;"n"),"Not a valid distance",OR(LOWER(LEFT($G79,1))="n",$G79&lt;ScoringTable!$P$161),1,RIGHT($E79,1)="B",_xlfn.XLOOKUP($G79,ScoringTable!$P$2:$P$161,ScoringTable!$L$2:$L$161,,-1),TRUE,_xlfn.XLOOKUP($G79,ScoringTable!$V$2:$V$161,ScoringTable!$R$2:$R$161,,-1))</f>
        <v>66</v>
      </c>
    </row>
    <row r="80" spans="1:13" ht="16.05" customHeight="1">
      <c r="A80" s="80" t="s">
        <v>104</v>
      </c>
      <c r="B80" s="79" t="str">
        <f>IF(ISNA(VLOOKUP($F80,Declarations!B$6:C$185,2,FALSE)),"",IF(VLOOKUP($F80,Declarations!B$6:C$185,2,FALSE)="","NOT DECLARED",IF(ISNA(_xlfn.TEXTBEFORE(VLOOKUP($F80,Declarations!B$6:C$185,2,FALSE)," ")),VLOOKUP($F80,Declarations!B$6:C$185,2,FALSE),_xlfn.TEXTBEFORE(VLOOKUP($F80,Declarations!B$6:C$185,2,FALSE)," "))))</f>
        <v>LEA</v>
      </c>
      <c r="C80" s="79" t="str">
        <f>IF(ISNA(VLOOKUP($F80,Declarations!B$6:C$185,2,FALSE)),"",IF(VLOOKUP($F80,Declarations!B$6:C$185,2,FALSE)="","NOT DECLARED",IF(ISNA(_xlfn.TEXTAFTER(VLOOKUP($F80,Declarations!B$6:C$185,2,FALSE)," ")),VLOOKUP($F80,Declarations!B$6:C$185,2,FALSE),_xlfn.TEXTAFTER(VLOOKUP($F80,Declarations!B$6:C$185,2,FALSE)," "))))</f>
        <v>MIZEN</v>
      </c>
      <c r="D80" s="79" t="str">
        <f>IF(ISNA(VLOOKUP($F80,Declarations!$B$6:$F$185,5,FALSE)),"",IF(VLOOKUP($F80,Declarations!$B$6:$F$185,5,FALSE)="","NOT DECLARED",VLOOKUP($F80,Declarations!$B$6:$F$185,5,FALSE)))</f>
        <v>Camberley &amp; District AC</v>
      </c>
      <c r="E80" s="112" t="str">
        <f>IF(ISNA(VLOOKUP($F80,Declarations!$B$6:$D$185,3,FALSE)),"",IF(VLOOKUP($F80,Declarations!$B$6:$D$185,3,FALSE)="","NOT DECLARED",VLOOKUP($F80,Declarations!$B$6:$D$185,3,FALSE)&amp;LEFT(VLOOKUP($F80,Declarations!$B$6:$E$185,4,FALSE))))</f>
        <v>U12G</v>
      </c>
      <c r="F80" s="20">
        <v>7</v>
      </c>
      <c r="G80" s="21">
        <v>18.399999999999999</v>
      </c>
      <c r="H80" s="281"/>
      <c r="I80" s="8" t="str">
        <f>IF(ISNA(VLOOKUP(F80,Declarations!B$6:C$185,2,FALSE)),"",IF(VLOOKUP(F80,Declarations!B$6:C$185,2,FALSE)="","NOT DECLARED",VLOOKUP(F80,Declarations!B$6:C$185,2,FALSE)))</f>
        <v>LEA MIZEN</v>
      </c>
      <c r="J80" s="2">
        <f>IF(LOWER(LEFT(G80,1))="n",1,VLOOKUP(G80,ScoringTable!E$2:I$95,5))</f>
        <v>36</v>
      </c>
      <c r="K80" s="112" t="str">
        <f>IF(OR(E80="",G80=""),"",IF(RIGHT(E80,1)="G",_xlfn.XLOOKUP(G80,Data!$D$13:$L$13,Data!$D$9:$L$9,"",-1,1),_xlfn.XLOOKUP(G80,Data!$D$6:$L$6,Data!$D$2:$L$2,"",-1,1)))</f>
        <v>PB4</v>
      </c>
      <c r="L80" s="160" t="str" cm="1">
        <f t="array" ref="L80">IFERROR(_xlfn.IFNA(
                      _xlfn.IFS(
                      F80="", "",
                      AND(E80="U12B",G80&gt;=Data!$M$6), "U12 Boys record",
                      AND(E80="U12G",G80&gt;=Data!$M$13), "U12 Girls record"
                       ),""), "")</f>
        <v/>
      </c>
      <c r="M80" s="18" cm="1">
        <f t="array" ref="M80">_xlfn.IFS($G80="",0,AND(NOT(ISNUMBER($G80)),LOWER(LEFT($G80,1))&lt;&gt;"n"),"Not a valid distance",OR(LOWER(LEFT($G80,1))="n",$G80&lt;ScoringTable!$P$161),1,RIGHT($E80,1)="B",_xlfn.XLOOKUP($G80,ScoringTable!$P$2:$P$161,ScoringTable!$L$2:$L$161,,-1),TRUE,_xlfn.XLOOKUP($G80,ScoringTable!$V$2:$V$161,ScoringTable!$R$2:$R$161,,-1))</f>
        <v>52</v>
      </c>
    </row>
    <row r="81" spans="1:13" ht="16.05" customHeight="1">
      <c r="A81" s="80" t="s">
        <v>104</v>
      </c>
      <c r="B81" s="79" t="str">
        <f>IF(ISNA(VLOOKUP($F81,Declarations!B$6:C$185,2,FALSE)),"",IF(VLOOKUP($F81,Declarations!B$6:C$185,2,FALSE)="","NOT DECLARED",IF(ISNA(_xlfn.TEXTBEFORE(VLOOKUP($F81,Declarations!B$6:C$185,2,FALSE)," ")),VLOOKUP($F81,Declarations!B$6:C$185,2,FALSE),_xlfn.TEXTBEFORE(VLOOKUP($F81,Declarations!B$6:C$185,2,FALSE)," "))))</f>
        <v>CHLOE</v>
      </c>
      <c r="C81" s="79" t="str">
        <f>IF(ISNA(VLOOKUP($F81,Declarations!B$6:C$185,2,FALSE)),"",IF(VLOOKUP($F81,Declarations!B$6:C$185,2,FALSE)="","NOT DECLARED",IF(ISNA(_xlfn.TEXTAFTER(VLOOKUP($F81,Declarations!B$6:C$185,2,FALSE)," ")),VLOOKUP($F81,Declarations!B$6:C$185,2,FALSE),_xlfn.TEXTAFTER(VLOOKUP($F81,Declarations!B$6:C$185,2,FALSE)," "))))</f>
        <v>HARRISON</v>
      </c>
      <c r="D81" s="79" t="str">
        <f>IF(ISNA(VLOOKUP($F81,Declarations!$B$6:$F$185,5,FALSE)),"",IF(VLOOKUP($F81,Declarations!$B$6:$F$185,5,FALSE)="","NOT DECLARED",VLOOKUP($F81,Declarations!$B$6:$F$185,5,FALSE)))</f>
        <v>Camberley &amp; District AC</v>
      </c>
      <c r="E81" s="112" t="str">
        <f>IF(ISNA(VLOOKUP($F81,Declarations!$B$6:$D$185,3,FALSE)),"",IF(VLOOKUP($F81,Declarations!$B$6:$D$185,3,FALSE)="","NOT DECLARED",VLOOKUP($F81,Declarations!$B$6:$D$185,3,FALSE)&amp;LEFT(VLOOKUP($F81,Declarations!$B$6:$E$185,4,FALSE))))</f>
        <v>U12G</v>
      </c>
      <c r="F81" s="20">
        <v>8</v>
      </c>
      <c r="G81" s="21">
        <v>21.6</v>
      </c>
      <c r="H81" s="281"/>
      <c r="I81" s="8" t="str">
        <f>IF(ISNA(VLOOKUP(F81,Declarations!B$6:C$185,2,FALSE)),"",IF(VLOOKUP(F81,Declarations!B$6:C$185,2,FALSE)="","NOT DECLARED",VLOOKUP(F81,Declarations!B$6:C$185,2,FALSE)))</f>
        <v>CHLOE HARRISON</v>
      </c>
      <c r="J81" s="2">
        <f>IF(LOWER(LEFT(G81,1))="n",1,VLOOKUP(G81,ScoringTable!E$2:I$95,5))</f>
        <v>43</v>
      </c>
      <c r="K81" s="112" t="str">
        <f>IF(OR(E81="",G81=""),"",IF(RIGHT(E81,1)="G",_xlfn.XLOOKUP(G81,Data!$D$13:$L$13,Data!$D$9:$L$9,"",-1,1),_xlfn.XLOOKUP(G81,Data!$D$6:$L$6,Data!$D$2:$L$2,"",-1,1)))</f>
        <v>PB5</v>
      </c>
      <c r="L81" s="160" t="str" cm="1">
        <f t="array" ref="L81">IFERROR(_xlfn.IFNA(
                      _xlfn.IFS(
                      F81="", "",
                      AND(E81="U12B",G81&gt;=Data!$M$6), "U12 Boys record",
                      AND(E81="U12G",G81&gt;=Data!$M$13), "U12 Girls record"
                       ),""), "")</f>
        <v/>
      </c>
      <c r="M81" s="18" cm="1">
        <f t="array" ref="M81">_xlfn.IFS($G81="",0,AND(NOT(ISNUMBER($G81)),LOWER(LEFT($G81,1))&lt;&gt;"n"),"Not a valid distance",OR(LOWER(LEFT($G81,1))="n",$G81&lt;ScoringTable!$P$161),1,RIGHT($E81,1)="B",_xlfn.XLOOKUP($G81,ScoringTable!$P$2:$P$161,ScoringTable!$L$2:$L$161,,-1),TRUE,_xlfn.XLOOKUP($G81,ScoringTable!$V$2:$V$161,ScoringTable!$R$2:$R$161,,-1))</f>
        <v>68</v>
      </c>
    </row>
    <row r="82" spans="1:13" ht="16.05" customHeight="1">
      <c r="A82" s="80" t="s">
        <v>104</v>
      </c>
      <c r="B82" s="79" t="str">
        <f>IF(ISNA(VLOOKUP($F82,Declarations!B$6:C$185,2,FALSE)),"",IF(VLOOKUP($F82,Declarations!B$6:C$185,2,FALSE)="","NOT DECLARED",IF(ISNA(_xlfn.TEXTBEFORE(VLOOKUP($F82,Declarations!B$6:C$185,2,FALSE)," ")),VLOOKUP($F82,Declarations!B$6:C$185,2,FALSE),_xlfn.TEXTBEFORE(VLOOKUP($F82,Declarations!B$6:C$185,2,FALSE)," "))))</f>
        <v>ELISE</v>
      </c>
      <c r="C82" s="79" t="str">
        <f>IF(ISNA(VLOOKUP($F82,Declarations!B$6:C$185,2,FALSE)),"",IF(VLOOKUP($F82,Declarations!B$6:C$185,2,FALSE)="","NOT DECLARED",IF(ISNA(_xlfn.TEXTAFTER(VLOOKUP($F82,Declarations!B$6:C$185,2,FALSE)," ")),VLOOKUP($F82,Declarations!B$6:C$185,2,FALSE),_xlfn.TEXTAFTER(VLOOKUP($F82,Declarations!B$6:C$185,2,FALSE)," "))))</f>
        <v>ABDELLI</v>
      </c>
      <c r="D82" s="79" t="str">
        <f>IF(ISNA(VLOOKUP($F82,Declarations!$B$6:$F$185,5,FALSE)),"",IF(VLOOKUP($F82,Declarations!$B$6:$F$185,5,FALSE)="","NOT DECLARED",VLOOKUP($F82,Declarations!$B$6:$F$185,5,FALSE)))</f>
        <v>Woking AC</v>
      </c>
      <c r="E82" s="112" t="str">
        <f>IF(ISNA(VLOOKUP($F82,Declarations!$B$6:$D$185,3,FALSE)),"",IF(VLOOKUP($F82,Declarations!$B$6:$D$185,3,FALSE)="","NOT DECLARED",VLOOKUP($F82,Declarations!$B$6:$D$185,3,FALSE)&amp;LEFT(VLOOKUP($F82,Declarations!$B$6:$E$185,4,FALSE))))</f>
        <v>U12G</v>
      </c>
      <c r="F82" s="20">
        <v>21</v>
      </c>
      <c r="G82" s="21">
        <v>22.76</v>
      </c>
      <c r="H82" s="281"/>
      <c r="I82" s="8" t="str">
        <f>IF(ISNA(VLOOKUP(F82,Declarations!B$6:C$185,2,FALSE)),"",IF(VLOOKUP(F82,Declarations!B$6:C$185,2,FALSE)="","NOT DECLARED",VLOOKUP(F82,Declarations!B$6:C$185,2,FALSE)))</f>
        <v>ELISE ABDELLI</v>
      </c>
      <c r="J82" s="2">
        <f>IF(LOWER(LEFT(G82,1))="n",1,VLOOKUP(G82,ScoringTable!E$2:I$95,5))</f>
        <v>45</v>
      </c>
      <c r="K82" s="112" t="str">
        <f>IF(OR(E82="",G82=""),"",IF(RIGHT(E82,1)="G",_xlfn.XLOOKUP(G82,Data!$D$13:$L$13,Data!$D$9:$L$9,"",-1,1),_xlfn.XLOOKUP(G82,Data!$D$6:$L$6,Data!$D$2:$L$2,"",-1,1)))</f>
        <v>PB6</v>
      </c>
      <c r="L82" s="160" t="str" cm="1">
        <f t="array" ref="L82">IFERROR(_xlfn.IFNA(
                      _xlfn.IFS(
                      F82="", "",
                      AND(E82="U12B",G82&gt;=Data!$M$6), "U12 Boys record",
                      AND(E82="U12G",G82&gt;=Data!$M$13), "U12 Girls record"
                       ),""), "")</f>
        <v/>
      </c>
      <c r="M82" s="18" cm="1">
        <f t="array" ref="M82">_xlfn.IFS($G82="",0,AND(NOT(ISNUMBER($G82)),LOWER(LEFT($G82,1))&lt;&gt;"n"),"Not a valid distance",OR(LOWER(LEFT($G82,1))="n",$G82&lt;ScoringTable!$P$161),1,RIGHT($E82,1)="B",_xlfn.XLOOKUP($G82,ScoringTable!$P$2:$P$161,ScoringTable!$L$2:$L$161,,-1),TRUE,_xlfn.XLOOKUP($G82,ScoringTable!$V$2:$V$161,ScoringTable!$R$2:$R$161,,-1))</f>
        <v>73</v>
      </c>
    </row>
    <row r="83" spans="1:13" ht="16.05" customHeight="1">
      <c r="A83" s="80" t="s">
        <v>104</v>
      </c>
      <c r="B83" s="79" t="str">
        <f>IF(ISNA(VLOOKUP($F83,Declarations!B$6:C$185,2,FALSE)),"",IF(VLOOKUP($F83,Declarations!B$6:C$185,2,FALSE)="","NOT DECLARED",IF(ISNA(_xlfn.TEXTBEFORE(VLOOKUP($F83,Declarations!B$6:C$185,2,FALSE)," ")),VLOOKUP($F83,Declarations!B$6:C$185,2,FALSE),_xlfn.TEXTBEFORE(VLOOKUP($F83,Declarations!B$6:C$185,2,FALSE)," "))))</f>
        <v>FRANKIE</v>
      </c>
      <c r="C83" s="79" t="str">
        <f>IF(ISNA(VLOOKUP($F83,Declarations!B$6:C$185,2,FALSE)),"",IF(VLOOKUP($F83,Declarations!B$6:C$185,2,FALSE)="","NOT DECLARED",IF(ISNA(_xlfn.TEXTAFTER(VLOOKUP($F83,Declarations!B$6:C$185,2,FALSE)," ")),VLOOKUP($F83,Declarations!B$6:C$185,2,FALSE),_xlfn.TEXTAFTER(VLOOKUP($F83,Declarations!B$6:C$185,2,FALSE)," "))))</f>
        <v>ICETON</v>
      </c>
      <c r="D83" s="79" t="str">
        <f>IF(ISNA(VLOOKUP($F83,Declarations!$B$6:$F$185,5,FALSE)),"",IF(VLOOKUP($F83,Declarations!$B$6:$F$185,5,FALSE)="","NOT DECLARED",VLOOKUP($F83,Declarations!$B$6:$F$185,5,FALSE)))</f>
        <v>Woking AC</v>
      </c>
      <c r="E83" s="112" t="str">
        <f>IF(ISNA(VLOOKUP($F83,Declarations!$B$6:$D$185,3,FALSE)),"",IF(VLOOKUP($F83,Declarations!$B$6:$D$185,3,FALSE)="","NOT DECLARED",VLOOKUP($F83,Declarations!$B$6:$D$185,3,FALSE)&amp;LEFT(VLOOKUP($F83,Declarations!$B$6:$E$185,4,FALSE))))</f>
        <v>U12G</v>
      </c>
      <c r="F83" s="20">
        <v>22</v>
      </c>
      <c r="G83" s="21">
        <v>21.31</v>
      </c>
      <c r="H83" s="281"/>
      <c r="I83" s="8" t="str">
        <f>IF(ISNA(VLOOKUP(F83,Declarations!B$6:C$185,2,FALSE)),"",IF(VLOOKUP(F83,Declarations!B$6:C$185,2,FALSE)="","NOT DECLARED",VLOOKUP(F83,Declarations!B$6:C$185,2,FALSE)))</f>
        <v>FRANKIE ICETON</v>
      </c>
      <c r="J83" s="2">
        <f>IF(LOWER(LEFT(G83,1))="n",1,VLOOKUP(G83,ScoringTable!E$2:I$95,5))</f>
        <v>42</v>
      </c>
      <c r="K83" s="112" t="str">
        <f>IF(OR(E83="",G83=""),"",IF(RIGHT(E83,1)="G",_xlfn.XLOOKUP(G83,Data!$D$13:$L$13,Data!$D$9:$L$9,"",-1,1),_xlfn.XLOOKUP(G83,Data!$D$6:$L$6,Data!$D$2:$L$2,"",-1,1)))</f>
        <v>PB5</v>
      </c>
      <c r="L83" s="160" t="str" cm="1">
        <f t="array" ref="L83">IFERROR(_xlfn.IFNA(
                      _xlfn.IFS(
                      F83="", "",
                      AND(E83="U12B",G83&gt;=Data!$M$6), "U12 Boys record",
                      AND(E83="U12G",G83&gt;=Data!$M$13), "U12 Girls record"
                       ),""), "")</f>
        <v/>
      </c>
      <c r="M83" s="18" cm="1">
        <f t="array" ref="M83">_xlfn.IFS($G83="",0,AND(NOT(ISNUMBER($G83)),LOWER(LEFT($G83,1))&lt;&gt;"n"),"Not a valid distance",OR(LOWER(LEFT($G83,1))="n",$G83&lt;ScoringTable!$P$161),1,RIGHT($E83,1)="B",_xlfn.XLOOKUP($G83,ScoringTable!$P$2:$P$161,ScoringTable!$L$2:$L$161,,-1),TRUE,_xlfn.XLOOKUP($G83,ScoringTable!$V$2:$V$161,ScoringTable!$R$2:$R$161,,-1))</f>
        <v>66</v>
      </c>
    </row>
    <row r="84" spans="1:13" ht="16.05" customHeight="1">
      <c r="A84" s="80" t="s">
        <v>104</v>
      </c>
      <c r="B84" s="79" t="str">
        <f>IF(ISNA(VLOOKUP($F84,Declarations!B$6:C$185,2,FALSE)),"",IF(VLOOKUP($F84,Declarations!B$6:C$185,2,FALSE)="","NOT DECLARED",IF(ISNA(_xlfn.TEXTBEFORE(VLOOKUP($F84,Declarations!B$6:C$185,2,FALSE)," ")),VLOOKUP($F84,Declarations!B$6:C$185,2,FALSE),_xlfn.TEXTBEFORE(VLOOKUP($F84,Declarations!B$6:C$185,2,FALSE)," "))))</f>
        <v>ALIYAH</v>
      </c>
      <c r="C84" s="79" t="str">
        <f>IF(ISNA(VLOOKUP($F84,Declarations!B$6:C$185,2,FALSE)),"",IF(VLOOKUP($F84,Declarations!B$6:C$185,2,FALSE)="","NOT DECLARED",IF(ISNA(_xlfn.TEXTAFTER(VLOOKUP($F84,Declarations!B$6:C$185,2,FALSE)," ")),VLOOKUP($F84,Declarations!B$6:C$185,2,FALSE),_xlfn.TEXTAFTER(VLOOKUP($F84,Declarations!B$6:C$185,2,FALSE)," "))))</f>
        <v>KENNAUGH</v>
      </c>
      <c r="D84" s="79" t="str">
        <f>IF(ISNA(VLOOKUP($F84,Declarations!$B$6:$F$185,5,FALSE)),"",IF(VLOOKUP($F84,Declarations!$B$6:$F$185,5,FALSE)="","NOT DECLARED",VLOOKUP($F84,Declarations!$B$6:$F$185,5,FALSE)))</f>
        <v>Woking AC</v>
      </c>
      <c r="E84" s="112" t="str">
        <f>IF(ISNA(VLOOKUP($F84,Declarations!$B$6:$D$185,3,FALSE)),"",IF(VLOOKUP($F84,Declarations!$B$6:$D$185,3,FALSE)="","NOT DECLARED",VLOOKUP($F84,Declarations!$B$6:$D$185,3,FALSE)&amp;LEFT(VLOOKUP($F84,Declarations!$B$6:$E$185,4,FALSE))))</f>
        <v>U12G</v>
      </c>
      <c r="F84" s="20">
        <v>23</v>
      </c>
      <c r="G84" s="21">
        <v>15.48</v>
      </c>
      <c r="H84" s="281"/>
      <c r="I84" s="8" t="str">
        <f>IF(ISNA(VLOOKUP(F84,Declarations!B$6:C$185,2,FALSE)),"",IF(VLOOKUP(F84,Declarations!B$6:C$185,2,FALSE)="","NOT DECLARED",VLOOKUP(F84,Declarations!B$6:C$185,2,FALSE)))</f>
        <v>ALIYAH KENNAUGH</v>
      </c>
      <c r="J84" s="2">
        <f>IF(LOWER(LEFT(G84,1))="n",1,VLOOKUP(G84,ScoringTable!E$2:I$95,5))</f>
        <v>30</v>
      </c>
      <c r="K84" s="112" t="str">
        <f>IF(OR(E84="",G84=""),"",IF(RIGHT(E84,1)="G",_xlfn.XLOOKUP(G84,Data!$D$13:$L$13,Data!$D$9:$L$9,"",-1,1),_xlfn.XLOOKUP(G84,Data!$D$6:$L$6,Data!$D$2:$L$2,"",-1,1)))</f>
        <v>PB2</v>
      </c>
      <c r="L84" s="160" t="str" cm="1">
        <f t="array" ref="L84">IFERROR(_xlfn.IFNA(
                      _xlfn.IFS(
                      F84="", "",
                      AND(E84="U12B",G84&gt;=Data!$M$6), "U12 Boys record",
                      AND(E84="U12G",G84&gt;=Data!$M$13), "U12 Girls record"
                       ),""), "")</f>
        <v/>
      </c>
      <c r="M84" s="18" cm="1">
        <f t="array" ref="M84">_xlfn.IFS($G84="",0,AND(NOT(ISNUMBER($G84)),LOWER(LEFT($G84,1))&lt;&gt;"n"),"Not a valid distance",OR(LOWER(LEFT($G84,1))="n",$G84&lt;ScoringTable!$P$161),1,RIGHT($E84,1)="B",_xlfn.XLOOKUP($G84,ScoringTable!$P$2:$P$161,ScoringTable!$L$2:$L$161,,-1),TRUE,_xlfn.XLOOKUP($G84,ScoringTable!$V$2:$V$161,ScoringTable!$R$2:$R$161,,-1))</f>
        <v>37</v>
      </c>
    </row>
    <row r="85" spans="1:13" ht="16.05" customHeight="1">
      <c r="A85" s="80" t="s">
        <v>104</v>
      </c>
      <c r="B85" s="79" t="str">
        <f>IF(ISNA(VLOOKUP($F85,Declarations!B$6:C$185,2,FALSE)),"",IF(VLOOKUP($F85,Declarations!B$6:C$185,2,FALSE)="","NOT DECLARED",IF(ISNA(_xlfn.TEXTBEFORE(VLOOKUP($F85,Declarations!B$6:C$185,2,FALSE)," ")),VLOOKUP($F85,Declarations!B$6:C$185,2,FALSE),_xlfn.TEXTBEFORE(VLOOKUP($F85,Declarations!B$6:C$185,2,FALSE)," "))))</f>
        <v>ELIN</v>
      </c>
      <c r="C85" s="79" t="str">
        <f>IF(ISNA(VLOOKUP($F85,Declarations!B$6:C$185,2,FALSE)),"",IF(VLOOKUP($F85,Declarations!B$6:C$185,2,FALSE)="","NOT DECLARED",IF(ISNA(_xlfn.TEXTAFTER(VLOOKUP($F85,Declarations!B$6:C$185,2,FALSE)," ")),VLOOKUP($F85,Declarations!B$6:C$185,2,FALSE),_xlfn.TEXTAFTER(VLOOKUP($F85,Declarations!B$6:C$185,2,FALSE)," "))))</f>
        <v>PERERA</v>
      </c>
      <c r="D85" s="79" t="str">
        <f>IF(ISNA(VLOOKUP($F85,Declarations!$B$6:$F$185,5,FALSE)),"",IF(VLOOKUP($F85,Declarations!$B$6:$F$185,5,FALSE)="","NOT DECLARED",VLOOKUP($F85,Declarations!$B$6:$F$185,5,FALSE)))</f>
        <v>Woking AC</v>
      </c>
      <c r="E85" s="112" t="str">
        <f>IF(ISNA(VLOOKUP($F85,Declarations!$B$6:$D$185,3,FALSE)),"",IF(VLOOKUP($F85,Declarations!$B$6:$D$185,3,FALSE)="","NOT DECLARED",VLOOKUP($F85,Declarations!$B$6:$D$185,3,FALSE)&amp;LEFT(VLOOKUP($F85,Declarations!$B$6:$E$185,4,FALSE))))</f>
        <v>U12G</v>
      </c>
      <c r="F85" s="20">
        <v>24</v>
      </c>
      <c r="G85" s="21">
        <v>16.940000000000001</v>
      </c>
      <c r="H85" s="281"/>
      <c r="I85" s="8" t="str">
        <f>IF(ISNA(VLOOKUP(F85,Declarations!B$6:C$185,2,FALSE)),"",IF(VLOOKUP(F85,Declarations!B$6:C$185,2,FALSE)="","NOT DECLARED",VLOOKUP(F85,Declarations!B$6:C$185,2,FALSE)))</f>
        <v>ELIN PERERA</v>
      </c>
      <c r="J85" s="2">
        <f>IF(LOWER(LEFT(G85,1))="n",1,VLOOKUP(G85,ScoringTable!E$2:I$95,5))</f>
        <v>33</v>
      </c>
      <c r="K85" s="112" t="str">
        <f>IF(OR(E85="",G85=""),"",IF(RIGHT(E85,1)="G",_xlfn.XLOOKUP(G85,Data!$D$13:$L$13,Data!$D$9:$L$9,"",-1,1),_xlfn.XLOOKUP(G85,Data!$D$6:$L$6,Data!$D$2:$L$2,"",-1,1)))</f>
        <v>PB3</v>
      </c>
      <c r="L85" s="160" t="str" cm="1">
        <f t="array" ref="L85">IFERROR(_xlfn.IFNA(
                      _xlfn.IFS(
                      F85="", "",
                      AND(E85="U12B",G85&gt;=Data!$M$6), "U12 Boys record",
                      AND(E85="U12G",G85&gt;=Data!$M$13), "U12 Girls record"
                       ),""), "")</f>
        <v/>
      </c>
      <c r="M85" s="18" cm="1">
        <f t="array" ref="M85">_xlfn.IFS($G85="",0,AND(NOT(ISNUMBER($G85)),LOWER(LEFT($G85,1))&lt;&gt;"n"),"Not a valid distance",OR(LOWER(LEFT($G85,1))="n",$G85&lt;ScoringTable!$P$161),1,RIGHT($E85,1)="B",_xlfn.XLOOKUP($G85,ScoringTable!$P$2:$P$161,ScoringTable!$L$2:$L$161,,-1),TRUE,_xlfn.XLOOKUP($G85,ScoringTable!$V$2:$V$161,ScoringTable!$R$2:$R$161,,-1))</f>
        <v>44</v>
      </c>
    </row>
    <row r="86" spans="1:13" ht="16.05" customHeight="1">
      <c r="A86" s="80" t="s">
        <v>104</v>
      </c>
      <c r="B86" s="79" t="str">
        <f>IF(ISNA(VLOOKUP($F86,Declarations!B$6:C$185,2,FALSE)),"",IF(VLOOKUP($F86,Declarations!B$6:C$185,2,FALSE)="","NOT DECLARED",IF(ISNA(_xlfn.TEXTBEFORE(VLOOKUP($F86,Declarations!B$6:C$185,2,FALSE)," ")),VLOOKUP($F86,Declarations!B$6:C$185,2,FALSE),_xlfn.TEXTBEFORE(VLOOKUP($F86,Declarations!B$6:C$185,2,FALSE)," "))))</f>
        <v>LILY</v>
      </c>
      <c r="C86" s="79" t="str">
        <f>IF(ISNA(VLOOKUP($F86,Declarations!B$6:C$185,2,FALSE)),"",IF(VLOOKUP($F86,Declarations!B$6:C$185,2,FALSE)="","NOT DECLARED",IF(ISNA(_xlfn.TEXTAFTER(VLOOKUP($F86,Declarations!B$6:C$185,2,FALSE)," ")),VLOOKUP($F86,Declarations!B$6:C$185,2,FALSE),_xlfn.TEXTAFTER(VLOOKUP($F86,Declarations!B$6:C$185,2,FALSE)," "))))</f>
        <v>COPP</v>
      </c>
      <c r="D86" s="79" t="str">
        <f>IF(ISNA(VLOOKUP($F86,Declarations!$B$6:$F$185,5,FALSE)),"",IF(VLOOKUP($F86,Declarations!$B$6:$F$185,5,FALSE)="","NOT DECLARED",VLOOKUP($F86,Declarations!$B$6:$F$185,5,FALSE)))</f>
        <v>Woking AC</v>
      </c>
      <c r="E86" s="112" t="str">
        <f>IF(ISNA(VLOOKUP($F86,Declarations!$B$6:$D$185,3,FALSE)),"",IF(VLOOKUP($F86,Declarations!$B$6:$D$185,3,FALSE)="","NOT DECLARED",VLOOKUP($F86,Declarations!$B$6:$D$185,3,FALSE)&amp;LEFT(VLOOKUP($F86,Declarations!$B$6:$E$185,4,FALSE))))</f>
        <v>U12G</v>
      </c>
      <c r="F86" s="20">
        <v>25</v>
      </c>
      <c r="G86" s="21">
        <v>12.8</v>
      </c>
      <c r="H86" s="281"/>
      <c r="I86" s="8" t="str">
        <f>IF(ISNA(VLOOKUP(F86,Declarations!B$6:C$185,2,FALSE)),"",IF(VLOOKUP(F86,Declarations!B$6:C$185,2,FALSE)="","NOT DECLARED",VLOOKUP(F86,Declarations!B$6:C$185,2,FALSE)))</f>
        <v>LILY COPP</v>
      </c>
      <c r="J86" s="2">
        <f>IF(LOWER(LEFT(G86,1))="n",1,VLOOKUP(G86,ScoringTable!E$2:I$95,5))</f>
        <v>25</v>
      </c>
      <c r="K86" s="112" t="str">
        <f>IF(OR(E86="",G86=""),"",IF(RIGHT(E86,1)="G",_xlfn.XLOOKUP(G86,Data!$D$13:$L$13,Data!$D$9:$L$9,"",-1,1),_xlfn.XLOOKUP(G86,Data!$D$6:$L$6,Data!$D$2:$L$2,"",-1,1)))</f>
        <v>PB1</v>
      </c>
      <c r="L86" s="160" t="str" cm="1">
        <f t="array" ref="L86">IFERROR(_xlfn.IFNA(
                      _xlfn.IFS(
                      F86="", "",
                      AND(E86="U12B",G86&gt;=Data!$M$6), "U12 Boys record",
                      AND(E86="U12G",G86&gt;=Data!$M$13), "U12 Girls record"
                       ),""), "")</f>
        <v/>
      </c>
      <c r="M86" s="18" cm="1">
        <f t="array" ref="M86">_xlfn.IFS($G86="",0,AND(NOT(ISNUMBER($G86)),LOWER(LEFT($G86,1))&lt;&gt;"n"),"Not a valid distance",OR(LOWER(LEFT($G86,1))="n",$G86&lt;ScoringTable!$P$161),1,RIGHT($E86,1)="B",_xlfn.XLOOKUP($G86,ScoringTable!$P$2:$P$161,ScoringTable!$L$2:$L$161,,-1),TRUE,_xlfn.XLOOKUP($G86,ScoringTable!$V$2:$V$161,ScoringTable!$R$2:$R$161,,-1))</f>
        <v>24</v>
      </c>
    </row>
    <row r="87" spans="1:13" ht="16.05" customHeight="1">
      <c r="A87" s="80" t="s">
        <v>104</v>
      </c>
      <c r="B87" s="79" t="str">
        <f>IF(ISNA(VLOOKUP($F87,Declarations!B$6:C$185,2,FALSE)),"",IF(VLOOKUP($F87,Declarations!B$6:C$185,2,FALSE)="","NOT DECLARED",IF(ISNA(_xlfn.TEXTBEFORE(VLOOKUP($F87,Declarations!B$6:C$185,2,FALSE)," ")),VLOOKUP($F87,Declarations!B$6:C$185,2,FALSE),_xlfn.TEXTBEFORE(VLOOKUP($F87,Declarations!B$6:C$185,2,FALSE)," "))))</f>
        <v>EDEN</v>
      </c>
      <c r="C87" s="79" t="str">
        <f>IF(ISNA(VLOOKUP($F87,Declarations!B$6:C$185,2,FALSE)),"",IF(VLOOKUP($F87,Declarations!B$6:C$185,2,FALSE)="","NOT DECLARED",IF(ISNA(_xlfn.TEXTAFTER(VLOOKUP($F87,Declarations!B$6:C$185,2,FALSE)," ")),VLOOKUP($F87,Declarations!B$6:C$185,2,FALSE),_xlfn.TEXTAFTER(VLOOKUP($F87,Declarations!B$6:C$185,2,FALSE)," "))))</f>
        <v>WECKI</v>
      </c>
      <c r="D87" s="79" t="str">
        <f>IF(ISNA(VLOOKUP($F87,Declarations!$B$6:$F$185,5,FALSE)),"",IF(VLOOKUP($F87,Declarations!$B$6:$F$185,5,FALSE)="","NOT DECLARED",VLOOKUP($F87,Declarations!$B$6:$F$185,5,FALSE)))</f>
        <v>Woking AC</v>
      </c>
      <c r="E87" s="112" t="str">
        <f>IF(ISNA(VLOOKUP($F87,Declarations!$B$6:$D$185,3,FALSE)),"",IF(VLOOKUP($F87,Declarations!$B$6:$D$185,3,FALSE)="","NOT DECLARED",VLOOKUP($F87,Declarations!$B$6:$D$185,3,FALSE)&amp;LEFT(VLOOKUP($F87,Declarations!$B$6:$E$185,4,FALSE))))</f>
        <v>U12G</v>
      </c>
      <c r="F87" s="20">
        <v>26</v>
      </c>
      <c r="G87" s="21">
        <v>13.6</v>
      </c>
      <c r="H87" s="281"/>
      <c r="I87" s="8" t="str">
        <f>IF(ISNA(VLOOKUP(F87,Declarations!B$6:C$185,2,FALSE)),"",IF(VLOOKUP(F87,Declarations!B$6:C$185,2,FALSE)="","NOT DECLARED",VLOOKUP(F87,Declarations!B$6:C$185,2,FALSE)))</f>
        <v>EDEN WECKI</v>
      </c>
      <c r="J87" s="2">
        <f>IF(LOWER(LEFT(G87,1))="n",1,VLOOKUP(G87,ScoringTable!E$2:I$95,5))</f>
        <v>27</v>
      </c>
      <c r="K87" s="112" t="str">
        <f>IF(OR(E87="",G87=""),"",IF(RIGHT(E87,1)="G",_xlfn.XLOOKUP(G87,Data!$D$13:$L$13,Data!$D$9:$L$9,"",-1,1),_xlfn.XLOOKUP(G87,Data!$D$6:$L$6,Data!$D$2:$L$2,"",-1,1)))</f>
        <v>PB1</v>
      </c>
      <c r="L87" s="160" t="str" cm="1">
        <f t="array" ref="L87">IFERROR(_xlfn.IFNA(
                      _xlfn.IFS(
                      F87="", "",
                      AND(E87="U12B",G87&gt;=Data!$M$6), "U12 Boys record",
                      AND(E87="U12G",G87&gt;=Data!$M$13), "U12 Girls record"
                       ),""), "")</f>
        <v/>
      </c>
      <c r="M87" s="18" cm="1">
        <f t="array" ref="M87">_xlfn.IFS($G87="",0,AND(NOT(ISNUMBER($G87)),LOWER(LEFT($G87,1))&lt;&gt;"n"),"Not a valid distance",OR(LOWER(LEFT($G87,1))="n",$G87&lt;ScoringTable!$P$161),1,RIGHT($E87,1)="B",_xlfn.XLOOKUP($G87,ScoringTable!$P$2:$P$161,ScoringTable!$L$2:$L$161,,-1),TRUE,_xlfn.XLOOKUP($G87,ScoringTable!$V$2:$V$161,ScoringTable!$R$2:$R$161,,-1))</f>
        <v>28</v>
      </c>
    </row>
    <row r="88" spans="1:13" ht="16.05" customHeight="1">
      <c r="A88" s="80" t="s">
        <v>104</v>
      </c>
      <c r="B88" s="79" t="str">
        <f>IF(ISNA(VLOOKUP($F88,Declarations!B$6:C$185,2,FALSE)),"",IF(VLOOKUP($F88,Declarations!B$6:C$185,2,FALSE)="","NOT DECLARED",IF(ISNA(_xlfn.TEXTBEFORE(VLOOKUP($F88,Declarations!B$6:C$185,2,FALSE)," ")),VLOOKUP($F88,Declarations!B$6:C$185,2,FALSE),_xlfn.TEXTBEFORE(VLOOKUP($F88,Declarations!B$6:C$185,2,FALSE)," "))))</f>
        <v>SOPHIE</v>
      </c>
      <c r="C88" s="79" t="str">
        <f>IF(ISNA(VLOOKUP($F88,Declarations!B$6:C$185,2,FALSE)),"",IF(VLOOKUP($F88,Declarations!B$6:C$185,2,FALSE)="","NOT DECLARED",IF(ISNA(_xlfn.TEXTAFTER(VLOOKUP($F88,Declarations!B$6:C$185,2,FALSE)," ")),VLOOKUP($F88,Declarations!B$6:C$185,2,FALSE),_xlfn.TEXTAFTER(VLOOKUP($F88,Declarations!B$6:C$185,2,FALSE)," "))))</f>
        <v>GBAJOBI</v>
      </c>
      <c r="D88" s="79" t="str">
        <f>IF(ISNA(VLOOKUP($F88,Declarations!$B$6:$F$185,5,FALSE)),"",IF(VLOOKUP($F88,Declarations!$B$6:$F$185,5,FALSE)="","NOT DECLARED",VLOOKUP($F88,Declarations!$B$6:$F$185,5,FALSE)))</f>
        <v>Woking AC</v>
      </c>
      <c r="E88" s="112" t="str">
        <f>IF(ISNA(VLOOKUP($F88,Declarations!$B$6:$D$185,3,FALSE)),"",IF(VLOOKUP($F88,Declarations!$B$6:$D$185,3,FALSE)="","NOT DECLARED",VLOOKUP($F88,Declarations!$B$6:$D$185,3,FALSE)&amp;LEFT(VLOOKUP($F88,Declarations!$B$6:$E$185,4,FALSE))))</f>
        <v>U12G</v>
      </c>
      <c r="F88" s="20">
        <v>27</v>
      </c>
      <c r="G88" s="21">
        <v>24.65</v>
      </c>
      <c r="H88" s="281"/>
      <c r="I88" s="8" t="str">
        <f>IF(ISNA(VLOOKUP(F88,Declarations!B$6:C$185,2,FALSE)),"",IF(VLOOKUP(F88,Declarations!B$6:C$185,2,FALSE)="","NOT DECLARED",VLOOKUP(F88,Declarations!B$6:C$185,2,FALSE)))</f>
        <v>SOPHIE GBAJOBI</v>
      </c>
      <c r="J88" s="2">
        <f>IF(LOWER(LEFT(G88,1))="n",1,VLOOKUP(G88,ScoringTable!E$2:I$95,5))</f>
        <v>49</v>
      </c>
      <c r="K88" s="112" t="str">
        <f>IF(OR(E88="",G88=""),"",IF(RIGHT(E88,1)="G",_xlfn.XLOOKUP(G88,Data!$D$13:$L$13,Data!$D$9:$L$9,"",-1,1),_xlfn.XLOOKUP(G88,Data!$D$6:$L$6,Data!$D$2:$L$2,"",-1,1)))</f>
        <v>PB7</v>
      </c>
      <c r="L88" s="160" t="str" cm="1">
        <f t="array" ref="L88">IFERROR(_xlfn.IFNA(
                      _xlfn.IFS(
                      F88="", "",
                      AND(E88="U12B",G88&gt;=Data!$M$6), "U12 Boys record",
                      AND(E88="U12G",G88&gt;=Data!$M$13), "U12 Girls record"
                       ),""), "")</f>
        <v/>
      </c>
      <c r="M88" s="18" cm="1">
        <f t="array" ref="M88">_xlfn.IFS($G88="",0,AND(NOT(ISNUMBER($G88)),LOWER(LEFT($G88,1))&lt;&gt;"n"),"Not a valid distance",OR(LOWER(LEFT($G88,1))="n",$G88&lt;ScoringTable!$P$161),1,RIGHT($E88,1)="B",_xlfn.XLOOKUP($G88,ScoringTable!$P$2:$P$161,ScoringTable!$L$2:$L$161,,-1),TRUE,_xlfn.XLOOKUP($G88,ScoringTable!$V$2:$V$161,ScoringTable!$R$2:$R$161,,-1))</f>
        <v>83</v>
      </c>
    </row>
    <row r="89" spans="1:13" ht="16.05" customHeight="1">
      <c r="A89" s="80" t="s">
        <v>104</v>
      </c>
      <c r="B89" s="79" t="str">
        <f>IF(ISNA(VLOOKUP($F89,Declarations!B$6:C$185,2,FALSE)),"",IF(VLOOKUP($F89,Declarations!B$6:C$185,2,FALSE)="","NOT DECLARED",IF(ISNA(_xlfn.TEXTBEFORE(VLOOKUP($F89,Declarations!B$6:C$185,2,FALSE)," ")),VLOOKUP($F89,Declarations!B$6:C$185,2,FALSE),_xlfn.TEXTBEFORE(VLOOKUP($F89,Declarations!B$6:C$185,2,FALSE)," "))))</f>
        <v>KAMILA</v>
      </c>
      <c r="C89" s="79" t="str">
        <f>IF(ISNA(VLOOKUP($F89,Declarations!B$6:C$185,2,FALSE)),"",IF(VLOOKUP($F89,Declarations!B$6:C$185,2,FALSE)="","NOT DECLARED",IF(ISNA(_xlfn.TEXTAFTER(VLOOKUP($F89,Declarations!B$6:C$185,2,FALSE)," ")),VLOOKUP($F89,Declarations!B$6:C$185,2,FALSE),_xlfn.TEXTAFTER(VLOOKUP($F89,Declarations!B$6:C$185,2,FALSE)," "))))</f>
        <v>OLATEJU</v>
      </c>
      <c r="D89" s="79" t="str">
        <f>IF(ISNA(VLOOKUP($F89,Declarations!$B$6:$F$185,5,FALSE)),"",IF(VLOOKUP($F89,Declarations!$B$6:$F$185,5,FALSE)="","NOT DECLARED",VLOOKUP($F89,Declarations!$B$6:$F$185,5,FALSE)))</f>
        <v>Poole Runners</v>
      </c>
      <c r="E89" s="112" t="str">
        <f>IF(ISNA(VLOOKUP($F89,Declarations!$B$6:$D$185,3,FALSE)),"",IF(VLOOKUP($F89,Declarations!$B$6:$D$185,3,FALSE)="","NOT DECLARED",VLOOKUP($F89,Declarations!$B$6:$D$185,3,FALSE)&amp;LEFT(VLOOKUP($F89,Declarations!$B$6:$E$185,4,FALSE))))</f>
        <v>U12G</v>
      </c>
      <c r="F89" s="20">
        <v>41</v>
      </c>
      <c r="G89" s="21">
        <v>16.12</v>
      </c>
      <c r="H89" s="281"/>
      <c r="I89" s="8" t="str">
        <f>IF(ISNA(VLOOKUP(F89,Declarations!B$6:C$185,2,FALSE)),"",IF(VLOOKUP(F89,Declarations!B$6:C$185,2,FALSE)="","NOT DECLARED",VLOOKUP(F89,Declarations!B$6:C$185,2,FALSE)))</f>
        <v>KAMILA OLATEJU</v>
      </c>
      <c r="J89" s="2">
        <f>IF(LOWER(LEFT(G89,1))="n",1,VLOOKUP(G89,ScoringTable!E$2:I$95,5))</f>
        <v>32</v>
      </c>
      <c r="K89" s="112" t="str">
        <f>IF(OR(E89="",G89=""),"",IF(RIGHT(E89,1)="G",_xlfn.XLOOKUP(G89,Data!$D$13:$L$13,Data!$D$9:$L$9,"",-1,1),_xlfn.XLOOKUP(G89,Data!$D$6:$L$6,Data!$D$2:$L$2,"",-1,1)))</f>
        <v>PB3</v>
      </c>
      <c r="L89" s="160" t="str" cm="1">
        <f t="array" ref="L89">IFERROR(_xlfn.IFNA(
                      _xlfn.IFS(
                      F89="", "",
                      AND(E89="U12B",G89&gt;=Data!$M$6), "U12 Boys record",
                      AND(E89="U12G",G89&gt;=Data!$M$13), "U12 Girls record"
                       ),""), "")</f>
        <v/>
      </c>
      <c r="M89" s="18" cm="1">
        <f t="array" ref="M89">_xlfn.IFS($G89="",0,AND(NOT(ISNUMBER($G89)),LOWER(LEFT($G89,1))&lt;&gt;"n"),"Not a valid distance",OR(LOWER(LEFT($G89,1))="n",$G89&lt;ScoringTable!$P$161),1,RIGHT($E89,1)="B",_xlfn.XLOOKUP($G89,ScoringTable!$P$2:$P$161,ScoringTable!$L$2:$L$161,,-1),TRUE,_xlfn.XLOOKUP($G89,ScoringTable!$V$2:$V$161,ScoringTable!$R$2:$R$161,,-1))</f>
        <v>40</v>
      </c>
    </row>
    <row r="90" spans="1:13" ht="16.05" customHeight="1">
      <c r="A90" s="80" t="s">
        <v>104</v>
      </c>
      <c r="B90" s="79" t="str">
        <f>IF(ISNA(VLOOKUP($F90,Declarations!B$6:C$185,2,FALSE)),"",IF(VLOOKUP($F90,Declarations!B$6:C$185,2,FALSE)="","NOT DECLARED",IF(ISNA(_xlfn.TEXTBEFORE(VLOOKUP($F90,Declarations!B$6:C$185,2,FALSE)," ")),VLOOKUP($F90,Declarations!B$6:C$185,2,FALSE),_xlfn.TEXTBEFORE(VLOOKUP($F90,Declarations!B$6:C$185,2,FALSE)," "))))</f>
        <v>ROSE</v>
      </c>
      <c r="C90" s="79" t="str">
        <f>IF(ISNA(VLOOKUP($F90,Declarations!B$6:C$185,2,FALSE)),"",IF(VLOOKUP($F90,Declarations!B$6:C$185,2,FALSE)="","NOT DECLARED",IF(ISNA(_xlfn.TEXTAFTER(VLOOKUP($F90,Declarations!B$6:C$185,2,FALSE)," ")),VLOOKUP($F90,Declarations!B$6:C$185,2,FALSE),_xlfn.TEXTAFTER(VLOOKUP($F90,Declarations!B$6:C$185,2,FALSE)," "))))</f>
        <v>NEIL</v>
      </c>
      <c r="D90" s="79" t="str">
        <f>IF(ISNA(VLOOKUP($F90,Declarations!$B$6:$F$185,5,FALSE)),"",IF(VLOOKUP($F90,Declarations!$B$6:$F$185,5,FALSE)="","NOT DECLARED",VLOOKUP($F90,Declarations!$B$6:$F$185,5,FALSE)))</f>
        <v>Poole Runners</v>
      </c>
      <c r="E90" s="112" t="str">
        <f>IF(ISNA(VLOOKUP($F90,Declarations!$B$6:$D$185,3,FALSE)),"",IF(VLOOKUP($F90,Declarations!$B$6:$D$185,3,FALSE)="","NOT DECLARED",VLOOKUP($F90,Declarations!$B$6:$D$185,3,FALSE)&amp;LEFT(VLOOKUP($F90,Declarations!$B$6:$E$185,4,FALSE))))</f>
        <v>U12G</v>
      </c>
      <c r="F90" s="20">
        <v>42</v>
      </c>
      <c r="G90" s="21">
        <v>15.83</v>
      </c>
      <c r="H90" s="281"/>
      <c r="I90" s="8" t="str">
        <f>IF(ISNA(VLOOKUP(F90,Declarations!B$6:C$185,2,FALSE)),"",IF(VLOOKUP(F90,Declarations!B$6:C$185,2,FALSE)="","NOT DECLARED",VLOOKUP(F90,Declarations!B$6:C$185,2,FALSE)))</f>
        <v>ROSE NEIL</v>
      </c>
      <c r="J90" s="2">
        <f>IF(LOWER(LEFT(G90,1))="n",1,VLOOKUP(G90,ScoringTable!E$2:I$95,5))</f>
        <v>31</v>
      </c>
      <c r="K90" s="112" t="str">
        <f>IF(OR(E90="",G90=""),"",IF(RIGHT(E90,1)="G",_xlfn.XLOOKUP(G90,Data!$D$13:$L$13,Data!$D$9:$L$9,"",-1,1),_xlfn.XLOOKUP(G90,Data!$D$6:$L$6,Data!$D$2:$L$2,"",-1,1)))</f>
        <v>PB2</v>
      </c>
      <c r="L90" s="160" t="str" cm="1">
        <f t="array" ref="L90">IFERROR(_xlfn.IFNA(
                      _xlfn.IFS(
                      F90="", "",
                      AND(E90="U12B",G90&gt;=Data!$M$6), "U12 Boys record",
                      AND(E90="U12G",G90&gt;=Data!$M$13), "U12 Girls record"
                       ),""), "")</f>
        <v/>
      </c>
      <c r="M90" s="18" cm="1">
        <f t="array" ref="M90">_xlfn.IFS($G90="",0,AND(NOT(ISNUMBER($G90)),LOWER(LEFT($G90,1))&lt;&gt;"n"),"Not a valid distance",OR(LOWER(LEFT($G90,1))="n",$G90&lt;ScoringTable!$P$161),1,RIGHT($E90,1)="B",_xlfn.XLOOKUP($G90,ScoringTable!$P$2:$P$161,ScoringTable!$L$2:$L$161,,-1),TRUE,_xlfn.XLOOKUP($G90,ScoringTable!$V$2:$V$161,ScoringTable!$R$2:$R$161,,-1))</f>
        <v>39</v>
      </c>
    </row>
    <row r="91" spans="1:13" ht="16.05" customHeight="1">
      <c r="A91" s="80" t="s">
        <v>104</v>
      </c>
      <c r="B91" s="79" t="str">
        <f>IF(ISNA(VLOOKUP($F91,Declarations!B$6:C$185,2,FALSE)),"",IF(VLOOKUP($F91,Declarations!B$6:C$185,2,FALSE)="","NOT DECLARED",IF(ISNA(_xlfn.TEXTBEFORE(VLOOKUP($F91,Declarations!B$6:C$185,2,FALSE)," ")),VLOOKUP($F91,Declarations!B$6:C$185,2,FALSE),_xlfn.TEXTBEFORE(VLOOKUP($F91,Declarations!B$6:C$185,2,FALSE)," "))))</f>
        <v>DORA</v>
      </c>
      <c r="C91" s="79" t="str">
        <f>IF(ISNA(VLOOKUP($F91,Declarations!B$6:C$185,2,FALSE)),"",IF(VLOOKUP($F91,Declarations!B$6:C$185,2,FALSE)="","NOT DECLARED",IF(ISNA(_xlfn.TEXTAFTER(VLOOKUP($F91,Declarations!B$6:C$185,2,FALSE)," ")),VLOOKUP($F91,Declarations!B$6:C$185,2,FALSE),_xlfn.TEXTAFTER(VLOOKUP($F91,Declarations!B$6:C$185,2,FALSE)," "))))</f>
        <v>DOMA</v>
      </c>
      <c r="D91" s="79" t="str">
        <f>IF(ISNA(VLOOKUP($F91,Declarations!$B$6:$F$185,5,FALSE)),"",IF(VLOOKUP($F91,Declarations!$B$6:$F$185,5,FALSE)="","NOT DECLARED",VLOOKUP($F91,Declarations!$B$6:$F$185,5,FALSE)))</f>
        <v>Poole Runners</v>
      </c>
      <c r="E91" s="112" t="str">
        <f>IF(ISNA(VLOOKUP($F91,Declarations!$B$6:$D$185,3,FALSE)),"",IF(VLOOKUP($F91,Declarations!$B$6:$D$185,3,FALSE)="","NOT DECLARED",VLOOKUP($F91,Declarations!$B$6:$D$185,3,FALSE)&amp;LEFT(VLOOKUP($F91,Declarations!$B$6:$E$185,4,FALSE))))</f>
        <v>U12G</v>
      </c>
      <c r="F91" s="20">
        <v>43</v>
      </c>
      <c r="G91" s="21">
        <v>18.690000000000001</v>
      </c>
      <c r="H91" s="281"/>
      <c r="I91" s="8" t="str">
        <f>IF(ISNA(VLOOKUP(F91,Declarations!B$6:C$185,2,FALSE)),"",IF(VLOOKUP(F91,Declarations!B$6:C$185,2,FALSE)="","NOT DECLARED",VLOOKUP(F91,Declarations!B$6:C$185,2,FALSE)))</f>
        <v>DORA DOMA</v>
      </c>
      <c r="J91" s="2">
        <f>IF(LOWER(LEFT(G91,1))="n",1,VLOOKUP(G91,ScoringTable!E$2:I$95,5))</f>
        <v>37</v>
      </c>
      <c r="K91" s="112" t="str">
        <f>IF(OR(E91="",G91=""),"",IF(RIGHT(E91,1)="G",_xlfn.XLOOKUP(G91,Data!$D$13:$L$13,Data!$D$9:$L$9,"",-1,1),_xlfn.XLOOKUP(G91,Data!$D$6:$L$6,Data!$D$2:$L$2,"",-1,1)))</f>
        <v>PB4</v>
      </c>
      <c r="L91" s="160" t="str" cm="1">
        <f t="array" ref="L91">IFERROR(_xlfn.IFNA(
                      _xlfn.IFS(
                      F91="", "",
                      AND(E91="U12B",G91&gt;=Data!$M$6), "U12 Boys record",
                      AND(E91="U12G",G91&gt;=Data!$M$13), "U12 Girls record"
                       ),""), "")</f>
        <v/>
      </c>
      <c r="M91" s="18" cm="1">
        <f t="array" ref="M91">_xlfn.IFS($G91="",0,AND(NOT(ISNUMBER($G91)),LOWER(LEFT($G91,1))&lt;&gt;"n"),"Not a valid distance",OR(LOWER(LEFT($G91,1))="n",$G91&lt;ScoringTable!$P$161),1,RIGHT($E91,1)="B",_xlfn.XLOOKUP($G91,ScoringTable!$P$2:$P$161,ScoringTable!$L$2:$L$161,,-1),TRUE,_xlfn.XLOOKUP($G91,ScoringTable!$V$2:$V$161,ScoringTable!$R$2:$R$161,,-1))</f>
        <v>53</v>
      </c>
    </row>
    <row r="92" spans="1:13" ht="16.05" customHeight="1">
      <c r="A92" s="80" t="s">
        <v>104</v>
      </c>
      <c r="B92" s="79" t="str">
        <f>IF(ISNA(VLOOKUP($F92,Declarations!B$6:C$185,2,FALSE)),"",IF(VLOOKUP($F92,Declarations!B$6:C$185,2,FALSE)="","NOT DECLARED",IF(ISNA(_xlfn.TEXTBEFORE(VLOOKUP($F92,Declarations!B$6:C$185,2,FALSE)," ")),VLOOKUP($F92,Declarations!B$6:C$185,2,FALSE),_xlfn.TEXTBEFORE(VLOOKUP($F92,Declarations!B$6:C$185,2,FALSE)," "))))</f>
        <v>POLLY</v>
      </c>
      <c r="C92" s="79" t="str">
        <f>IF(ISNA(VLOOKUP($F92,Declarations!B$6:C$185,2,FALSE)),"",IF(VLOOKUP($F92,Declarations!B$6:C$185,2,FALSE)="","NOT DECLARED",IF(ISNA(_xlfn.TEXTAFTER(VLOOKUP($F92,Declarations!B$6:C$185,2,FALSE)," ")),VLOOKUP($F92,Declarations!B$6:C$185,2,FALSE),_xlfn.TEXTAFTER(VLOOKUP($F92,Declarations!B$6:C$185,2,FALSE)," "))))</f>
        <v>WARBOYS</v>
      </c>
      <c r="D92" s="79" t="str">
        <f>IF(ISNA(VLOOKUP($F92,Declarations!$B$6:$F$185,5,FALSE)),"",IF(VLOOKUP($F92,Declarations!$B$6:$F$185,5,FALSE)="","NOT DECLARED",VLOOKUP($F92,Declarations!$B$6:$F$185,5,FALSE)))</f>
        <v>Poole Runners</v>
      </c>
      <c r="E92" s="112" t="str">
        <f>IF(ISNA(VLOOKUP($F92,Declarations!$B$6:$D$185,3,FALSE)),"",IF(VLOOKUP($F92,Declarations!$B$6:$D$185,3,FALSE)="","NOT DECLARED",VLOOKUP($F92,Declarations!$B$6:$D$185,3,FALSE)&amp;LEFT(VLOOKUP($F92,Declarations!$B$6:$E$185,4,FALSE))))</f>
        <v>U12G</v>
      </c>
      <c r="F92" s="20">
        <v>44</v>
      </c>
      <c r="G92" s="21">
        <v>15.5</v>
      </c>
      <c r="H92" s="281"/>
      <c r="I92" s="8" t="str">
        <f>IF(ISNA(VLOOKUP(F92,Declarations!B$6:C$185,2,FALSE)),"",IF(VLOOKUP(F92,Declarations!B$6:C$185,2,FALSE)="","NOT DECLARED",VLOOKUP(F92,Declarations!B$6:C$185,2,FALSE)))</f>
        <v>POLLY WARBOYS</v>
      </c>
      <c r="J92" s="2">
        <f>IF(LOWER(LEFT(G92,1))="n",1,VLOOKUP(G92,ScoringTable!E$2:I$95,5))</f>
        <v>31</v>
      </c>
      <c r="K92" s="112" t="str">
        <f>IF(OR(E92="",G92=""),"",IF(RIGHT(E92,1)="G",_xlfn.XLOOKUP(G92,Data!$D$13:$L$13,Data!$D$9:$L$9,"",-1,1),_xlfn.XLOOKUP(G92,Data!$D$6:$L$6,Data!$D$2:$L$2,"",-1,1)))</f>
        <v>PB2</v>
      </c>
      <c r="L92" s="160" t="str" cm="1">
        <f t="array" ref="L92">IFERROR(_xlfn.IFNA(
                      _xlfn.IFS(
                      F92="", "",
                      AND(E92="U12B",G92&gt;=Data!$M$6), "U12 Boys record",
                      AND(E92="U12G",G92&gt;=Data!$M$13), "U12 Girls record"
                       ),""), "")</f>
        <v/>
      </c>
      <c r="M92" s="18" cm="1">
        <f t="array" ref="M92">_xlfn.IFS($G92="",0,AND(NOT(ISNUMBER($G92)),LOWER(LEFT($G92,1))&lt;&gt;"n"),"Not a valid distance",OR(LOWER(LEFT($G92,1))="n",$G92&lt;ScoringTable!$P$161),1,RIGHT($E92,1)="B",_xlfn.XLOOKUP($G92,ScoringTable!$P$2:$P$161,ScoringTable!$L$2:$L$161,,-1),TRUE,_xlfn.XLOOKUP($G92,ScoringTable!$V$2:$V$161,ScoringTable!$R$2:$R$161,,-1))</f>
        <v>37</v>
      </c>
    </row>
    <row r="93" spans="1:13" ht="16.05" customHeight="1">
      <c r="A93" s="80" t="s">
        <v>104</v>
      </c>
      <c r="B93" s="79" t="str">
        <f>IF(ISNA(VLOOKUP($F93,Declarations!B$6:C$185,2,FALSE)),"",IF(VLOOKUP($F93,Declarations!B$6:C$185,2,FALSE)="","NOT DECLARED",IF(ISNA(_xlfn.TEXTBEFORE(VLOOKUP($F93,Declarations!B$6:C$185,2,FALSE)," ")),VLOOKUP($F93,Declarations!B$6:C$185,2,FALSE),_xlfn.TEXTBEFORE(VLOOKUP($F93,Declarations!B$6:C$185,2,FALSE)," "))))</f>
        <v>VIOLET</v>
      </c>
      <c r="C93" s="79" t="str">
        <f>IF(ISNA(VLOOKUP($F93,Declarations!B$6:C$185,2,FALSE)),"",IF(VLOOKUP($F93,Declarations!B$6:C$185,2,FALSE)="","NOT DECLARED",IF(ISNA(_xlfn.TEXTAFTER(VLOOKUP($F93,Declarations!B$6:C$185,2,FALSE)," ")),VLOOKUP($F93,Declarations!B$6:C$185,2,FALSE),_xlfn.TEXTAFTER(VLOOKUP($F93,Declarations!B$6:C$185,2,FALSE)," "))))</f>
        <v>FULLING</v>
      </c>
      <c r="D93" s="79" t="str">
        <f>IF(ISNA(VLOOKUP($F93,Declarations!$B$6:$F$185,5,FALSE)),"",IF(VLOOKUP($F93,Declarations!$B$6:$F$185,5,FALSE)="","NOT DECLARED",VLOOKUP($F93,Declarations!$B$6:$F$185,5,FALSE)))</f>
        <v>Poole Runners</v>
      </c>
      <c r="E93" s="112" t="str">
        <f>IF(ISNA(VLOOKUP($F93,Declarations!$B$6:$D$185,3,FALSE)),"",IF(VLOOKUP($F93,Declarations!$B$6:$D$185,3,FALSE)="","NOT DECLARED",VLOOKUP($F93,Declarations!$B$6:$D$185,3,FALSE)&amp;LEFT(VLOOKUP($F93,Declarations!$B$6:$E$185,4,FALSE))))</f>
        <v>U12G</v>
      </c>
      <c r="F93" s="20">
        <v>45</v>
      </c>
      <c r="G93" s="21">
        <v>19.3</v>
      </c>
      <c r="H93" s="281"/>
      <c r="I93" s="8" t="str">
        <f>IF(ISNA(VLOOKUP(F93,Declarations!B$6:C$185,2,FALSE)),"",IF(VLOOKUP(F93,Declarations!B$6:C$185,2,FALSE)="","NOT DECLARED",VLOOKUP(F93,Declarations!B$6:C$185,2,FALSE)))</f>
        <v>VIOLET FULLING</v>
      </c>
      <c r="J93" s="2">
        <f>IF(LOWER(LEFT(G93,1))="n",1,VLOOKUP(G93,ScoringTable!E$2:I$95,5))</f>
        <v>38</v>
      </c>
      <c r="K93" s="112" t="str">
        <f>IF(OR(E93="",G93=""),"",IF(RIGHT(E93,1)="G",_xlfn.XLOOKUP(G93,Data!$D$13:$L$13,Data!$D$9:$L$9,"",-1,1),_xlfn.XLOOKUP(G93,Data!$D$6:$L$6,Data!$D$2:$L$2,"",-1,1)))</f>
        <v>PB4</v>
      </c>
      <c r="L93" s="160" t="str" cm="1">
        <f t="array" ref="L93">IFERROR(_xlfn.IFNA(
                      _xlfn.IFS(
                      F93="", "",
                      AND(E93="U12B",G93&gt;=Data!$M$6), "U12 Boys record",
                      AND(E93="U12G",G93&gt;=Data!$M$13), "U12 Girls record"
                       ),""), "")</f>
        <v/>
      </c>
      <c r="M93" s="18" cm="1">
        <f t="array" ref="M93">_xlfn.IFS($G93="",0,AND(NOT(ISNUMBER($G93)),LOWER(LEFT($G93,1))&lt;&gt;"n"),"Not a valid distance",OR(LOWER(LEFT($G93,1))="n",$G93&lt;ScoringTable!$P$161),1,RIGHT($E93,1)="B",_xlfn.XLOOKUP($G93,ScoringTable!$P$2:$P$161,ScoringTable!$L$2:$L$161,,-1),TRUE,_xlfn.XLOOKUP($G93,ScoringTable!$V$2:$V$161,ScoringTable!$R$2:$R$161,,-1))</f>
        <v>56</v>
      </c>
    </row>
    <row r="94" spans="1:13" ht="16.05" customHeight="1">
      <c r="A94" s="80" t="s">
        <v>104</v>
      </c>
      <c r="B94" s="79" t="str">
        <f>IF(ISNA(VLOOKUP($F94,Declarations!B$6:C$185,2,FALSE)),"",IF(VLOOKUP($F94,Declarations!B$6:C$185,2,FALSE)="","NOT DECLARED",IF(ISNA(_xlfn.TEXTBEFORE(VLOOKUP($F94,Declarations!B$6:C$185,2,FALSE)," ")),VLOOKUP($F94,Declarations!B$6:C$185,2,FALSE),_xlfn.TEXTBEFORE(VLOOKUP($F94,Declarations!B$6:C$185,2,FALSE)," "))))</f>
        <v>BROOKE</v>
      </c>
      <c r="C94" s="79" t="str">
        <f>IF(ISNA(VLOOKUP($F94,Declarations!B$6:C$185,2,FALSE)),"",IF(VLOOKUP($F94,Declarations!B$6:C$185,2,FALSE)="","NOT DECLARED",IF(ISNA(_xlfn.TEXTAFTER(VLOOKUP($F94,Declarations!B$6:C$185,2,FALSE)," ")),VLOOKUP($F94,Declarations!B$6:C$185,2,FALSE),_xlfn.TEXTAFTER(VLOOKUP($F94,Declarations!B$6:C$185,2,FALSE)," "))))</f>
        <v>PARRY-DAVIDSON</v>
      </c>
      <c r="D94" s="79" t="str">
        <f>IF(ISNA(VLOOKUP($F94,Declarations!$B$6:$F$185,5,FALSE)),"",IF(VLOOKUP($F94,Declarations!$B$6:$F$185,5,FALSE)="","NOT DECLARED",VLOOKUP($F94,Declarations!$B$6:$F$185,5,FALSE)))</f>
        <v>Poole Runners</v>
      </c>
      <c r="E94" s="112" t="str">
        <f>IF(ISNA(VLOOKUP($F94,Declarations!$B$6:$D$185,3,FALSE)),"",IF(VLOOKUP($F94,Declarations!$B$6:$D$185,3,FALSE)="","NOT DECLARED",VLOOKUP($F94,Declarations!$B$6:$D$185,3,FALSE)&amp;LEFT(VLOOKUP($F94,Declarations!$B$6:$E$185,4,FALSE))))</f>
        <v>U12G</v>
      </c>
      <c r="F94" s="20">
        <v>46</v>
      </c>
      <c r="G94" s="21">
        <v>18.940000000000001</v>
      </c>
      <c r="H94" s="281"/>
      <c r="I94" s="8" t="str">
        <f>IF(ISNA(VLOOKUP(F94,Declarations!B$6:C$185,2,FALSE)),"",IF(VLOOKUP(F94,Declarations!B$6:C$185,2,FALSE)="","NOT DECLARED",VLOOKUP(F94,Declarations!B$6:C$185,2,FALSE)))</f>
        <v>BROOKE PARRY-DAVIDSON</v>
      </c>
      <c r="J94" s="2">
        <f>IF(LOWER(LEFT(G94,1))="n",1,VLOOKUP(G94,ScoringTable!E$2:I$95,5))</f>
        <v>37</v>
      </c>
      <c r="K94" s="112" t="str">
        <f>IF(OR(E94="",G94=""),"",IF(RIGHT(E94,1)="G",_xlfn.XLOOKUP(G94,Data!$D$13:$L$13,Data!$D$9:$L$9,"",-1,1),_xlfn.XLOOKUP(G94,Data!$D$6:$L$6,Data!$D$2:$L$2,"",-1,1)))</f>
        <v>PB4</v>
      </c>
      <c r="L94" s="160" t="str" cm="1">
        <f t="array" ref="L94">IFERROR(_xlfn.IFNA(
                      _xlfn.IFS(
                      F94="", "",
                      AND(E94="U12B",G94&gt;=Data!$M$6), "U12 Boys record",
                      AND(E94="U12G",G94&gt;=Data!$M$13), "U12 Girls record"
                       ),""), "")</f>
        <v/>
      </c>
      <c r="M94" s="18" cm="1">
        <f t="array" ref="M94">_xlfn.IFS($G94="",0,AND(NOT(ISNUMBER($G94)),LOWER(LEFT($G94,1))&lt;&gt;"n"),"Not a valid distance",OR(LOWER(LEFT($G94,1))="n",$G94&lt;ScoringTable!$P$161),1,RIGHT($E94,1)="B",_xlfn.XLOOKUP($G94,ScoringTable!$P$2:$P$161,ScoringTable!$L$2:$L$161,,-1),TRUE,_xlfn.XLOOKUP($G94,ScoringTable!$V$2:$V$161,ScoringTable!$R$2:$R$161,,-1))</f>
        <v>54</v>
      </c>
    </row>
    <row r="95" spans="1:13" ht="16.05" customHeight="1">
      <c r="A95" s="80" t="s">
        <v>104</v>
      </c>
      <c r="B95" s="79" t="str">
        <f>IF(ISNA(VLOOKUP($F95,Declarations!B$6:C$185,2,FALSE)),"",IF(VLOOKUP($F95,Declarations!B$6:C$185,2,FALSE)="","NOT DECLARED",IF(ISNA(_xlfn.TEXTBEFORE(VLOOKUP($F95,Declarations!B$6:C$185,2,FALSE)," ")),VLOOKUP($F95,Declarations!B$6:C$185,2,FALSE),_xlfn.TEXTBEFORE(VLOOKUP($F95,Declarations!B$6:C$185,2,FALSE)," "))))</f>
        <v>JESSICA</v>
      </c>
      <c r="C95" s="79" t="str">
        <f>IF(ISNA(VLOOKUP($F95,Declarations!B$6:C$185,2,FALSE)),"",IF(VLOOKUP($F95,Declarations!B$6:C$185,2,FALSE)="","NOT DECLARED",IF(ISNA(_xlfn.TEXTAFTER(VLOOKUP($F95,Declarations!B$6:C$185,2,FALSE)," ")),VLOOKUP($F95,Declarations!B$6:C$185,2,FALSE),_xlfn.TEXTAFTER(VLOOKUP($F95,Declarations!B$6:C$185,2,FALSE)," "))))</f>
        <v>FRANK</v>
      </c>
      <c r="D95" s="79" t="str">
        <f>IF(ISNA(VLOOKUP($F95,Declarations!$B$6:$F$185,5,FALSE)),"",IF(VLOOKUP($F95,Declarations!$B$6:$F$185,5,FALSE)="","NOT DECLARED",VLOOKUP($F95,Declarations!$B$6:$F$185,5,FALSE)))</f>
        <v>Poole Runners</v>
      </c>
      <c r="E95" s="112" t="str">
        <f>IF(ISNA(VLOOKUP($F95,Declarations!$B$6:$D$185,3,FALSE)),"",IF(VLOOKUP($F95,Declarations!$B$6:$D$185,3,FALSE)="","NOT DECLARED",VLOOKUP($F95,Declarations!$B$6:$D$185,3,FALSE)&amp;LEFT(VLOOKUP($F95,Declarations!$B$6:$E$185,4,FALSE))))</f>
        <v>U12G</v>
      </c>
      <c r="F95" s="20">
        <v>47</v>
      </c>
      <c r="G95" s="21">
        <v>21.17</v>
      </c>
      <c r="H95" s="281"/>
      <c r="I95" s="8" t="str">
        <f>IF(ISNA(VLOOKUP(F95,Declarations!B$6:C$185,2,FALSE)),"",IF(VLOOKUP(F95,Declarations!B$6:C$185,2,FALSE)="","NOT DECLARED",VLOOKUP(F95,Declarations!B$6:C$185,2,FALSE)))</f>
        <v>JESSICA FRANK</v>
      </c>
      <c r="J95" s="2">
        <f>IF(LOWER(LEFT(G95,1))="n",1,VLOOKUP(G95,ScoringTable!E$2:I$95,5))</f>
        <v>42</v>
      </c>
      <c r="K95" s="112" t="str">
        <f>IF(OR(E95="",G95=""),"",IF(RIGHT(E95,1)="G",_xlfn.XLOOKUP(G95,Data!$D$13:$L$13,Data!$D$9:$L$9,"",-1,1),_xlfn.XLOOKUP(G95,Data!$D$6:$L$6,Data!$D$2:$L$2,"",-1,1)))</f>
        <v>PB5</v>
      </c>
      <c r="L95" s="160" t="str" cm="1">
        <f t="array" ref="L95">IFERROR(_xlfn.IFNA(
                      _xlfn.IFS(
                      F95="", "",
                      AND(E95="U12B",G95&gt;=Data!$M$6), "U12 Boys record",
                      AND(E95="U12G",G95&gt;=Data!$M$13), "U12 Girls record"
                       ),""), "")</f>
        <v/>
      </c>
      <c r="M95" s="18" cm="1">
        <f t="array" ref="M95">_xlfn.IFS($G95="",0,AND(NOT(ISNUMBER($G95)),LOWER(LEFT($G95,1))&lt;&gt;"n"),"Not a valid distance",OR(LOWER(LEFT($G95,1))="n",$G95&lt;ScoringTable!$P$161),1,RIGHT($E95,1)="B",_xlfn.XLOOKUP($G95,ScoringTable!$P$2:$P$161,ScoringTable!$L$2:$L$161,,-1),TRUE,_xlfn.XLOOKUP($G95,ScoringTable!$V$2:$V$161,ScoringTable!$R$2:$R$161,,-1))</f>
        <v>65</v>
      </c>
    </row>
    <row r="96" spans="1:13" ht="16.05" customHeight="1">
      <c r="A96" s="80" t="s">
        <v>104</v>
      </c>
      <c r="B96" s="79" t="str">
        <f>IF(ISNA(VLOOKUP($F96,Declarations!B$6:C$185,2,FALSE)),"",IF(VLOOKUP($F96,Declarations!B$6:C$185,2,FALSE)="","NOT DECLARED",IF(ISNA(_xlfn.TEXTBEFORE(VLOOKUP($F96,Declarations!B$6:C$185,2,FALSE)," ")),VLOOKUP($F96,Declarations!B$6:C$185,2,FALSE),_xlfn.TEXTBEFORE(VLOOKUP($F96,Declarations!B$6:C$185,2,FALSE)," "))))</f>
        <v>MATILDA</v>
      </c>
      <c r="C96" s="79" t="str">
        <f>IF(ISNA(VLOOKUP($F96,Declarations!B$6:C$185,2,FALSE)),"",IF(VLOOKUP($F96,Declarations!B$6:C$185,2,FALSE)="","NOT DECLARED",IF(ISNA(_xlfn.TEXTAFTER(VLOOKUP($F96,Declarations!B$6:C$185,2,FALSE)," ")),VLOOKUP($F96,Declarations!B$6:C$185,2,FALSE),_xlfn.TEXTAFTER(VLOOKUP($F96,Declarations!B$6:C$185,2,FALSE)," "))))</f>
        <v>COATESMITH</v>
      </c>
      <c r="D96" s="79" t="str">
        <f>IF(ISNA(VLOOKUP($F96,Declarations!$B$6:$F$185,5,FALSE)),"",IF(VLOOKUP($F96,Declarations!$B$6:$F$185,5,FALSE)="","NOT DECLARED",VLOOKUP($F96,Declarations!$B$6:$F$185,5,FALSE)))</f>
        <v>Poole Runners</v>
      </c>
      <c r="E96" s="112" t="str">
        <f>IF(ISNA(VLOOKUP($F96,Declarations!$B$6:$D$185,3,FALSE)),"",IF(VLOOKUP($F96,Declarations!$B$6:$D$185,3,FALSE)="","NOT DECLARED",VLOOKUP($F96,Declarations!$B$6:$D$185,3,FALSE)&amp;LEFT(VLOOKUP($F96,Declarations!$B$6:$E$185,4,FALSE))))</f>
        <v>U12G</v>
      </c>
      <c r="F96" s="20">
        <v>48</v>
      </c>
      <c r="G96" s="21">
        <v>16.86</v>
      </c>
      <c r="H96" s="281"/>
      <c r="I96" s="8" t="str">
        <f>IF(ISNA(VLOOKUP(F96,Declarations!B$6:C$185,2,FALSE)),"",IF(VLOOKUP(F96,Declarations!B$6:C$185,2,FALSE)="","NOT DECLARED",VLOOKUP(F96,Declarations!B$6:C$185,2,FALSE)))</f>
        <v>MATILDA COATESMITH</v>
      </c>
      <c r="J96" s="2">
        <f>IF(LOWER(LEFT(G96,1))="n",1,VLOOKUP(G96,ScoringTable!E$2:I$95,5))</f>
        <v>33</v>
      </c>
      <c r="K96" s="112" t="str">
        <f>IF(OR(E96="",G96=""),"",IF(RIGHT(E96,1)="G",_xlfn.XLOOKUP(G96,Data!$D$13:$L$13,Data!$D$9:$L$9,"",-1,1),_xlfn.XLOOKUP(G96,Data!$D$6:$L$6,Data!$D$2:$L$2,"",-1,1)))</f>
        <v>PB3</v>
      </c>
      <c r="L96" s="160" t="str" cm="1">
        <f t="array" ref="L96">IFERROR(_xlfn.IFNA(
                      _xlfn.IFS(
                      F96="", "",
                      AND(E96="U12B",G96&gt;=Data!$M$6), "U12 Boys record",
                      AND(E96="U12G",G96&gt;=Data!$M$13), "U12 Girls record"
                       ),""), "")</f>
        <v/>
      </c>
      <c r="M96" s="18" cm="1">
        <f t="array" ref="M96">_xlfn.IFS($G96="",0,AND(NOT(ISNUMBER($G96)),LOWER(LEFT($G96,1))&lt;&gt;"n"),"Not a valid distance",OR(LOWER(LEFT($G96,1))="n",$G96&lt;ScoringTable!$P$161),1,RIGHT($E96,1)="B",_xlfn.XLOOKUP($G96,ScoringTable!$P$2:$P$161,ScoringTable!$L$2:$L$161,,-1),TRUE,_xlfn.XLOOKUP($G96,ScoringTable!$V$2:$V$161,ScoringTable!$R$2:$R$161,,-1))</f>
        <v>44</v>
      </c>
    </row>
    <row r="97" spans="1:13" ht="16.05" customHeight="1">
      <c r="A97" s="80" t="s">
        <v>104</v>
      </c>
      <c r="B97" s="79" t="str">
        <f>IF(ISNA(VLOOKUP($F97,Declarations!B$6:C$185,2,FALSE)),"",IF(VLOOKUP($F97,Declarations!B$6:C$185,2,FALSE)="","NOT DECLARED",IF(ISNA(_xlfn.TEXTBEFORE(VLOOKUP($F97,Declarations!B$6:C$185,2,FALSE)," ")),VLOOKUP($F97,Declarations!B$6:C$185,2,FALSE),_xlfn.TEXTBEFORE(VLOOKUP($F97,Declarations!B$6:C$185,2,FALSE)," "))))</f>
        <v>IZZY</v>
      </c>
      <c r="C97" s="79" t="str">
        <f>IF(ISNA(VLOOKUP($F97,Declarations!B$6:C$185,2,FALSE)),"",IF(VLOOKUP($F97,Declarations!B$6:C$185,2,FALSE)="","NOT DECLARED",IF(ISNA(_xlfn.TEXTAFTER(VLOOKUP($F97,Declarations!B$6:C$185,2,FALSE)," ")),VLOOKUP($F97,Declarations!B$6:C$185,2,FALSE),_xlfn.TEXTAFTER(VLOOKUP($F97,Declarations!B$6:C$185,2,FALSE)," "))))</f>
        <v>YOUNG</v>
      </c>
      <c r="D97" s="79" t="str">
        <f>IF(ISNA(VLOOKUP($F97,Declarations!$B$6:$F$185,5,FALSE)),"",IF(VLOOKUP($F97,Declarations!$B$6:$F$185,5,FALSE)="","NOT DECLARED",VLOOKUP($F97,Declarations!$B$6:$F$185,5,FALSE)))</f>
        <v>Poole Runners</v>
      </c>
      <c r="E97" s="112" t="str">
        <f>IF(ISNA(VLOOKUP($F97,Declarations!$B$6:$D$185,3,FALSE)),"",IF(VLOOKUP($F97,Declarations!$B$6:$D$185,3,FALSE)="","NOT DECLARED",VLOOKUP($F97,Declarations!$B$6:$D$185,3,FALSE)&amp;LEFT(VLOOKUP($F97,Declarations!$B$6:$E$185,4,FALSE))))</f>
        <v>U12G</v>
      </c>
      <c r="F97" s="20">
        <v>49</v>
      </c>
      <c r="G97" s="21">
        <v>19.239999999999998</v>
      </c>
      <c r="H97" s="281"/>
      <c r="I97" s="8" t="str">
        <f>IF(ISNA(VLOOKUP(F97,Declarations!B$6:C$185,2,FALSE)),"",IF(VLOOKUP(F97,Declarations!B$6:C$185,2,FALSE)="","NOT DECLARED",VLOOKUP(F97,Declarations!B$6:C$185,2,FALSE)))</f>
        <v>IZZY YOUNG</v>
      </c>
      <c r="J97" s="2">
        <f>IF(LOWER(LEFT(G97,1))="n",1,VLOOKUP(G97,ScoringTable!E$2:I$95,5))</f>
        <v>38</v>
      </c>
      <c r="K97" s="112" t="str">
        <f>IF(OR(E97="",G97=""),"",IF(RIGHT(E97,1)="G",_xlfn.XLOOKUP(G97,Data!$D$13:$L$13,Data!$D$9:$L$9,"",-1,1),_xlfn.XLOOKUP(G97,Data!$D$6:$L$6,Data!$D$2:$L$2,"",-1,1)))</f>
        <v>PB4</v>
      </c>
      <c r="L97" s="160" t="str" cm="1">
        <f t="array" ref="L97">IFERROR(_xlfn.IFNA(
                      _xlfn.IFS(
                      F97="", "",
                      AND(E97="U12B",G97&gt;=Data!$M$6), "U12 Boys record",
                      AND(E97="U12G",G97&gt;=Data!$M$13), "U12 Girls record"
                       ),""), "")</f>
        <v/>
      </c>
      <c r="M97" s="18" cm="1">
        <f t="array" ref="M97">_xlfn.IFS($G97="",0,AND(NOT(ISNUMBER($G97)),LOWER(LEFT($G97,1))&lt;&gt;"n"),"Not a valid distance",OR(LOWER(LEFT($G97,1))="n",$G97&lt;ScoringTable!$P$161),1,RIGHT($E97,1)="B",_xlfn.XLOOKUP($G97,ScoringTable!$P$2:$P$161,ScoringTable!$L$2:$L$161,,-1),TRUE,_xlfn.XLOOKUP($G97,ScoringTable!$V$2:$V$161,ScoringTable!$R$2:$R$161,,-1))</f>
        <v>56</v>
      </c>
    </row>
    <row r="98" spans="1:13" ht="16.05" customHeight="1">
      <c r="A98" s="80" t="s">
        <v>104</v>
      </c>
      <c r="B98" s="79" t="str">
        <f>IF(ISNA(VLOOKUP($F98,Declarations!B$6:C$185,2,FALSE)),"",IF(VLOOKUP($F98,Declarations!B$6:C$185,2,FALSE)="","NOT DECLARED",IF(ISNA(_xlfn.TEXTBEFORE(VLOOKUP($F98,Declarations!B$6:C$185,2,FALSE)," ")),VLOOKUP($F98,Declarations!B$6:C$185,2,FALSE),_xlfn.TEXTBEFORE(VLOOKUP($F98,Declarations!B$6:C$185,2,FALSE)," "))))</f>
        <v>WILLA</v>
      </c>
      <c r="C98" s="79" t="str">
        <f>IF(ISNA(VLOOKUP($F98,Declarations!B$6:C$185,2,FALSE)),"",IF(VLOOKUP($F98,Declarations!B$6:C$185,2,FALSE)="","NOT DECLARED",IF(ISNA(_xlfn.TEXTAFTER(VLOOKUP($F98,Declarations!B$6:C$185,2,FALSE)," ")),VLOOKUP($F98,Declarations!B$6:C$185,2,FALSE),_xlfn.TEXTAFTER(VLOOKUP($F98,Declarations!B$6:C$185,2,FALSE)," "))))</f>
        <v>GRAY</v>
      </c>
      <c r="D98" s="79" t="str">
        <f>IF(ISNA(VLOOKUP($F98,Declarations!$B$6:$F$185,5,FALSE)),"",IF(VLOOKUP($F98,Declarations!$B$6:$F$185,5,FALSE)="","NOT DECLARED",VLOOKUP($F98,Declarations!$B$6:$F$185,5,FALSE)))</f>
        <v>Poole Runners</v>
      </c>
      <c r="E98" s="112" t="str">
        <f>IF(ISNA(VLOOKUP($F98,Declarations!$B$6:$D$185,3,FALSE)),"",IF(VLOOKUP($F98,Declarations!$B$6:$D$185,3,FALSE)="","NOT DECLARED",VLOOKUP($F98,Declarations!$B$6:$D$185,3,FALSE)&amp;LEFT(VLOOKUP($F98,Declarations!$B$6:$E$185,4,FALSE))))</f>
        <v>U12G</v>
      </c>
      <c r="F98" s="20">
        <v>50</v>
      </c>
      <c r="G98" s="21">
        <v>13.68</v>
      </c>
      <c r="H98" s="281"/>
      <c r="I98" s="8" t="str">
        <f>IF(ISNA(VLOOKUP(F98,Declarations!B$6:C$185,2,FALSE)),"",IF(VLOOKUP(F98,Declarations!B$6:C$185,2,FALSE)="","NOT DECLARED",VLOOKUP(F98,Declarations!B$6:C$185,2,FALSE)))</f>
        <v>WILLA GRAY</v>
      </c>
      <c r="J98" s="2">
        <f>IF(LOWER(LEFT(G98,1))="n",1,VLOOKUP(G98,ScoringTable!E$2:I$95,5))</f>
        <v>27</v>
      </c>
      <c r="K98" s="112" t="str">
        <f>IF(OR(E98="",G98=""),"",IF(RIGHT(E98,1)="G",_xlfn.XLOOKUP(G98,Data!$D$13:$L$13,Data!$D$9:$L$9,"",-1,1),_xlfn.XLOOKUP(G98,Data!$D$6:$L$6,Data!$D$2:$L$2,"",-1,1)))</f>
        <v>PB1</v>
      </c>
      <c r="L98" s="160" t="str" cm="1">
        <f t="array" ref="L98">IFERROR(_xlfn.IFNA(
                      _xlfn.IFS(
                      F98="", "",
                      AND(E98="U12B",G98&gt;=Data!$M$6), "U12 Boys record",
                      AND(E98="U12G",G98&gt;=Data!$M$13), "U12 Girls record"
                       ),""), "")</f>
        <v/>
      </c>
      <c r="M98" s="18" cm="1">
        <f t="array" ref="M98">_xlfn.IFS($G98="",0,AND(NOT(ISNUMBER($G98)),LOWER(LEFT($G98,1))&lt;&gt;"n"),"Not a valid distance",OR(LOWER(LEFT($G98,1))="n",$G98&lt;ScoringTable!$P$161),1,RIGHT($E98,1)="B",_xlfn.XLOOKUP($G98,ScoringTable!$P$2:$P$161,ScoringTable!$L$2:$L$161,,-1),TRUE,_xlfn.XLOOKUP($G98,ScoringTable!$V$2:$V$161,ScoringTable!$R$2:$R$161,,-1))</f>
        <v>28</v>
      </c>
    </row>
    <row r="99" spans="1:13" ht="16.05" customHeight="1">
      <c r="A99" s="80" t="s">
        <v>104</v>
      </c>
      <c r="B99" s="79" t="str">
        <f>IF(ISNA(VLOOKUP($F99,Declarations!B$6:C$185,2,FALSE)),"",IF(VLOOKUP($F99,Declarations!B$6:C$185,2,FALSE)="","NOT DECLARED",IF(ISNA(_xlfn.TEXTBEFORE(VLOOKUP($F99,Declarations!B$6:C$185,2,FALSE)," ")),VLOOKUP($F99,Declarations!B$6:C$185,2,FALSE),_xlfn.TEXTBEFORE(VLOOKUP($F99,Declarations!B$6:C$185,2,FALSE)," "))))</f>
        <v/>
      </c>
      <c r="C99" s="79" t="str">
        <f>IF(ISNA(VLOOKUP($F99,Declarations!B$6:C$185,2,FALSE)),"",IF(VLOOKUP($F99,Declarations!B$6:C$185,2,FALSE)="","NOT DECLARED",IF(ISNA(_xlfn.TEXTAFTER(VLOOKUP($F99,Declarations!B$6:C$185,2,FALSE)," ")),VLOOKUP($F99,Declarations!B$6:C$185,2,FALSE),_xlfn.TEXTAFTER(VLOOKUP($F99,Declarations!B$6:C$185,2,FALSE)," "))))</f>
        <v/>
      </c>
      <c r="D99" s="79" t="str">
        <f>IF(ISNA(VLOOKUP($F99,Declarations!$B$6:$F$185,5,FALSE)),"",IF(VLOOKUP($F99,Declarations!$B$6:$F$185,5,FALSE)="","NOT DECLARED",VLOOKUP($F99,Declarations!$B$6:$F$185,5,FALSE)))</f>
        <v/>
      </c>
      <c r="E99" s="112" t="str">
        <f>IF(ISNA(VLOOKUP($F99,Declarations!$B$6:$D$185,3,FALSE)),"",IF(VLOOKUP($F99,Declarations!$B$6:$D$185,3,FALSE)="","NOT DECLARED",VLOOKUP($F99,Declarations!$B$6:$D$185,3,FALSE)&amp;LEFT(VLOOKUP($F99,Declarations!$B$6:$E$185,4,FALSE))))</f>
        <v/>
      </c>
      <c r="F99" s="20"/>
      <c r="G99" s="21"/>
      <c r="H99" s="281"/>
      <c r="I99" s="8" t="str">
        <f>IF(ISNA(VLOOKUP(F99,Declarations!B$6:C$185,2,FALSE)),"",IF(VLOOKUP(F99,Declarations!B$6:C$185,2,FALSE)="","NOT DECLARED",VLOOKUP(F99,Declarations!B$6:C$185,2,FALSE)))</f>
        <v/>
      </c>
      <c r="J99" s="2">
        <f>IF(LOWER(LEFT(G99,1))="n",1,VLOOKUP(G99,ScoringTable!E$2:I$95,5))</f>
        <v>0</v>
      </c>
      <c r="K99" s="112" t="str">
        <f>IF(OR(E99="",G99=""),"",IF(RIGHT(E99,1)="G",_xlfn.XLOOKUP(G99,Data!$D$13:$L$13,Data!$D$9:$L$9,"",-1,1),_xlfn.XLOOKUP(G99,Data!$D$6:$L$6,Data!$D$2:$L$2,"",-1,1)))</f>
        <v/>
      </c>
      <c r="L99" s="160" t="str" cm="1">
        <f t="array" ref="L99">IFERROR(_xlfn.IFNA(
                      _xlfn.IFS(
                      F99="", "",
                      AND(E99="U12B",G99&gt;=Data!$M$6), "U12 Boys record",
                      AND(E99="U12G",G99&gt;=Data!$M$13), "U12 Girls record"
                       ),""), "")</f>
        <v/>
      </c>
      <c r="M99" s="18" cm="1">
        <f t="array" ref="M99">_xlfn.IFS($G99="",0,AND(NOT(ISNUMBER($G99)),LOWER(LEFT($G99,1))&lt;&gt;"n"),"Not a valid distance",OR(LOWER(LEFT($G99,1))="n",$G99&lt;ScoringTable!$P$161),1,RIGHT($E99,1)="B",_xlfn.XLOOKUP($G99,ScoringTable!$P$2:$P$161,ScoringTable!$L$2:$L$161,,-1),TRUE,_xlfn.XLOOKUP($G99,ScoringTable!$V$2:$V$161,ScoringTable!$R$2:$R$161,,-1))</f>
        <v>0</v>
      </c>
    </row>
    <row r="100" spans="1:13" ht="16.05" customHeight="1">
      <c r="A100" s="80" t="s">
        <v>104</v>
      </c>
      <c r="B100" s="79" t="str">
        <f>IF(ISNA(VLOOKUP($F100,Declarations!B$6:C$185,2,FALSE)),"",IF(VLOOKUP($F100,Declarations!B$6:C$185,2,FALSE)="","NOT DECLARED",IF(ISNA(_xlfn.TEXTBEFORE(VLOOKUP($F100,Declarations!B$6:C$185,2,FALSE)," ")),VLOOKUP($F100,Declarations!B$6:C$185,2,FALSE),_xlfn.TEXTBEFORE(VLOOKUP($F100,Declarations!B$6:C$185,2,FALSE)," "))))</f>
        <v/>
      </c>
      <c r="C100" s="79" t="str">
        <f>IF(ISNA(VLOOKUP($F100,Declarations!B$6:C$185,2,FALSE)),"",IF(VLOOKUP($F100,Declarations!B$6:C$185,2,FALSE)="","NOT DECLARED",IF(ISNA(_xlfn.TEXTAFTER(VLOOKUP($F100,Declarations!B$6:C$185,2,FALSE)," ")),VLOOKUP($F100,Declarations!B$6:C$185,2,FALSE),_xlfn.TEXTAFTER(VLOOKUP($F100,Declarations!B$6:C$185,2,FALSE)," "))))</f>
        <v/>
      </c>
      <c r="D100" s="79" t="str">
        <f>IF(ISNA(VLOOKUP($F100,Declarations!$B$6:$F$185,5,FALSE)),"",IF(VLOOKUP($F100,Declarations!$B$6:$F$185,5,FALSE)="","NOT DECLARED",VLOOKUP($F100,Declarations!$B$6:$F$185,5,FALSE)))</f>
        <v/>
      </c>
      <c r="E100" s="112" t="str">
        <f>IF(ISNA(VLOOKUP($F100,Declarations!$B$6:$D$185,3,FALSE)),"",IF(VLOOKUP($F100,Declarations!$B$6:$D$185,3,FALSE)="","NOT DECLARED",VLOOKUP($F100,Declarations!$B$6:$D$185,3,FALSE)&amp;LEFT(VLOOKUP($F100,Declarations!$B$6:$E$185,4,FALSE))))</f>
        <v/>
      </c>
      <c r="F100" s="20"/>
      <c r="G100" s="21"/>
      <c r="H100" s="281"/>
      <c r="I100" s="8" t="str">
        <f>IF(ISNA(VLOOKUP(F100,Declarations!B$6:C$185,2,FALSE)),"",IF(VLOOKUP(F100,Declarations!B$6:C$185,2,FALSE)="","NOT DECLARED",VLOOKUP(F100,Declarations!B$6:C$185,2,FALSE)))</f>
        <v/>
      </c>
      <c r="J100" s="2">
        <f>IF(LOWER(LEFT(G100,1))="n",1,VLOOKUP(G100,ScoringTable!E$2:I$95,5))</f>
        <v>0</v>
      </c>
      <c r="K100" s="112" t="str">
        <f>IF(OR(E100="",G100=""),"",IF(RIGHT(E100,1)="G",_xlfn.XLOOKUP(G100,Data!$D$13:$L$13,Data!$D$9:$L$9,"",-1,1),_xlfn.XLOOKUP(G100,Data!$D$6:$L$6,Data!$D$2:$L$2,"",-1,1)))</f>
        <v/>
      </c>
      <c r="L100" s="160" t="str" cm="1">
        <f t="array" ref="L100">IFERROR(_xlfn.IFNA(
                      _xlfn.IFS(
                      F100="", "",
                      AND(E100="U12B",G100&gt;=Data!$M$6), "U12 Boys record",
                      AND(E100="U12G",G100&gt;=Data!$M$13), "U12 Girls record"
                       ),""), "")</f>
        <v/>
      </c>
      <c r="M100" s="18" cm="1">
        <f t="array" ref="M100">_xlfn.IFS($G100="",0,AND(NOT(ISNUMBER($G100)),LOWER(LEFT($G100,1))&lt;&gt;"n"),"Not a valid distance",OR(LOWER(LEFT($G100,1))="n",$G100&lt;ScoringTable!$P$161),1,RIGHT($E100,1)="B",_xlfn.XLOOKUP($G100,ScoringTable!$P$2:$P$161,ScoringTable!$L$2:$L$161,,-1),TRUE,_xlfn.XLOOKUP($G100,ScoringTable!$V$2:$V$161,ScoringTable!$R$2:$R$161,,-1))</f>
        <v>0</v>
      </c>
    </row>
    <row r="101" spans="1:13" ht="16.05" customHeight="1">
      <c r="A101" s="80" t="s">
        <v>104</v>
      </c>
      <c r="B101" s="79" t="str">
        <f>IF(ISNA(VLOOKUP($F101,Declarations!B$6:C$185,2,FALSE)),"",IF(VLOOKUP($F101,Declarations!B$6:C$185,2,FALSE)="","NOT DECLARED",IF(ISNA(_xlfn.TEXTBEFORE(VLOOKUP($F101,Declarations!B$6:C$185,2,FALSE)," ")),VLOOKUP($F101,Declarations!B$6:C$185,2,FALSE),_xlfn.TEXTBEFORE(VLOOKUP($F101,Declarations!B$6:C$185,2,FALSE)," "))))</f>
        <v/>
      </c>
      <c r="C101" s="79" t="str">
        <f>IF(ISNA(VLOOKUP($F101,Declarations!B$6:C$185,2,FALSE)),"",IF(VLOOKUP($F101,Declarations!B$6:C$185,2,FALSE)="","NOT DECLARED",IF(ISNA(_xlfn.TEXTAFTER(VLOOKUP($F101,Declarations!B$6:C$185,2,FALSE)," ")),VLOOKUP($F101,Declarations!B$6:C$185,2,FALSE),_xlfn.TEXTAFTER(VLOOKUP($F101,Declarations!B$6:C$185,2,FALSE)," "))))</f>
        <v/>
      </c>
      <c r="D101" s="79" t="str">
        <f>IF(ISNA(VLOOKUP($F101,Declarations!$B$6:$F$185,5,FALSE)),"",IF(VLOOKUP($F101,Declarations!$B$6:$F$185,5,FALSE)="","NOT DECLARED",VLOOKUP($F101,Declarations!$B$6:$F$185,5,FALSE)))</f>
        <v/>
      </c>
      <c r="E101" s="112" t="str">
        <f>IF(ISNA(VLOOKUP($F101,Declarations!$B$6:$D$185,3,FALSE)),"",IF(VLOOKUP($F101,Declarations!$B$6:$D$185,3,FALSE)="","NOT DECLARED",VLOOKUP($F101,Declarations!$B$6:$D$185,3,FALSE)&amp;LEFT(VLOOKUP($F101,Declarations!$B$6:$E$185,4,FALSE))))</f>
        <v/>
      </c>
      <c r="F101" s="20"/>
      <c r="G101" s="21"/>
      <c r="H101" s="281"/>
      <c r="I101" s="8" t="str">
        <f>IF(ISNA(VLOOKUP(F101,Declarations!B$6:C$185,2,FALSE)),"",IF(VLOOKUP(F101,Declarations!B$6:C$185,2,FALSE)="","NOT DECLARED",VLOOKUP(F101,Declarations!B$6:C$185,2,FALSE)))</f>
        <v/>
      </c>
      <c r="J101" s="2">
        <f>IF(LOWER(LEFT(G101,1))="n",1,VLOOKUP(G101,ScoringTable!E$2:I$95,5))</f>
        <v>0</v>
      </c>
      <c r="K101" s="112" t="str">
        <f>IF(OR(E101="",G101=""),"",IF(RIGHT(E101,1)="G",_xlfn.XLOOKUP(G101,Data!$D$13:$L$13,Data!$D$9:$L$9,"",-1,1),_xlfn.XLOOKUP(G101,Data!$D$6:$L$6,Data!$D$2:$L$2,"",-1,1)))</f>
        <v/>
      </c>
      <c r="L101" s="160" t="str" cm="1">
        <f t="array" ref="L101">IFERROR(_xlfn.IFNA(
                      _xlfn.IFS(
                      F101="", "",
                      AND(E101="U12B",G101&gt;=Data!$M$6), "U12 Boys record",
                      AND(E101="U12G",G101&gt;=Data!$M$13), "U12 Girls record"
                       ),""), "")</f>
        <v/>
      </c>
      <c r="M101" s="18" cm="1">
        <f t="array" ref="M101">_xlfn.IFS($G101="",0,AND(NOT(ISNUMBER($G101)),LOWER(LEFT($G101,1))&lt;&gt;"n"),"Not a valid distance",OR(LOWER(LEFT($G101,1))="n",$G101&lt;ScoringTable!$P$161),1,RIGHT($E101,1)="B",_xlfn.XLOOKUP($G101,ScoringTable!$P$2:$P$161,ScoringTable!$L$2:$L$161,,-1),TRUE,_xlfn.XLOOKUP($G101,ScoringTable!$V$2:$V$161,ScoringTable!$R$2:$R$161,,-1))</f>
        <v>0</v>
      </c>
    </row>
    <row r="102" spans="1:13" ht="16.05" customHeight="1">
      <c r="A102" s="80" t="s">
        <v>104</v>
      </c>
      <c r="B102" s="79" t="str">
        <f>IF(ISNA(VLOOKUP($F102,Declarations!B$6:C$185,2,FALSE)),"",IF(VLOOKUP($F102,Declarations!B$6:C$185,2,FALSE)="","NOT DECLARED",IF(ISNA(_xlfn.TEXTBEFORE(VLOOKUP($F102,Declarations!B$6:C$185,2,FALSE)," ")),VLOOKUP($F102,Declarations!B$6:C$185,2,FALSE),_xlfn.TEXTBEFORE(VLOOKUP($F102,Declarations!B$6:C$185,2,FALSE)," "))))</f>
        <v/>
      </c>
      <c r="C102" s="79" t="str">
        <f>IF(ISNA(VLOOKUP($F102,Declarations!B$6:C$185,2,FALSE)),"",IF(VLOOKUP($F102,Declarations!B$6:C$185,2,FALSE)="","NOT DECLARED",IF(ISNA(_xlfn.TEXTAFTER(VLOOKUP($F102,Declarations!B$6:C$185,2,FALSE)," ")),VLOOKUP($F102,Declarations!B$6:C$185,2,FALSE),_xlfn.TEXTAFTER(VLOOKUP($F102,Declarations!B$6:C$185,2,FALSE)," "))))</f>
        <v/>
      </c>
      <c r="D102" s="79" t="str">
        <f>IF(ISNA(VLOOKUP($F102,Declarations!$B$6:$F$185,5,FALSE)),"",IF(VLOOKUP($F102,Declarations!$B$6:$F$185,5,FALSE)="","NOT DECLARED",VLOOKUP($F102,Declarations!$B$6:$F$185,5,FALSE)))</f>
        <v/>
      </c>
      <c r="E102" s="112" t="str">
        <f>IF(ISNA(VLOOKUP($F102,Declarations!$B$6:$D$185,3,FALSE)),"",IF(VLOOKUP($F102,Declarations!$B$6:$D$185,3,FALSE)="","NOT DECLARED",VLOOKUP($F102,Declarations!$B$6:$D$185,3,FALSE)&amp;LEFT(VLOOKUP($F102,Declarations!$B$6:$E$185,4,FALSE))))</f>
        <v/>
      </c>
      <c r="F102" s="20"/>
      <c r="G102" s="21"/>
      <c r="H102" s="281"/>
      <c r="I102" s="8" t="str">
        <f>IF(ISNA(VLOOKUP(F102,Declarations!B$6:C$185,2,FALSE)),"",IF(VLOOKUP(F102,Declarations!B$6:C$185,2,FALSE)="","NOT DECLARED",VLOOKUP(F102,Declarations!B$6:C$185,2,FALSE)))</f>
        <v/>
      </c>
      <c r="J102" s="2">
        <f>IF(LOWER(LEFT(G102,1))="n",1,VLOOKUP(G102,ScoringTable!E$2:I$95,5))</f>
        <v>0</v>
      </c>
      <c r="K102" s="112" t="str">
        <f>IF(OR(E102="",G102=""),"",IF(RIGHT(E102,1)="G",_xlfn.XLOOKUP(G102,Data!$D$13:$L$13,Data!$D$9:$L$9,"",-1,1),_xlfn.XLOOKUP(G102,Data!$D$6:$L$6,Data!$D$2:$L$2,"",-1,1)))</f>
        <v/>
      </c>
      <c r="L102" s="160" t="str" cm="1">
        <f t="array" ref="L102">IFERROR(_xlfn.IFNA(
                      _xlfn.IFS(
                      F102="", "",
                      AND(E102="U12B",G102&gt;=Data!$M$6), "U12 Boys record",
                      AND(E102="U12G",G102&gt;=Data!$M$13), "U12 Girls record"
                       ),""), "")</f>
        <v/>
      </c>
      <c r="M102" s="18" cm="1">
        <f t="array" ref="M102">_xlfn.IFS($G102="",0,AND(NOT(ISNUMBER($G102)),LOWER(LEFT($G102,1))&lt;&gt;"n"),"Not a valid distance",OR(LOWER(LEFT($G102,1))="n",$G102&lt;ScoringTable!$P$161),1,RIGHT($E102,1)="B",_xlfn.XLOOKUP($G102,ScoringTable!$P$2:$P$161,ScoringTable!$L$2:$L$161,,-1),TRUE,_xlfn.XLOOKUP($G102,ScoringTable!$V$2:$V$161,ScoringTable!$R$2:$R$161,,-1))</f>
        <v>0</v>
      </c>
    </row>
    <row r="103" spans="1:13" ht="16.05" customHeight="1">
      <c r="A103" s="80" t="s">
        <v>104</v>
      </c>
      <c r="B103" s="79" t="str">
        <f>IF(ISNA(VLOOKUP($F103,Declarations!B$6:C$185,2,FALSE)),"",IF(VLOOKUP($F103,Declarations!B$6:C$185,2,FALSE)="","NOT DECLARED",IF(ISNA(_xlfn.TEXTBEFORE(VLOOKUP($F103,Declarations!B$6:C$185,2,FALSE)," ")),VLOOKUP($F103,Declarations!B$6:C$185,2,FALSE),_xlfn.TEXTBEFORE(VLOOKUP($F103,Declarations!B$6:C$185,2,FALSE)," "))))</f>
        <v/>
      </c>
      <c r="C103" s="79" t="str">
        <f>IF(ISNA(VLOOKUP($F103,Declarations!B$6:C$185,2,FALSE)),"",IF(VLOOKUP($F103,Declarations!B$6:C$185,2,FALSE)="","NOT DECLARED",IF(ISNA(_xlfn.TEXTAFTER(VLOOKUP($F103,Declarations!B$6:C$185,2,FALSE)," ")),VLOOKUP($F103,Declarations!B$6:C$185,2,FALSE),_xlfn.TEXTAFTER(VLOOKUP($F103,Declarations!B$6:C$185,2,FALSE)," "))))</f>
        <v/>
      </c>
      <c r="D103" s="79" t="str">
        <f>IF(ISNA(VLOOKUP($F103,Declarations!$B$6:$F$185,5,FALSE)),"",IF(VLOOKUP($F103,Declarations!$B$6:$F$185,5,FALSE)="","NOT DECLARED",VLOOKUP($F103,Declarations!$B$6:$F$185,5,FALSE)))</f>
        <v/>
      </c>
      <c r="E103" s="112" t="str">
        <f>IF(ISNA(VLOOKUP($F103,Declarations!$B$6:$D$185,3,FALSE)),"",IF(VLOOKUP($F103,Declarations!$B$6:$D$185,3,FALSE)="","NOT DECLARED",VLOOKUP($F103,Declarations!$B$6:$D$185,3,FALSE)&amp;LEFT(VLOOKUP($F103,Declarations!$B$6:$E$185,4,FALSE))))</f>
        <v/>
      </c>
      <c r="F103" s="20"/>
      <c r="G103" s="21"/>
      <c r="H103" s="281"/>
      <c r="I103" s="8" t="str">
        <f>IF(ISNA(VLOOKUP(F103,Declarations!B$6:C$185,2,FALSE)),"",IF(VLOOKUP(F103,Declarations!B$6:C$185,2,FALSE)="","NOT DECLARED",VLOOKUP(F103,Declarations!B$6:C$185,2,FALSE)))</f>
        <v/>
      </c>
      <c r="J103" s="2">
        <f>IF(LOWER(LEFT(G103,1))="n",1,VLOOKUP(G103,ScoringTable!E$2:I$95,5))</f>
        <v>0</v>
      </c>
      <c r="K103" s="112" t="str">
        <f>IF(OR(E103="",G103=""),"",IF(RIGHT(E103,1)="G",_xlfn.XLOOKUP(G103,Data!$D$13:$L$13,Data!$D$9:$L$9,"",-1,1),_xlfn.XLOOKUP(G103,Data!$D$6:$L$6,Data!$D$2:$L$2,"",-1,1)))</f>
        <v/>
      </c>
      <c r="L103" s="160" t="str" cm="1">
        <f t="array" ref="L103">IFERROR(_xlfn.IFNA(
                      _xlfn.IFS(
                      F103="", "",
                      AND(E103="U12B",G103&gt;=Data!$M$6), "U12 Boys record",
                      AND(E103="U12G",G103&gt;=Data!$M$13), "U12 Girls record"
                       ),""), "")</f>
        <v/>
      </c>
      <c r="M103" s="18" cm="1">
        <f t="array" ref="M103">_xlfn.IFS($G103="",0,AND(NOT(ISNUMBER($G103)),LOWER(LEFT($G103,1))&lt;&gt;"n"),"Not a valid distance",OR(LOWER(LEFT($G103,1))="n",$G103&lt;ScoringTable!$P$161),1,RIGHT($E103,1)="B",_xlfn.XLOOKUP($G103,ScoringTable!$P$2:$P$161,ScoringTable!$L$2:$L$161,,-1),TRUE,_xlfn.XLOOKUP($G103,ScoringTable!$V$2:$V$161,ScoringTable!$R$2:$R$161,,-1))</f>
        <v>0</v>
      </c>
    </row>
    <row r="104" spans="1:13" ht="16.05" customHeight="1">
      <c r="A104" s="80" t="s">
        <v>104</v>
      </c>
      <c r="B104" s="79" t="str">
        <f>IF(ISNA(VLOOKUP($F104,Declarations!B$6:C$185,2,FALSE)),"",IF(VLOOKUP($F104,Declarations!B$6:C$185,2,FALSE)="","NOT DECLARED",IF(ISNA(_xlfn.TEXTBEFORE(VLOOKUP($F104,Declarations!B$6:C$185,2,FALSE)," ")),VLOOKUP($F104,Declarations!B$6:C$185,2,FALSE),_xlfn.TEXTBEFORE(VLOOKUP($F104,Declarations!B$6:C$185,2,FALSE)," "))))</f>
        <v/>
      </c>
      <c r="C104" s="79" t="str">
        <f>IF(ISNA(VLOOKUP($F104,Declarations!B$6:C$185,2,FALSE)),"",IF(VLOOKUP($F104,Declarations!B$6:C$185,2,FALSE)="","NOT DECLARED",IF(ISNA(_xlfn.TEXTAFTER(VLOOKUP($F104,Declarations!B$6:C$185,2,FALSE)," ")),VLOOKUP($F104,Declarations!B$6:C$185,2,FALSE),_xlfn.TEXTAFTER(VLOOKUP($F104,Declarations!B$6:C$185,2,FALSE)," "))))</f>
        <v/>
      </c>
      <c r="D104" s="79" t="str">
        <f>IF(ISNA(VLOOKUP($F104,Declarations!$B$6:$F$185,5,FALSE)),"",IF(VLOOKUP($F104,Declarations!$B$6:$F$185,5,FALSE)="","NOT DECLARED",VLOOKUP($F104,Declarations!$B$6:$F$185,5,FALSE)))</f>
        <v/>
      </c>
      <c r="E104" s="112" t="str">
        <f>IF(ISNA(VLOOKUP($F104,Declarations!$B$6:$D$185,3,FALSE)),"",IF(VLOOKUP($F104,Declarations!$B$6:$D$185,3,FALSE)="","NOT DECLARED",VLOOKUP($F104,Declarations!$B$6:$D$185,3,FALSE)&amp;LEFT(VLOOKUP($F104,Declarations!$B$6:$E$185,4,FALSE))))</f>
        <v/>
      </c>
      <c r="F104" s="20"/>
      <c r="G104" s="21"/>
      <c r="H104" s="281"/>
      <c r="I104" s="8" t="str">
        <f>IF(ISNA(VLOOKUP(F104,Declarations!B$6:C$185,2,FALSE)),"",IF(VLOOKUP(F104,Declarations!B$6:C$185,2,FALSE)="","NOT DECLARED",VLOOKUP(F104,Declarations!B$6:C$185,2,FALSE)))</f>
        <v/>
      </c>
      <c r="J104" s="2">
        <f>IF(LOWER(LEFT(G104,1))="n",1,VLOOKUP(G104,ScoringTable!E$2:I$95,5))</f>
        <v>0</v>
      </c>
      <c r="K104" s="112" t="str">
        <f>IF(OR(E104="",G104=""),"",IF(RIGHT(E104,1)="G",_xlfn.XLOOKUP(G104,Data!$D$13:$L$13,Data!$D$9:$L$9,"",-1,1),_xlfn.XLOOKUP(G104,Data!$D$6:$L$6,Data!$D$2:$L$2,"",-1,1)))</f>
        <v/>
      </c>
      <c r="L104" s="160" t="str" cm="1">
        <f t="array" ref="L104">IFERROR(_xlfn.IFNA(
                      _xlfn.IFS(
                      F104="", "",
                      AND(E104="U12B",G104&gt;=Data!$M$6), "U12 Boys record",
                      AND(E104="U12G",G104&gt;=Data!$M$13), "U12 Girls record"
                       ),""), "")</f>
        <v/>
      </c>
      <c r="M104" s="18" cm="1">
        <f t="array" ref="M104">_xlfn.IFS($G104="",0,AND(NOT(ISNUMBER($G104)),LOWER(LEFT($G104,1))&lt;&gt;"n"),"Not a valid distance",OR(LOWER(LEFT($G104,1))="n",$G104&lt;ScoringTable!$P$161),1,RIGHT($E104,1)="B",_xlfn.XLOOKUP($G104,ScoringTable!$P$2:$P$161,ScoringTable!$L$2:$L$161,,-1),TRUE,_xlfn.XLOOKUP($G104,ScoringTable!$V$2:$V$161,ScoringTable!$R$2:$R$161,,-1))</f>
        <v>0</v>
      </c>
    </row>
    <row r="105" spans="1:13" ht="16.05" customHeight="1">
      <c r="A105" s="80" t="s">
        <v>104</v>
      </c>
      <c r="B105" s="79" t="str">
        <f>IF(ISNA(VLOOKUP($F105,Declarations!B$6:C$185,2,FALSE)),"",IF(VLOOKUP($F105,Declarations!B$6:C$185,2,FALSE)="","NOT DECLARED",IF(ISNA(_xlfn.TEXTBEFORE(VLOOKUP($F105,Declarations!B$6:C$185,2,FALSE)," ")),VLOOKUP($F105,Declarations!B$6:C$185,2,FALSE),_xlfn.TEXTBEFORE(VLOOKUP($F105,Declarations!B$6:C$185,2,FALSE)," "))))</f>
        <v/>
      </c>
      <c r="C105" s="79" t="str">
        <f>IF(ISNA(VLOOKUP($F105,Declarations!B$6:C$185,2,FALSE)),"",IF(VLOOKUP($F105,Declarations!B$6:C$185,2,FALSE)="","NOT DECLARED",IF(ISNA(_xlfn.TEXTAFTER(VLOOKUP($F105,Declarations!B$6:C$185,2,FALSE)," ")),VLOOKUP($F105,Declarations!B$6:C$185,2,FALSE),_xlfn.TEXTAFTER(VLOOKUP($F105,Declarations!B$6:C$185,2,FALSE)," "))))</f>
        <v/>
      </c>
      <c r="D105" s="79" t="str">
        <f>IF(ISNA(VLOOKUP($F105,Declarations!$B$6:$F$185,5,FALSE)),"",IF(VLOOKUP($F105,Declarations!$B$6:$F$185,5,FALSE)="","NOT DECLARED",VLOOKUP($F105,Declarations!$B$6:$F$185,5,FALSE)))</f>
        <v/>
      </c>
      <c r="E105" s="112" t="str">
        <f>IF(ISNA(VLOOKUP($F105,Declarations!$B$6:$D$185,3,FALSE)),"",IF(VLOOKUP($F105,Declarations!$B$6:$D$185,3,FALSE)="","NOT DECLARED",VLOOKUP($F105,Declarations!$B$6:$D$185,3,FALSE)&amp;LEFT(VLOOKUP($F105,Declarations!$B$6:$E$185,4,FALSE))))</f>
        <v/>
      </c>
      <c r="F105" s="20"/>
      <c r="G105" s="21"/>
      <c r="H105" s="281"/>
      <c r="I105" s="8" t="str">
        <f>IF(ISNA(VLOOKUP(F105,Declarations!B$6:C$185,2,FALSE)),"",IF(VLOOKUP(F105,Declarations!B$6:C$185,2,FALSE)="","NOT DECLARED",VLOOKUP(F105,Declarations!B$6:C$185,2,FALSE)))</f>
        <v/>
      </c>
      <c r="J105" s="2">
        <f>IF(LOWER(LEFT(G105,1))="n",1,VLOOKUP(G105,ScoringTable!E$2:I$95,5))</f>
        <v>0</v>
      </c>
      <c r="K105" s="112" t="str">
        <f>IF(OR(E105="",G105=""),"",IF(RIGHT(E105,1)="G",_xlfn.XLOOKUP(G105,Data!$D$13:$L$13,Data!$D$9:$L$9,"",-1,1),_xlfn.XLOOKUP(G105,Data!$D$6:$L$6,Data!$D$2:$L$2,"",-1,1)))</f>
        <v/>
      </c>
      <c r="L105" s="160" t="str" cm="1">
        <f t="array" ref="L105">IFERROR(_xlfn.IFNA(
                      _xlfn.IFS(
                      F105="", "",
                      AND(E105="U12B",G105&gt;=Data!$M$6), "U12 Boys record",
                      AND(E105="U12G",G105&gt;=Data!$M$13), "U12 Girls record"
                       ),""), "")</f>
        <v/>
      </c>
      <c r="M105" s="18" cm="1">
        <f t="array" ref="M105">_xlfn.IFS($G105="",0,AND(NOT(ISNUMBER($G105)),LOWER(LEFT($G105,1))&lt;&gt;"n"),"Not a valid distance",OR(LOWER(LEFT($G105,1))="n",$G105&lt;ScoringTable!$P$161),1,RIGHT($E105,1)="B",_xlfn.XLOOKUP($G105,ScoringTable!$P$2:$P$161,ScoringTable!$L$2:$L$161,,-1),TRUE,_xlfn.XLOOKUP($G105,ScoringTable!$V$2:$V$161,ScoringTable!$R$2:$R$161,,-1))</f>
        <v>0</v>
      </c>
    </row>
    <row r="106" spans="1:13" ht="16.05" customHeight="1">
      <c r="A106" s="80" t="s">
        <v>104</v>
      </c>
      <c r="B106" s="79" t="str">
        <f>IF(ISNA(VLOOKUP($F106,Declarations!B$6:C$185,2,FALSE)),"",IF(VLOOKUP($F106,Declarations!B$6:C$185,2,FALSE)="","NOT DECLARED",IF(ISNA(_xlfn.TEXTBEFORE(VLOOKUP($F106,Declarations!B$6:C$185,2,FALSE)," ")),VLOOKUP($F106,Declarations!B$6:C$185,2,FALSE),_xlfn.TEXTBEFORE(VLOOKUP($F106,Declarations!B$6:C$185,2,FALSE)," "))))</f>
        <v/>
      </c>
      <c r="C106" s="79" t="str">
        <f>IF(ISNA(VLOOKUP($F106,Declarations!B$6:C$185,2,FALSE)),"",IF(VLOOKUP($F106,Declarations!B$6:C$185,2,FALSE)="","NOT DECLARED",IF(ISNA(_xlfn.TEXTAFTER(VLOOKUP($F106,Declarations!B$6:C$185,2,FALSE)," ")),VLOOKUP($F106,Declarations!B$6:C$185,2,FALSE),_xlfn.TEXTAFTER(VLOOKUP($F106,Declarations!B$6:C$185,2,FALSE)," "))))</f>
        <v/>
      </c>
      <c r="D106" s="79" t="str">
        <f>IF(ISNA(VLOOKUP($F106,Declarations!$B$6:$F$185,5,FALSE)),"",IF(VLOOKUP($F106,Declarations!$B$6:$F$185,5,FALSE)="","NOT DECLARED",VLOOKUP($F106,Declarations!$B$6:$F$185,5,FALSE)))</f>
        <v/>
      </c>
      <c r="E106" s="112" t="str">
        <f>IF(ISNA(VLOOKUP($F106,Declarations!$B$6:$D$185,3,FALSE)),"",IF(VLOOKUP($F106,Declarations!$B$6:$D$185,3,FALSE)="","NOT DECLARED",VLOOKUP($F106,Declarations!$B$6:$D$185,3,FALSE)&amp;LEFT(VLOOKUP($F106,Declarations!$B$6:$E$185,4,FALSE))))</f>
        <v/>
      </c>
      <c r="F106" s="20"/>
      <c r="G106" s="21"/>
      <c r="H106" s="281"/>
      <c r="I106" s="8" t="str">
        <f>IF(ISNA(VLOOKUP(F106,Declarations!B$6:C$185,2,FALSE)),"",IF(VLOOKUP(F106,Declarations!B$6:C$185,2,FALSE)="","NOT DECLARED",VLOOKUP(F106,Declarations!B$6:C$185,2,FALSE)))</f>
        <v/>
      </c>
      <c r="J106" s="2">
        <f>IF(LOWER(LEFT(G106,1))="n",1,VLOOKUP(G106,ScoringTable!E$2:I$95,5))</f>
        <v>0</v>
      </c>
      <c r="K106" s="112" t="str">
        <f>IF(OR(E106="",G106=""),"",IF(RIGHT(E106,1)="G",_xlfn.XLOOKUP(G106,Data!$D$13:$L$13,Data!$D$9:$L$9,"",-1,1),_xlfn.XLOOKUP(G106,Data!$D$6:$L$6,Data!$D$2:$L$2,"",-1,1)))</f>
        <v/>
      </c>
      <c r="L106" s="160" t="str" cm="1">
        <f t="array" ref="L106">IFERROR(_xlfn.IFNA(
                      _xlfn.IFS(
                      F106="", "",
                      AND(E106="U12B",G106&gt;=Data!$M$6), "U12 Boys record",
                      AND(E106="U12G",G106&gt;=Data!$M$13), "U12 Girls record"
                       ),""), "")</f>
        <v/>
      </c>
      <c r="M106" s="18" cm="1">
        <f t="array" ref="M106">_xlfn.IFS($G106="",0,AND(NOT(ISNUMBER($G106)),LOWER(LEFT($G106,1))&lt;&gt;"n"),"Not a valid distance",OR(LOWER(LEFT($G106,1))="n",$G106&lt;ScoringTable!$P$161),1,RIGHT($E106,1)="B",_xlfn.XLOOKUP($G106,ScoringTable!$P$2:$P$161,ScoringTable!$L$2:$L$161,,-1),TRUE,_xlfn.XLOOKUP($G106,ScoringTable!$V$2:$V$161,ScoringTable!$R$2:$R$161,,-1))</f>
        <v>0</v>
      </c>
    </row>
    <row r="107" spans="1:13" ht="16.05" customHeight="1">
      <c r="A107" s="80" t="s">
        <v>104</v>
      </c>
      <c r="B107" s="79" t="str">
        <f>IF(ISNA(VLOOKUP($F107,Declarations!B$6:C$185,2,FALSE)),"",IF(VLOOKUP($F107,Declarations!B$6:C$185,2,FALSE)="","NOT DECLARED",IF(ISNA(_xlfn.TEXTBEFORE(VLOOKUP($F107,Declarations!B$6:C$185,2,FALSE)," ")),VLOOKUP($F107,Declarations!B$6:C$185,2,FALSE),_xlfn.TEXTBEFORE(VLOOKUP($F107,Declarations!B$6:C$185,2,FALSE)," "))))</f>
        <v/>
      </c>
      <c r="C107" s="79" t="str">
        <f>IF(ISNA(VLOOKUP($F107,Declarations!B$6:C$185,2,FALSE)),"",IF(VLOOKUP($F107,Declarations!B$6:C$185,2,FALSE)="","NOT DECLARED",IF(ISNA(_xlfn.TEXTAFTER(VLOOKUP($F107,Declarations!B$6:C$185,2,FALSE)," ")),VLOOKUP($F107,Declarations!B$6:C$185,2,FALSE),_xlfn.TEXTAFTER(VLOOKUP($F107,Declarations!B$6:C$185,2,FALSE)," "))))</f>
        <v/>
      </c>
      <c r="D107" s="79" t="str">
        <f>IF(ISNA(VLOOKUP($F107,Declarations!$B$6:$F$185,5,FALSE)),"",IF(VLOOKUP($F107,Declarations!$B$6:$F$185,5,FALSE)="","NOT DECLARED",VLOOKUP($F107,Declarations!$B$6:$F$185,5,FALSE)))</f>
        <v/>
      </c>
      <c r="E107" s="112" t="str">
        <f>IF(ISNA(VLOOKUP($F107,Declarations!$B$6:$D$185,3,FALSE)),"",IF(VLOOKUP($F107,Declarations!$B$6:$D$185,3,FALSE)="","NOT DECLARED",VLOOKUP($F107,Declarations!$B$6:$D$185,3,FALSE)&amp;LEFT(VLOOKUP($F107,Declarations!$B$6:$E$185,4,FALSE))))</f>
        <v/>
      </c>
      <c r="F107" s="20"/>
      <c r="G107" s="21"/>
      <c r="H107" s="281"/>
      <c r="I107" s="8" t="str">
        <f>IF(ISNA(VLOOKUP(F107,Declarations!B$6:C$185,2,FALSE)),"",IF(VLOOKUP(F107,Declarations!B$6:C$185,2,FALSE)="","NOT DECLARED",VLOOKUP(F107,Declarations!B$6:C$185,2,FALSE)))</f>
        <v/>
      </c>
      <c r="J107" s="2">
        <f>IF(LOWER(LEFT(G107,1))="n",1,VLOOKUP(G107,ScoringTable!E$2:I$95,5))</f>
        <v>0</v>
      </c>
      <c r="K107" s="112" t="str">
        <f>IF(OR(E107="",G107=""),"",IF(RIGHT(E107,1)="G",_xlfn.XLOOKUP(G107,Data!$D$13:$L$13,Data!$D$9:$L$9,"",-1,1),_xlfn.XLOOKUP(G107,Data!$D$6:$L$6,Data!$D$2:$L$2,"",-1,1)))</f>
        <v/>
      </c>
      <c r="L107" s="160" t="str" cm="1">
        <f t="array" ref="L107">IFERROR(_xlfn.IFNA(
                      _xlfn.IFS(
                      F107="", "",
                      AND(E107="U12B",G107&gt;=Data!$M$6), "U12 Boys record",
                      AND(E107="U12G",G107&gt;=Data!$M$13), "U12 Girls record"
                       ),""), "")</f>
        <v/>
      </c>
      <c r="M107" s="18" cm="1">
        <f t="array" ref="M107">_xlfn.IFS($G107="",0,AND(NOT(ISNUMBER($G107)),LOWER(LEFT($G107,1))&lt;&gt;"n"),"Not a valid distance",OR(LOWER(LEFT($G107,1))="n",$G107&lt;ScoringTable!$P$161),1,RIGHT($E107,1)="B",_xlfn.XLOOKUP($G107,ScoringTable!$P$2:$P$161,ScoringTable!$L$2:$L$161,,-1),TRUE,_xlfn.XLOOKUP($G107,ScoringTable!$V$2:$V$161,ScoringTable!$R$2:$R$161,,-1))</f>
        <v>0</v>
      </c>
    </row>
    <row r="108" spans="1:13" ht="16.05" customHeight="1">
      <c r="A108" s="80" t="s">
        <v>104</v>
      </c>
      <c r="B108" s="79" t="str">
        <f>IF(ISNA(VLOOKUP($F108,Declarations!B$6:C$185,2,FALSE)),"",IF(VLOOKUP($F108,Declarations!B$6:C$185,2,FALSE)="","NOT DECLARED",IF(ISNA(_xlfn.TEXTBEFORE(VLOOKUP($F108,Declarations!B$6:C$185,2,FALSE)," ")),VLOOKUP($F108,Declarations!B$6:C$185,2,FALSE),_xlfn.TEXTBEFORE(VLOOKUP($F108,Declarations!B$6:C$185,2,FALSE)," "))))</f>
        <v/>
      </c>
      <c r="C108" s="79" t="str">
        <f>IF(ISNA(VLOOKUP($F108,Declarations!B$6:C$185,2,FALSE)),"",IF(VLOOKUP($F108,Declarations!B$6:C$185,2,FALSE)="","NOT DECLARED",IF(ISNA(_xlfn.TEXTAFTER(VLOOKUP($F108,Declarations!B$6:C$185,2,FALSE)," ")),VLOOKUP($F108,Declarations!B$6:C$185,2,FALSE),_xlfn.TEXTAFTER(VLOOKUP($F108,Declarations!B$6:C$185,2,FALSE)," "))))</f>
        <v/>
      </c>
      <c r="D108" s="79" t="str">
        <f>IF(ISNA(VLOOKUP($F108,Declarations!$B$6:$F$185,5,FALSE)),"",IF(VLOOKUP($F108,Declarations!$B$6:$F$185,5,FALSE)="","NOT DECLARED",VLOOKUP($F108,Declarations!$B$6:$F$185,5,FALSE)))</f>
        <v/>
      </c>
      <c r="E108" s="112" t="str">
        <f>IF(ISNA(VLOOKUP($F108,Declarations!$B$6:$D$185,3,FALSE)),"",IF(VLOOKUP($F108,Declarations!$B$6:$D$185,3,FALSE)="","NOT DECLARED",VLOOKUP($F108,Declarations!$B$6:$D$185,3,FALSE)&amp;LEFT(VLOOKUP($F108,Declarations!$B$6:$E$185,4,FALSE))))</f>
        <v/>
      </c>
      <c r="F108" s="20"/>
      <c r="G108" s="21"/>
      <c r="H108" s="281"/>
      <c r="I108" s="8" t="str">
        <f>IF(ISNA(VLOOKUP(F108,Declarations!B$6:C$185,2,FALSE)),"",IF(VLOOKUP(F108,Declarations!B$6:C$185,2,FALSE)="","NOT DECLARED",VLOOKUP(F108,Declarations!B$6:C$185,2,FALSE)))</f>
        <v/>
      </c>
      <c r="J108" s="2">
        <f>IF(LOWER(LEFT(G108,1))="n",1,VLOOKUP(G108,ScoringTable!E$2:I$95,5))</f>
        <v>0</v>
      </c>
      <c r="K108" s="112" t="str">
        <f>IF(OR(E108="",G108=""),"",IF(RIGHT(E108,1)="G",_xlfn.XLOOKUP(G108,Data!$D$13:$L$13,Data!$D$9:$L$9,"",-1,1),_xlfn.XLOOKUP(G108,Data!$D$6:$L$6,Data!$D$2:$L$2,"",-1,1)))</f>
        <v/>
      </c>
      <c r="L108" s="160" t="str" cm="1">
        <f t="array" ref="L108">IFERROR(_xlfn.IFNA(
                      _xlfn.IFS(
                      F108="", "",
                      AND(E108="U12B",G108&gt;=Data!$M$6), "U12 Boys record",
                      AND(E108="U12G",G108&gt;=Data!$M$13), "U12 Girls record"
                       ),""), "")</f>
        <v/>
      </c>
      <c r="M108" s="18" cm="1">
        <f t="array" ref="M108">_xlfn.IFS($G108="",0,AND(NOT(ISNUMBER($G108)),LOWER(LEFT($G108,1))&lt;&gt;"n"),"Not a valid distance",OR(LOWER(LEFT($G108,1))="n",$G108&lt;ScoringTable!$P$161),1,RIGHT($E108,1)="B",_xlfn.XLOOKUP($G108,ScoringTable!$P$2:$P$161,ScoringTable!$L$2:$L$161,,-1),TRUE,_xlfn.XLOOKUP($G108,ScoringTable!$V$2:$V$161,ScoringTable!$R$2:$R$161,,-1))</f>
        <v>0</v>
      </c>
    </row>
    <row r="109" spans="1:13" ht="16.05" customHeight="1">
      <c r="A109" s="80" t="s">
        <v>104</v>
      </c>
      <c r="B109" s="79" t="str">
        <f>IF(ISNA(VLOOKUP($F109,Declarations!B$6:C$185,2,FALSE)),"",IF(VLOOKUP($F109,Declarations!B$6:C$185,2,FALSE)="","NOT DECLARED",IF(ISNA(_xlfn.TEXTBEFORE(VLOOKUP($F109,Declarations!B$6:C$185,2,FALSE)," ")),VLOOKUP($F109,Declarations!B$6:C$185,2,FALSE),_xlfn.TEXTBEFORE(VLOOKUP($F109,Declarations!B$6:C$185,2,FALSE)," "))))</f>
        <v/>
      </c>
      <c r="C109" s="79" t="str">
        <f>IF(ISNA(VLOOKUP($F109,Declarations!B$6:C$185,2,FALSE)),"",IF(VLOOKUP($F109,Declarations!B$6:C$185,2,FALSE)="","NOT DECLARED",IF(ISNA(_xlfn.TEXTAFTER(VLOOKUP($F109,Declarations!B$6:C$185,2,FALSE)," ")),VLOOKUP($F109,Declarations!B$6:C$185,2,FALSE),_xlfn.TEXTAFTER(VLOOKUP($F109,Declarations!B$6:C$185,2,FALSE)," "))))</f>
        <v/>
      </c>
      <c r="D109" s="79" t="str">
        <f>IF(ISNA(VLOOKUP($F109,Declarations!$B$6:$F$185,5,FALSE)),"",IF(VLOOKUP($F109,Declarations!$B$6:$F$185,5,FALSE)="","NOT DECLARED",VLOOKUP($F109,Declarations!$B$6:$F$185,5,FALSE)))</f>
        <v/>
      </c>
      <c r="E109" s="112" t="str">
        <f>IF(ISNA(VLOOKUP($F109,Declarations!$B$6:$D$185,3,FALSE)),"",IF(VLOOKUP($F109,Declarations!$B$6:$D$185,3,FALSE)="","NOT DECLARED",VLOOKUP($F109,Declarations!$B$6:$D$185,3,FALSE)&amp;LEFT(VLOOKUP($F109,Declarations!$B$6:$E$185,4,FALSE))))</f>
        <v/>
      </c>
      <c r="F109" s="20"/>
      <c r="G109" s="21"/>
      <c r="H109" s="281"/>
      <c r="I109" s="8" t="str">
        <f>IF(ISNA(VLOOKUP(F109,Declarations!B$6:C$185,2,FALSE)),"",IF(VLOOKUP(F109,Declarations!B$6:C$185,2,FALSE)="","NOT DECLARED",VLOOKUP(F109,Declarations!B$6:C$185,2,FALSE)))</f>
        <v/>
      </c>
      <c r="J109" s="2">
        <f>IF(LOWER(LEFT(G109,1))="n",1,VLOOKUP(G109,ScoringTable!E$2:I$95,5))</f>
        <v>0</v>
      </c>
      <c r="K109" s="112" t="str">
        <f>IF(OR(E109="",G109=""),"",IF(RIGHT(E109,1)="G",_xlfn.XLOOKUP(G109,Data!$D$13:$L$13,Data!$D$9:$L$9,"",-1,1),_xlfn.XLOOKUP(G109,Data!$D$6:$L$6,Data!$D$2:$L$2,"",-1,1)))</f>
        <v/>
      </c>
      <c r="L109" s="160" t="str" cm="1">
        <f t="array" ref="L109">IFERROR(_xlfn.IFNA(
                      _xlfn.IFS(
                      F109="", "",
                      AND(E109="U12B",G109&gt;=Data!$M$6), "U12 Boys record",
                      AND(E109="U12G",G109&gt;=Data!$M$13), "U12 Girls record"
                       ),""), "")</f>
        <v/>
      </c>
      <c r="M109" s="18" cm="1">
        <f t="array" ref="M109">_xlfn.IFS($G109="",0,AND(NOT(ISNUMBER($G109)),LOWER(LEFT($G109,1))&lt;&gt;"n"),"Not a valid distance",OR(LOWER(LEFT($G109,1))="n",$G109&lt;ScoringTable!$P$161),1,RIGHT($E109,1)="B",_xlfn.XLOOKUP($G109,ScoringTable!$P$2:$P$161,ScoringTable!$L$2:$L$161,,-1),TRUE,_xlfn.XLOOKUP($G109,ScoringTable!$V$2:$V$161,ScoringTable!$R$2:$R$161,,-1))</f>
        <v>0</v>
      </c>
    </row>
    <row r="110" spans="1:13" ht="16.05" customHeight="1">
      <c r="A110" s="80" t="s">
        <v>104</v>
      </c>
      <c r="B110" s="79" t="str">
        <f>IF(ISNA(VLOOKUP($F110,Declarations!B$6:C$185,2,FALSE)),"",IF(VLOOKUP($F110,Declarations!B$6:C$185,2,FALSE)="","NOT DECLARED",IF(ISNA(_xlfn.TEXTBEFORE(VLOOKUP($F110,Declarations!B$6:C$185,2,FALSE)," ")),VLOOKUP($F110,Declarations!B$6:C$185,2,FALSE),_xlfn.TEXTBEFORE(VLOOKUP($F110,Declarations!B$6:C$185,2,FALSE)," "))))</f>
        <v/>
      </c>
      <c r="C110" s="79" t="str">
        <f>IF(ISNA(VLOOKUP($F110,Declarations!B$6:C$185,2,FALSE)),"",IF(VLOOKUP($F110,Declarations!B$6:C$185,2,FALSE)="","NOT DECLARED",IF(ISNA(_xlfn.TEXTAFTER(VLOOKUP($F110,Declarations!B$6:C$185,2,FALSE)," ")),VLOOKUP($F110,Declarations!B$6:C$185,2,FALSE),_xlfn.TEXTAFTER(VLOOKUP($F110,Declarations!B$6:C$185,2,FALSE)," "))))</f>
        <v/>
      </c>
      <c r="D110" s="79" t="str">
        <f>IF(ISNA(VLOOKUP($F110,Declarations!$B$6:$F$185,5,FALSE)),"",IF(VLOOKUP($F110,Declarations!$B$6:$F$185,5,FALSE)="","NOT DECLARED",VLOOKUP($F110,Declarations!$B$6:$F$185,5,FALSE)))</f>
        <v/>
      </c>
      <c r="E110" s="112" t="str">
        <f>IF(ISNA(VLOOKUP($F110,Declarations!$B$6:$D$185,3,FALSE)),"",IF(VLOOKUP($F110,Declarations!$B$6:$D$185,3,FALSE)="","NOT DECLARED",VLOOKUP($F110,Declarations!$B$6:$D$185,3,FALSE)&amp;LEFT(VLOOKUP($F110,Declarations!$B$6:$E$185,4,FALSE))))</f>
        <v/>
      </c>
      <c r="F110" s="20"/>
      <c r="G110" s="21"/>
      <c r="H110" s="281"/>
      <c r="I110" s="8" t="str">
        <f>IF(ISNA(VLOOKUP(F110,Declarations!B$6:C$185,2,FALSE)),"",IF(VLOOKUP(F110,Declarations!B$6:C$185,2,FALSE)="","NOT DECLARED",VLOOKUP(F110,Declarations!B$6:C$185,2,FALSE)))</f>
        <v/>
      </c>
      <c r="J110" s="2">
        <f>IF(LOWER(LEFT(G110,1))="n",1,VLOOKUP(G110,ScoringTable!E$2:I$95,5))</f>
        <v>0</v>
      </c>
      <c r="K110" s="112" t="str">
        <f>IF(OR(E110="",G110=""),"",IF(RIGHT(E110,1)="G",_xlfn.XLOOKUP(G110,Data!$D$13:$L$13,Data!$D$9:$L$9,"",-1,1),_xlfn.XLOOKUP(G110,Data!$D$6:$L$6,Data!$D$2:$L$2,"",-1,1)))</f>
        <v/>
      </c>
      <c r="L110" s="160" t="str" cm="1">
        <f t="array" ref="L110">IFERROR(_xlfn.IFNA(
                      _xlfn.IFS(
                      F110="", "",
                      AND(E110="U12B",G110&gt;=Data!$M$6), "U12 Boys record",
                      AND(E110="U12G",G110&gt;=Data!$M$13), "U12 Girls record"
                       ),""), "")</f>
        <v/>
      </c>
      <c r="M110" s="18" cm="1">
        <f t="array" ref="M110">_xlfn.IFS($G110="",0,AND(NOT(ISNUMBER($G110)),LOWER(LEFT($G110,1))&lt;&gt;"n"),"Not a valid distance",OR(LOWER(LEFT($G110,1))="n",$G110&lt;ScoringTable!$P$161),1,RIGHT($E110,1)="B",_xlfn.XLOOKUP($G110,ScoringTable!$P$2:$P$161,ScoringTable!$L$2:$L$161,,-1),TRUE,_xlfn.XLOOKUP($G110,ScoringTable!$V$2:$V$161,ScoringTable!$R$2:$R$161,,-1))</f>
        <v>0</v>
      </c>
    </row>
    <row r="111" spans="1:13" ht="16.05" customHeight="1">
      <c r="A111" s="80" t="s">
        <v>104</v>
      </c>
      <c r="B111" s="79" t="str">
        <f>IF(ISNA(VLOOKUP($F111,Declarations!B$6:C$185,2,FALSE)),"",IF(VLOOKUP($F111,Declarations!B$6:C$185,2,FALSE)="","NOT DECLARED",IF(ISNA(_xlfn.TEXTBEFORE(VLOOKUP($F111,Declarations!B$6:C$185,2,FALSE)," ")),VLOOKUP($F111,Declarations!B$6:C$185,2,FALSE),_xlfn.TEXTBEFORE(VLOOKUP($F111,Declarations!B$6:C$185,2,FALSE)," "))))</f>
        <v/>
      </c>
      <c r="C111" s="79" t="str">
        <f>IF(ISNA(VLOOKUP($F111,Declarations!B$6:C$185,2,FALSE)),"",IF(VLOOKUP($F111,Declarations!B$6:C$185,2,FALSE)="","NOT DECLARED",IF(ISNA(_xlfn.TEXTAFTER(VLOOKUP($F111,Declarations!B$6:C$185,2,FALSE)," ")),VLOOKUP($F111,Declarations!B$6:C$185,2,FALSE),_xlfn.TEXTAFTER(VLOOKUP($F111,Declarations!B$6:C$185,2,FALSE)," "))))</f>
        <v/>
      </c>
      <c r="D111" s="79" t="str">
        <f>IF(ISNA(VLOOKUP($F111,Declarations!$B$6:$F$185,5,FALSE)),"",IF(VLOOKUP($F111,Declarations!$B$6:$F$185,5,FALSE)="","NOT DECLARED",VLOOKUP($F111,Declarations!$B$6:$F$185,5,FALSE)))</f>
        <v/>
      </c>
      <c r="E111" s="112" t="str">
        <f>IF(ISNA(VLOOKUP($F111,Declarations!$B$6:$D$185,3,FALSE)),"",IF(VLOOKUP($F111,Declarations!$B$6:$D$185,3,FALSE)="","NOT DECLARED",VLOOKUP($F111,Declarations!$B$6:$D$185,3,FALSE)&amp;LEFT(VLOOKUP($F111,Declarations!$B$6:$E$185,4,FALSE))))</f>
        <v/>
      </c>
      <c r="F111" s="20"/>
      <c r="G111" s="21"/>
      <c r="H111" s="281"/>
      <c r="I111" s="8" t="str">
        <f>IF(ISNA(VLOOKUP(F111,Declarations!B$6:C$185,2,FALSE)),"",IF(VLOOKUP(F111,Declarations!B$6:C$185,2,FALSE)="","NOT DECLARED",VLOOKUP(F111,Declarations!B$6:C$185,2,FALSE)))</f>
        <v/>
      </c>
      <c r="J111" s="2">
        <f>IF(LOWER(LEFT(G111,1))="n",1,VLOOKUP(G111,ScoringTable!E$2:I$95,5))</f>
        <v>0</v>
      </c>
      <c r="K111" s="112" t="str">
        <f>IF(OR(E111="",G111=""),"",IF(RIGHT(E111,1)="G",_xlfn.XLOOKUP(G111,Data!$D$13:$L$13,Data!$D$9:$L$9,"",-1,1),_xlfn.XLOOKUP(G111,Data!$D$6:$L$6,Data!$D$2:$L$2,"",-1,1)))</f>
        <v/>
      </c>
      <c r="L111" s="160" t="str" cm="1">
        <f t="array" ref="L111">IFERROR(_xlfn.IFNA(
                      _xlfn.IFS(
                      F111="", "",
                      AND(E111="U12B",G111&gt;=Data!$M$6), "U12 Boys record",
                      AND(E111="U12G",G111&gt;=Data!$M$13), "U12 Girls record"
                       ),""), "")</f>
        <v/>
      </c>
      <c r="M111" s="18" cm="1">
        <f t="array" ref="M111">_xlfn.IFS($G111="",0,AND(NOT(ISNUMBER($G111)),LOWER(LEFT($G111,1))&lt;&gt;"n"),"Not a valid distance",OR(LOWER(LEFT($G111,1))="n",$G111&lt;ScoringTable!$P$161),1,RIGHT($E111,1)="B",_xlfn.XLOOKUP($G111,ScoringTable!$P$2:$P$161,ScoringTable!$L$2:$L$161,,-1),TRUE,_xlfn.XLOOKUP($G111,ScoringTable!$V$2:$V$161,ScoringTable!$R$2:$R$161,,-1))</f>
        <v>0</v>
      </c>
    </row>
    <row r="112" spans="1:13" ht="16.05" customHeight="1">
      <c r="A112" s="80" t="s">
        <v>104</v>
      </c>
      <c r="B112" s="79" t="str">
        <f>IF(ISNA(VLOOKUP($F112,Declarations!B$6:C$185,2,FALSE)),"",IF(VLOOKUP($F112,Declarations!B$6:C$185,2,FALSE)="","NOT DECLARED",IF(ISNA(_xlfn.TEXTBEFORE(VLOOKUP($F112,Declarations!B$6:C$185,2,FALSE)," ")),VLOOKUP($F112,Declarations!B$6:C$185,2,FALSE),_xlfn.TEXTBEFORE(VLOOKUP($F112,Declarations!B$6:C$185,2,FALSE)," "))))</f>
        <v/>
      </c>
      <c r="C112" s="79" t="str">
        <f>IF(ISNA(VLOOKUP($F112,Declarations!B$6:C$185,2,FALSE)),"",IF(VLOOKUP($F112,Declarations!B$6:C$185,2,FALSE)="","NOT DECLARED",IF(ISNA(_xlfn.TEXTAFTER(VLOOKUP($F112,Declarations!B$6:C$185,2,FALSE)," ")),VLOOKUP($F112,Declarations!B$6:C$185,2,FALSE),_xlfn.TEXTAFTER(VLOOKUP($F112,Declarations!B$6:C$185,2,FALSE)," "))))</f>
        <v/>
      </c>
      <c r="D112" s="79" t="str">
        <f>IF(ISNA(VLOOKUP($F112,Declarations!$B$6:$F$185,5,FALSE)),"",IF(VLOOKUP($F112,Declarations!$B$6:$F$185,5,FALSE)="","NOT DECLARED",VLOOKUP($F112,Declarations!$B$6:$F$185,5,FALSE)))</f>
        <v/>
      </c>
      <c r="E112" s="112" t="str">
        <f>IF(ISNA(VLOOKUP($F112,Declarations!$B$6:$D$185,3,FALSE)),"",IF(VLOOKUP($F112,Declarations!$B$6:$D$185,3,FALSE)="","NOT DECLARED",VLOOKUP($F112,Declarations!$B$6:$D$185,3,FALSE)&amp;LEFT(VLOOKUP($F112,Declarations!$B$6:$E$185,4,FALSE))))</f>
        <v/>
      </c>
      <c r="F112" s="20"/>
      <c r="G112" s="21"/>
      <c r="H112" s="281"/>
      <c r="I112" s="8" t="str">
        <f>IF(ISNA(VLOOKUP(F112,Declarations!B$6:C$185,2,FALSE)),"",IF(VLOOKUP(F112,Declarations!B$6:C$185,2,FALSE)="","NOT DECLARED",VLOOKUP(F112,Declarations!B$6:C$185,2,FALSE)))</f>
        <v/>
      </c>
      <c r="J112" s="2">
        <f>IF(LOWER(LEFT(G112,1))="n",1,VLOOKUP(G112,ScoringTable!E$2:I$95,5))</f>
        <v>0</v>
      </c>
      <c r="K112" s="112" t="str">
        <f>IF(OR(E112="",G112=""),"",IF(RIGHT(E112,1)="G",_xlfn.XLOOKUP(G112,Data!$D$13:$L$13,Data!$D$9:$L$9,"",-1,1),_xlfn.XLOOKUP(G112,Data!$D$6:$L$6,Data!$D$2:$L$2,"",-1,1)))</f>
        <v/>
      </c>
      <c r="L112" s="160" t="str" cm="1">
        <f t="array" ref="L112">IFERROR(_xlfn.IFNA(
                      _xlfn.IFS(
                      F112="", "",
                      AND(E112="U12B",G112&gt;=Data!$M$6), "U12 Boys record",
                      AND(E112="U12G",G112&gt;=Data!$M$13), "U12 Girls record"
                       ),""), "")</f>
        <v/>
      </c>
      <c r="M112" s="18" cm="1">
        <f t="array" ref="M112">_xlfn.IFS($G112="",0,AND(NOT(ISNUMBER($G112)),LOWER(LEFT($G112,1))&lt;&gt;"n"),"Not a valid distance",OR(LOWER(LEFT($G112,1))="n",$G112&lt;ScoringTable!$P$161),1,RIGHT($E112,1)="B",_xlfn.XLOOKUP($G112,ScoringTable!$P$2:$P$161,ScoringTable!$L$2:$L$161,,-1),TRUE,_xlfn.XLOOKUP($G112,ScoringTable!$V$2:$V$161,ScoringTable!$R$2:$R$161,,-1))</f>
        <v>0</v>
      </c>
    </row>
    <row r="113" spans="1:13" ht="16.05" customHeight="1">
      <c r="A113" s="80" t="s">
        <v>104</v>
      </c>
      <c r="B113" s="79" t="str">
        <f>IF(ISNA(VLOOKUP($F113,Declarations!B$6:C$185,2,FALSE)),"",IF(VLOOKUP($F113,Declarations!B$6:C$185,2,FALSE)="","NOT DECLARED",IF(ISNA(_xlfn.TEXTBEFORE(VLOOKUP($F113,Declarations!B$6:C$185,2,FALSE)," ")),VLOOKUP($F113,Declarations!B$6:C$185,2,FALSE),_xlfn.TEXTBEFORE(VLOOKUP($F113,Declarations!B$6:C$185,2,FALSE)," "))))</f>
        <v/>
      </c>
      <c r="C113" s="79" t="str">
        <f>IF(ISNA(VLOOKUP($F113,Declarations!B$6:C$185,2,FALSE)),"",IF(VLOOKUP($F113,Declarations!B$6:C$185,2,FALSE)="","NOT DECLARED",IF(ISNA(_xlfn.TEXTAFTER(VLOOKUP($F113,Declarations!B$6:C$185,2,FALSE)," ")),VLOOKUP($F113,Declarations!B$6:C$185,2,FALSE),_xlfn.TEXTAFTER(VLOOKUP($F113,Declarations!B$6:C$185,2,FALSE)," "))))</f>
        <v/>
      </c>
      <c r="D113" s="79" t="str">
        <f>IF(ISNA(VLOOKUP($F113,Declarations!$B$6:$F$185,5,FALSE)),"",IF(VLOOKUP($F113,Declarations!$B$6:$F$185,5,FALSE)="","NOT DECLARED",VLOOKUP($F113,Declarations!$B$6:$F$185,5,FALSE)))</f>
        <v/>
      </c>
      <c r="E113" s="112" t="str">
        <f>IF(ISNA(VLOOKUP($F113,Declarations!$B$6:$D$185,3,FALSE)),"",IF(VLOOKUP($F113,Declarations!$B$6:$D$185,3,FALSE)="","NOT DECLARED",VLOOKUP($F113,Declarations!$B$6:$D$185,3,FALSE)&amp;LEFT(VLOOKUP($F113,Declarations!$B$6:$E$185,4,FALSE))))</f>
        <v/>
      </c>
      <c r="F113" s="20"/>
      <c r="G113" s="21"/>
      <c r="H113" s="281"/>
      <c r="I113" s="8" t="str">
        <f>IF(ISNA(VLOOKUP(F113,Declarations!B$6:C$185,2,FALSE)),"",IF(VLOOKUP(F113,Declarations!B$6:C$185,2,FALSE)="","NOT DECLARED",VLOOKUP(F113,Declarations!B$6:C$185,2,FALSE)))</f>
        <v/>
      </c>
      <c r="J113" s="2">
        <f>IF(LOWER(LEFT(G113,1))="n",1,VLOOKUP(G113,ScoringTable!E$2:I$95,5))</f>
        <v>0</v>
      </c>
      <c r="K113" s="112" t="str">
        <f>IF(OR(E113="",G113=""),"",IF(RIGHT(E113,1)="G",_xlfn.XLOOKUP(G113,Data!$D$13:$L$13,Data!$D$9:$L$9,"",-1,1),_xlfn.XLOOKUP(G113,Data!$D$6:$L$6,Data!$D$2:$L$2,"",-1,1)))</f>
        <v/>
      </c>
      <c r="L113" s="160" t="str" cm="1">
        <f t="array" ref="L113">IFERROR(_xlfn.IFNA(
                      _xlfn.IFS(
                      F113="", "",
                      AND(E113="U12B",G113&gt;=Data!$M$6), "U12 Boys record",
                      AND(E113="U12G",G113&gt;=Data!$M$13), "U12 Girls record"
                       ),""), "")</f>
        <v/>
      </c>
      <c r="M113" s="18" cm="1">
        <f t="array" ref="M113">_xlfn.IFS($G113="",0,AND(NOT(ISNUMBER($G113)),LOWER(LEFT($G113,1))&lt;&gt;"n"),"Not a valid distance",OR(LOWER(LEFT($G113,1))="n",$G113&lt;ScoringTable!$P$161),1,RIGHT($E113,1)="B",_xlfn.XLOOKUP($G113,ScoringTable!$P$2:$P$161,ScoringTable!$L$2:$L$161,,-1),TRUE,_xlfn.XLOOKUP($G113,ScoringTable!$V$2:$V$161,ScoringTable!$R$2:$R$161,,-1))</f>
        <v>0</v>
      </c>
    </row>
    <row r="114" spans="1:13" ht="16.05" customHeight="1">
      <c r="A114" s="80" t="s">
        <v>104</v>
      </c>
      <c r="B114" s="79" t="str">
        <f>IF(ISNA(VLOOKUP($F114,Declarations!B$6:C$185,2,FALSE)),"",IF(VLOOKUP($F114,Declarations!B$6:C$185,2,FALSE)="","NOT DECLARED",IF(ISNA(_xlfn.TEXTBEFORE(VLOOKUP($F114,Declarations!B$6:C$185,2,FALSE)," ")),VLOOKUP($F114,Declarations!B$6:C$185,2,FALSE),_xlfn.TEXTBEFORE(VLOOKUP($F114,Declarations!B$6:C$185,2,FALSE)," "))))</f>
        <v/>
      </c>
      <c r="C114" s="79" t="str">
        <f>IF(ISNA(VLOOKUP($F114,Declarations!B$6:C$185,2,FALSE)),"",IF(VLOOKUP($F114,Declarations!B$6:C$185,2,FALSE)="","NOT DECLARED",IF(ISNA(_xlfn.TEXTAFTER(VLOOKUP($F114,Declarations!B$6:C$185,2,FALSE)," ")),VLOOKUP($F114,Declarations!B$6:C$185,2,FALSE),_xlfn.TEXTAFTER(VLOOKUP($F114,Declarations!B$6:C$185,2,FALSE)," "))))</f>
        <v/>
      </c>
      <c r="D114" s="79" t="str">
        <f>IF(ISNA(VLOOKUP($F114,Declarations!$B$6:$F$185,5,FALSE)),"",IF(VLOOKUP($F114,Declarations!$B$6:$F$185,5,FALSE)="","NOT DECLARED",VLOOKUP($F114,Declarations!$B$6:$F$185,5,FALSE)))</f>
        <v/>
      </c>
      <c r="E114" s="112" t="str">
        <f>IF(ISNA(VLOOKUP($F114,Declarations!$B$6:$D$185,3,FALSE)),"",IF(VLOOKUP($F114,Declarations!$B$6:$D$185,3,FALSE)="","NOT DECLARED",VLOOKUP($F114,Declarations!$B$6:$D$185,3,FALSE)&amp;LEFT(VLOOKUP($F114,Declarations!$B$6:$E$185,4,FALSE))))</f>
        <v/>
      </c>
      <c r="F114" s="20"/>
      <c r="G114" s="21"/>
      <c r="H114" s="281"/>
      <c r="I114" s="8" t="str">
        <f>IF(ISNA(VLOOKUP(F114,Declarations!B$6:C$185,2,FALSE)),"",IF(VLOOKUP(F114,Declarations!B$6:C$185,2,FALSE)="","NOT DECLARED",VLOOKUP(F114,Declarations!B$6:C$185,2,FALSE)))</f>
        <v/>
      </c>
      <c r="J114" s="2">
        <f>IF(LOWER(LEFT(G114,1))="n",1,VLOOKUP(G114,ScoringTable!E$2:I$95,5))</f>
        <v>0</v>
      </c>
      <c r="K114" s="112" t="str">
        <f>IF(OR(E114="",G114=""),"",IF(RIGHT(E114,1)="G",_xlfn.XLOOKUP(G114,Data!$D$13:$L$13,Data!$D$9:$L$9,"",-1,1),_xlfn.XLOOKUP(G114,Data!$D$6:$L$6,Data!$D$2:$L$2,"",-1,1)))</f>
        <v/>
      </c>
      <c r="L114" s="160" t="str" cm="1">
        <f t="array" ref="L114">IFERROR(_xlfn.IFNA(
                      _xlfn.IFS(
                      F114="", "",
                      AND(E114="U12B",G114&gt;=Data!$M$6), "U12 Boys record",
                      AND(E114="U12G",G114&gt;=Data!$M$13), "U12 Girls record"
                       ),""), "")</f>
        <v/>
      </c>
      <c r="M114" s="18" cm="1">
        <f t="array" ref="M114">_xlfn.IFS($G114="",0,AND(NOT(ISNUMBER($G114)),LOWER(LEFT($G114,1))&lt;&gt;"n"),"Not a valid distance",OR(LOWER(LEFT($G114,1))="n",$G114&lt;ScoringTable!$P$161),1,RIGHT($E114,1)="B",_xlfn.XLOOKUP($G114,ScoringTable!$P$2:$P$161,ScoringTable!$L$2:$L$161,,-1),TRUE,_xlfn.XLOOKUP($G114,ScoringTable!$V$2:$V$161,ScoringTable!$R$2:$R$161,,-1))</f>
        <v>0</v>
      </c>
    </row>
    <row r="115" spans="1:13" ht="16.05" customHeight="1">
      <c r="A115" s="80" t="s">
        <v>104</v>
      </c>
      <c r="B115" s="79" t="str">
        <f>IF(ISNA(VLOOKUP($F115,Declarations!B$6:C$185,2,FALSE)),"",IF(VLOOKUP($F115,Declarations!B$6:C$185,2,FALSE)="","NOT DECLARED",IF(ISNA(_xlfn.TEXTBEFORE(VLOOKUP($F115,Declarations!B$6:C$185,2,FALSE)," ")),VLOOKUP($F115,Declarations!B$6:C$185,2,FALSE),_xlfn.TEXTBEFORE(VLOOKUP($F115,Declarations!B$6:C$185,2,FALSE)," "))))</f>
        <v/>
      </c>
      <c r="C115" s="79" t="str">
        <f>IF(ISNA(VLOOKUP($F115,Declarations!B$6:C$185,2,FALSE)),"",IF(VLOOKUP($F115,Declarations!B$6:C$185,2,FALSE)="","NOT DECLARED",IF(ISNA(_xlfn.TEXTAFTER(VLOOKUP($F115,Declarations!B$6:C$185,2,FALSE)," ")),VLOOKUP($F115,Declarations!B$6:C$185,2,FALSE),_xlfn.TEXTAFTER(VLOOKUP($F115,Declarations!B$6:C$185,2,FALSE)," "))))</f>
        <v/>
      </c>
      <c r="D115" s="79" t="str">
        <f>IF(ISNA(VLOOKUP($F115,Declarations!$B$6:$F$185,5,FALSE)),"",IF(VLOOKUP($F115,Declarations!$B$6:$F$185,5,FALSE)="","NOT DECLARED",VLOOKUP($F115,Declarations!$B$6:$F$185,5,FALSE)))</f>
        <v/>
      </c>
      <c r="E115" s="112" t="str">
        <f>IF(ISNA(VLOOKUP($F115,Declarations!$B$6:$D$185,3,FALSE)),"",IF(VLOOKUP($F115,Declarations!$B$6:$D$185,3,FALSE)="","NOT DECLARED",VLOOKUP($F115,Declarations!$B$6:$D$185,3,FALSE)&amp;LEFT(VLOOKUP($F115,Declarations!$B$6:$E$185,4,FALSE))))</f>
        <v/>
      </c>
      <c r="F115" s="20"/>
      <c r="G115" s="21"/>
      <c r="H115" s="281"/>
      <c r="I115" s="8" t="str">
        <f>IF(ISNA(VLOOKUP(F115,Declarations!B$6:C$185,2,FALSE)),"",IF(VLOOKUP(F115,Declarations!B$6:C$185,2,FALSE)="","NOT DECLARED",VLOOKUP(F115,Declarations!B$6:C$185,2,FALSE)))</f>
        <v/>
      </c>
      <c r="J115" s="2">
        <f>IF(LOWER(LEFT(G115,1))="n",1,VLOOKUP(G115,ScoringTable!E$2:I$95,5))</f>
        <v>0</v>
      </c>
      <c r="K115" s="112" t="str">
        <f>IF(OR(E115="",G115=""),"",IF(RIGHT(E115,1)="G",_xlfn.XLOOKUP(G115,Data!$D$13:$L$13,Data!$D$9:$L$9,"",-1,1),_xlfn.XLOOKUP(G115,Data!$D$6:$L$6,Data!$D$2:$L$2,"",-1,1)))</f>
        <v/>
      </c>
      <c r="L115" s="160" t="str" cm="1">
        <f t="array" ref="L115">IFERROR(_xlfn.IFNA(
                      _xlfn.IFS(
                      F115="", "",
                      AND(E115="U12B",G115&gt;=Data!$M$6), "U12 Boys record",
                      AND(E115="U12G",G115&gt;=Data!$M$13), "U12 Girls record"
                       ),""), "")</f>
        <v/>
      </c>
      <c r="M115" s="18" cm="1">
        <f t="array" ref="M115">_xlfn.IFS($G115="",0,AND(NOT(ISNUMBER($G115)),LOWER(LEFT($G115,1))&lt;&gt;"n"),"Not a valid distance",OR(LOWER(LEFT($G115,1))="n",$G115&lt;ScoringTable!$P$161),1,RIGHT($E115,1)="B",_xlfn.XLOOKUP($G115,ScoringTable!$P$2:$P$161,ScoringTable!$L$2:$L$161,,-1),TRUE,_xlfn.XLOOKUP($G115,ScoringTable!$V$2:$V$161,ScoringTable!$R$2:$R$161,,-1))</f>
        <v>0</v>
      </c>
    </row>
    <row r="116" spans="1:13" ht="16.05" customHeight="1">
      <c r="A116" s="80" t="s">
        <v>104</v>
      </c>
      <c r="B116" s="79" t="str">
        <f>IF(ISNA(VLOOKUP($F116,Declarations!B$6:C$185,2,FALSE)),"",IF(VLOOKUP($F116,Declarations!B$6:C$185,2,FALSE)="","NOT DECLARED",IF(ISNA(_xlfn.TEXTBEFORE(VLOOKUP($F116,Declarations!B$6:C$185,2,FALSE)," ")),VLOOKUP($F116,Declarations!B$6:C$185,2,FALSE),_xlfn.TEXTBEFORE(VLOOKUP($F116,Declarations!B$6:C$185,2,FALSE)," "))))</f>
        <v/>
      </c>
      <c r="C116" s="79" t="str">
        <f>IF(ISNA(VLOOKUP($F116,Declarations!B$6:C$185,2,FALSE)),"",IF(VLOOKUP($F116,Declarations!B$6:C$185,2,FALSE)="","NOT DECLARED",IF(ISNA(_xlfn.TEXTAFTER(VLOOKUP($F116,Declarations!B$6:C$185,2,FALSE)," ")),VLOOKUP($F116,Declarations!B$6:C$185,2,FALSE),_xlfn.TEXTAFTER(VLOOKUP($F116,Declarations!B$6:C$185,2,FALSE)," "))))</f>
        <v/>
      </c>
      <c r="D116" s="79" t="str">
        <f>IF(ISNA(VLOOKUP($F116,Declarations!$B$6:$F$185,5,FALSE)),"",IF(VLOOKUP($F116,Declarations!$B$6:$F$185,5,FALSE)="","NOT DECLARED",VLOOKUP($F116,Declarations!$B$6:$F$185,5,FALSE)))</f>
        <v/>
      </c>
      <c r="E116" s="112" t="str">
        <f>IF(ISNA(VLOOKUP($F116,Declarations!$B$6:$D$185,3,FALSE)),"",IF(VLOOKUP($F116,Declarations!$B$6:$D$185,3,FALSE)="","NOT DECLARED",VLOOKUP($F116,Declarations!$B$6:$D$185,3,FALSE)&amp;LEFT(VLOOKUP($F116,Declarations!$B$6:$E$185,4,FALSE))))</f>
        <v/>
      </c>
      <c r="F116" s="20"/>
      <c r="G116" s="21"/>
      <c r="H116" s="281"/>
      <c r="I116" s="8" t="str">
        <f>IF(ISNA(VLOOKUP(F116,Declarations!B$6:C$185,2,FALSE)),"",IF(VLOOKUP(F116,Declarations!B$6:C$185,2,FALSE)="","NOT DECLARED",VLOOKUP(F116,Declarations!B$6:C$185,2,FALSE)))</f>
        <v/>
      </c>
      <c r="J116" s="2">
        <f>IF(LOWER(LEFT(G116,1))="n",1,VLOOKUP(G116,ScoringTable!E$2:I$95,5))</f>
        <v>0</v>
      </c>
      <c r="K116" s="112" t="str">
        <f>IF(OR(E116="",G116=""),"",IF(RIGHT(E116,1)="G",_xlfn.XLOOKUP(G116,Data!$D$13:$L$13,Data!$D$9:$L$9,"",-1,1),_xlfn.XLOOKUP(G116,Data!$D$6:$L$6,Data!$D$2:$L$2,"",-1,1)))</f>
        <v/>
      </c>
      <c r="L116" s="160" t="str" cm="1">
        <f t="array" ref="L116">IFERROR(_xlfn.IFNA(
                      _xlfn.IFS(
                      F116="", "",
                      AND(E116="U12B",G116&gt;=Data!$M$6), "U12 Boys record",
                      AND(E116="U12G",G116&gt;=Data!$M$13), "U12 Girls record"
                       ),""), "")</f>
        <v/>
      </c>
      <c r="M116" s="18" cm="1">
        <f t="array" ref="M116">_xlfn.IFS($G116="",0,AND(NOT(ISNUMBER($G116)),LOWER(LEFT($G116,1))&lt;&gt;"n"),"Not a valid distance",OR(LOWER(LEFT($G116,1))="n",$G116&lt;ScoringTable!$P$161),1,RIGHT($E116,1)="B",_xlfn.XLOOKUP($G116,ScoringTable!$P$2:$P$161,ScoringTable!$L$2:$L$161,,-1),TRUE,_xlfn.XLOOKUP($G116,ScoringTable!$V$2:$V$161,ScoringTable!$R$2:$R$161,,-1))</f>
        <v>0</v>
      </c>
    </row>
    <row r="117" spans="1:13" ht="16.05" customHeight="1">
      <c r="A117" s="80" t="s">
        <v>104</v>
      </c>
      <c r="B117" s="79" t="str">
        <f>IF(ISNA(VLOOKUP($F117,Declarations!B$6:C$185,2,FALSE)),"",IF(VLOOKUP($F117,Declarations!B$6:C$185,2,FALSE)="","NOT DECLARED",IF(ISNA(_xlfn.TEXTBEFORE(VLOOKUP($F117,Declarations!B$6:C$185,2,FALSE)," ")),VLOOKUP($F117,Declarations!B$6:C$185,2,FALSE),_xlfn.TEXTBEFORE(VLOOKUP($F117,Declarations!B$6:C$185,2,FALSE)," "))))</f>
        <v/>
      </c>
      <c r="C117" s="79" t="str">
        <f>IF(ISNA(VLOOKUP($F117,Declarations!B$6:C$185,2,FALSE)),"",IF(VLOOKUP($F117,Declarations!B$6:C$185,2,FALSE)="","NOT DECLARED",IF(ISNA(_xlfn.TEXTAFTER(VLOOKUP($F117,Declarations!B$6:C$185,2,FALSE)," ")),VLOOKUP($F117,Declarations!B$6:C$185,2,FALSE),_xlfn.TEXTAFTER(VLOOKUP($F117,Declarations!B$6:C$185,2,FALSE)," "))))</f>
        <v/>
      </c>
      <c r="D117" s="79" t="str">
        <f>IF(ISNA(VLOOKUP($F117,Declarations!$B$6:$F$185,5,FALSE)),"",IF(VLOOKUP($F117,Declarations!$B$6:$F$185,5,FALSE)="","NOT DECLARED",VLOOKUP($F117,Declarations!$B$6:$F$185,5,FALSE)))</f>
        <v/>
      </c>
      <c r="E117" s="112" t="str">
        <f>IF(ISNA(VLOOKUP($F117,Declarations!$B$6:$D$185,3,FALSE)),"",IF(VLOOKUP($F117,Declarations!$B$6:$D$185,3,FALSE)="","NOT DECLARED",VLOOKUP($F117,Declarations!$B$6:$D$185,3,FALSE)&amp;LEFT(VLOOKUP($F117,Declarations!$B$6:$E$185,4,FALSE))))</f>
        <v/>
      </c>
      <c r="F117" s="20"/>
      <c r="G117" s="21"/>
      <c r="H117" s="281"/>
      <c r="I117" s="8" t="str">
        <f>IF(ISNA(VLOOKUP(F117,Declarations!B$6:C$185,2,FALSE)),"",IF(VLOOKUP(F117,Declarations!B$6:C$185,2,FALSE)="","NOT DECLARED",VLOOKUP(F117,Declarations!B$6:C$185,2,FALSE)))</f>
        <v/>
      </c>
      <c r="J117" s="2">
        <f>IF(LOWER(LEFT(G117,1))="n",1,VLOOKUP(G117,ScoringTable!E$2:I$95,5))</f>
        <v>0</v>
      </c>
      <c r="K117" s="112" t="str">
        <f>IF(OR(E117="",G117=""),"",IF(RIGHT(E117,1)="G",_xlfn.XLOOKUP(G117,Data!$D$13:$L$13,Data!$D$9:$L$9,"",-1,1),_xlfn.XLOOKUP(G117,Data!$D$6:$L$6,Data!$D$2:$L$2,"",-1,1)))</f>
        <v/>
      </c>
      <c r="L117" s="160" t="str" cm="1">
        <f t="array" ref="L117">IFERROR(_xlfn.IFNA(
                      _xlfn.IFS(
                      F117="", "",
                      AND(E117="U12B",G117&gt;=Data!$M$6), "U12 Boys record",
                      AND(E117="U12G",G117&gt;=Data!$M$13), "U12 Girls record"
                       ),""), "")</f>
        <v/>
      </c>
      <c r="M117" s="18" cm="1">
        <f t="array" ref="M117">_xlfn.IFS($G117="",0,AND(NOT(ISNUMBER($G117)),LOWER(LEFT($G117,1))&lt;&gt;"n"),"Not a valid distance",OR(LOWER(LEFT($G117,1))="n",$G117&lt;ScoringTable!$P$161),1,RIGHT($E117,1)="B",_xlfn.XLOOKUP($G117,ScoringTable!$P$2:$P$161,ScoringTable!$L$2:$L$161,,-1),TRUE,_xlfn.XLOOKUP($G117,ScoringTable!$V$2:$V$161,ScoringTable!$R$2:$R$161,,-1))</f>
        <v>0</v>
      </c>
    </row>
    <row r="118" spans="1:13" ht="16.05" customHeight="1">
      <c r="A118" s="80" t="s">
        <v>104</v>
      </c>
      <c r="B118" s="79" t="str">
        <f>IF(ISNA(VLOOKUP($F118,Declarations!B$6:C$185,2,FALSE)),"",IF(VLOOKUP($F118,Declarations!B$6:C$185,2,FALSE)="","NOT DECLARED",IF(ISNA(_xlfn.TEXTBEFORE(VLOOKUP($F118,Declarations!B$6:C$185,2,FALSE)," ")),VLOOKUP($F118,Declarations!B$6:C$185,2,FALSE),_xlfn.TEXTBEFORE(VLOOKUP($F118,Declarations!B$6:C$185,2,FALSE)," "))))</f>
        <v/>
      </c>
      <c r="C118" s="79" t="str">
        <f>IF(ISNA(VLOOKUP($F118,Declarations!B$6:C$185,2,FALSE)),"",IF(VLOOKUP($F118,Declarations!B$6:C$185,2,FALSE)="","NOT DECLARED",IF(ISNA(_xlfn.TEXTAFTER(VLOOKUP($F118,Declarations!B$6:C$185,2,FALSE)," ")),VLOOKUP($F118,Declarations!B$6:C$185,2,FALSE),_xlfn.TEXTAFTER(VLOOKUP($F118,Declarations!B$6:C$185,2,FALSE)," "))))</f>
        <v/>
      </c>
      <c r="D118" s="79" t="str">
        <f>IF(ISNA(VLOOKUP($F118,Declarations!$B$6:$F$185,5,FALSE)),"",IF(VLOOKUP($F118,Declarations!$B$6:$F$185,5,FALSE)="","NOT DECLARED",VLOOKUP($F118,Declarations!$B$6:$F$185,5,FALSE)))</f>
        <v/>
      </c>
      <c r="E118" s="112" t="str">
        <f>IF(ISNA(VLOOKUP($F118,Declarations!$B$6:$D$185,3,FALSE)),"",IF(VLOOKUP($F118,Declarations!$B$6:$D$185,3,FALSE)="","NOT DECLARED",VLOOKUP($F118,Declarations!$B$6:$D$185,3,FALSE)&amp;LEFT(VLOOKUP($F118,Declarations!$B$6:$E$185,4,FALSE))))</f>
        <v/>
      </c>
      <c r="F118" s="20"/>
      <c r="G118" s="21"/>
      <c r="H118" s="281"/>
      <c r="I118" s="8" t="str">
        <f>IF(ISNA(VLOOKUP(F118,Declarations!B$6:C$185,2,FALSE)),"",IF(VLOOKUP(F118,Declarations!B$6:C$185,2,FALSE)="","NOT DECLARED",VLOOKUP(F118,Declarations!B$6:C$185,2,FALSE)))</f>
        <v/>
      </c>
      <c r="J118" s="2">
        <f>IF(LOWER(LEFT(G118,1))="n",1,VLOOKUP(G118,ScoringTable!E$2:I$95,5))</f>
        <v>0</v>
      </c>
      <c r="K118" s="112" t="str">
        <f>IF(OR(E118="",G118=""),"",IF(RIGHT(E118,1)="G",_xlfn.XLOOKUP(G118,Data!$D$13:$L$13,Data!$D$9:$L$9,"",-1,1),_xlfn.XLOOKUP(G118,Data!$D$6:$L$6,Data!$D$2:$L$2,"",-1,1)))</f>
        <v/>
      </c>
      <c r="L118" s="160" t="str" cm="1">
        <f t="array" ref="L118">IFERROR(_xlfn.IFNA(
                      _xlfn.IFS(
                      F118="", "",
                      AND(E118="U12B",G118&gt;=Data!$M$6), "U12 Boys record",
                      AND(E118="U12G",G118&gt;=Data!$M$13), "U12 Girls record"
                       ),""), "")</f>
        <v/>
      </c>
      <c r="M118" s="18" cm="1">
        <f t="array" ref="M118">_xlfn.IFS($G118="",0,AND(NOT(ISNUMBER($G118)),LOWER(LEFT($G118,1))&lt;&gt;"n"),"Not a valid distance",OR(LOWER(LEFT($G118,1))="n",$G118&lt;ScoringTable!$P$161),1,RIGHT($E118,1)="B",_xlfn.XLOOKUP($G118,ScoringTable!$P$2:$P$161,ScoringTable!$L$2:$L$161,,-1),TRUE,_xlfn.XLOOKUP($G118,ScoringTable!$V$2:$V$161,ScoringTable!$R$2:$R$161,,-1))</f>
        <v>0</v>
      </c>
    </row>
    <row r="119" spans="1:13" ht="16.05" customHeight="1">
      <c r="A119" s="80" t="s">
        <v>104</v>
      </c>
      <c r="B119" s="79" t="str">
        <f>IF(ISNA(VLOOKUP($F119,Declarations!B$6:C$185,2,FALSE)),"",IF(VLOOKUP($F119,Declarations!B$6:C$185,2,FALSE)="","NOT DECLARED",IF(ISNA(_xlfn.TEXTBEFORE(VLOOKUP($F119,Declarations!B$6:C$185,2,FALSE)," ")),VLOOKUP($F119,Declarations!B$6:C$185,2,FALSE),_xlfn.TEXTBEFORE(VLOOKUP($F119,Declarations!B$6:C$185,2,FALSE)," "))))</f>
        <v/>
      </c>
      <c r="C119" s="79" t="str">
        <f>IF(ISNA(VLOOKUP($F119,Declarations!B$6:C$185,2,FALSE)),"",IF(VLOOKUP($F119,Declarations!B$6:C$185,2,FALSE)="","NOT DECLARED",IF(ISNA(_xlfn.TEXTAFTER(VLOOKUP($F119,Declarations!B$6:C$185,2,FALSE)," ")),VLOOKUP($F119,Declarations!B$6:C$185,2,FALSE),_xlfn.TEXTAFTER(VLOOKUP($F119,Declarations!B$6:C$185,2,FALSE)," "))))</f>
        <v/>
      </c>
      <c r="D119" s="79" t="str">
        <f>IF(ISNA(VLOOKUP($F119,Declarations!$B$6:$F$185,5,FALSE)),"",IF(VLOOKUP($F119,Declarations!$B$6:$F$185,5,FALSE)="","NOT DECLARED",VLOOKUP($F119,Declarations!$B$6:$F$185,5,FALSE)))</f>
        <v/>
      </c>
      <c r="E119" s="112" t="str">
        <f>IF(ISNA(VLOOKUP($F119,Declarations!$B$6:$D$185,3,FALSE)),"",IF(VLOOKUP($F119,Declarations!$B$6:$D$185,3,FALSE)="","NOT DECLARED",VLOOKUP($F119,Declarations!$B$6:$D$185,3,FALSE)&amp;LEFT(VLOOKUP($F119,Declarations!$B$6:$E$185,4,FALSE))))</f>
        <v/>
      </c>
      <c r="F119" s="20"/>
      <c r="G119" s="21"/>
      <c r="H119" s="281"/>
      <c r="I119" s="8" t="str">
        <f>IF(ISNA(VLOOKUP(F119,Declarations!B$6:C$185,2,FALSE)),"",IF(VLOOKUP(F119,Declarations!B$6:C$185,2,FALSE)="","NOT DECLARED",VLOOKUP(F119,Declarations!B$6:C$185,2,FALSE)))</f>
        <v/>
      </c>
      <c r="J119" s="2">
        <f>IF(LOWER(LEFT(G119,1))="n",1,VLOOKUP(G119,ScoringTable!E$2:I$95,5))</f>
        <v>0</v>
      </c>
      <c r="K119" s="112" t="str">
        <f>IF(OR(E119="",G119=""),"",IF(RIGHT(E119,1)="G",_xlfn.XLOOKUP(G119,Data!$D$13:$L$13,Data!$D$9:$L$9,"",-1,1),_xlfn.XLOOKUP(G119,Data!$D$6:$L$6,Data!$D$2:$L$2,"",-1,1)))</f>
        <v/>
      </c>
      <c r="L119" s="160" t="str" cm="1">
        <f t="array" ref="L119">IFERROR(_xlfn.IFNA(
                      _xlfn.IFS(
                      F119="", "",
                      AND(E119="U12B",G119&gt;=Data!$M$6), "U12 Boys record",
                      AND(E119="U12G",G119&gt;=Data!$M$13), "U12 Girls record"
                       ),""), "")</f>
        <v/>
      </c>
      <c r="M119" s="18" cm="1">
        <f t="array" ref="M119">_xlfn.IFS($G119="",0,AND(NOT(ISNUMBER($G119)),LOWER(LEFT($G119,1))&lt;&gt;"n"),"Not a valid distance",OR(LOWER(LEFT($G119,1))="n",$G119&lt;ScoringTable!$P$161),1,RIGHT($E119,1)="B",_xlfn.XLOOKUP($G119,ScoringTable!$P$2:$P$161,ScoringTable!$L$2:$L$161,,-1),TRUE,_xlfn.XLOOKUP($G119,ScoringTable!$V$2:$V$161,ScoringTable!$R$2:$R$161,,-1))</f>
        <v>0</v>
      </c>
    </row>
    <row r="120" spans="1:13" ht="16.05" customHeight="1">
      <c r="A120" s="80" t="s">
        <v>104</v>
      </c>
      <c r="B120" s="79" t="str">
        <f>IF(ISNA(VLOOKUP($F120,Declarations!B$6:C$185,2,FALSE)),"",IF(VLOOKUP($F120,Declarations!B$6:C$185,2,FALSE)="","NOT DECLARED",IF(ISNA(_xlfn.TEXTBEFORE(VLOOKUP($F120,Declarations!B$6:C$185,2,FALSE)," ")),VLOOKUP($F120,Declarations!B$6:C$185,2,FALSE),_xlfn.TEXTBEFORE(VLOOKUP($F120,Declarations!B$6:C$185,2,FALSE)," "))))</f>
        <v/>
      </c>
      <c r="C120" s="79" t="str">
        <f>IF(ISNA(VLOOKUP($F120,Declarations!B$6:C$185,2,FALSE)),"",IF(VLOOKUP($F120,Declarations!B$6:C$185,2,FALSE)="","NOT DECLARED",IF(ISNA(_xlfn.TEXTAFTER(VLOOKUP($F120,Declarations!B$6:C$185,2,FALSE)," ")),VLOOKUP($F120,Declarations!B$6:C$185,2,FALSE),_xlfn.TEXTAFTER(VLOOKUP($F120,Declarations!B$6:C$185,2,FALSE)," "))))</f>
        <v/>
      </c>
      <c r="D120" s="79" t="str">
        <f>IF(ISNA(VLOOKUP($F120,Declarations!$B$6:$F$185,5,FALSE)),"",IF(VLOOKUP($F120,Declarations!$B$6:$F$185,5,FALSE)="","NOT DECLARED",VLOOKUP($F120,Declarations!$B$6:$F$185,5,FALSE)))</f>
        <v/>
      </c>
      <c r="E120" s="112" t="str">
        <f>IF(ISNA(VLOOKUP($F120,Declarations!$B$6:$D$185,3,FALSE)),"",IF(VLOOKUP($F120,Declarations!$B$6:$D$185,3,FALSE)="","NOT DECLARED",VLOOKUP($F120,Declarations!$B$6:$D$185,3,FALSE)&amp;LEFT(VLOOKUP($F120,Declarations!$B$6:$E$185,4,FALSE))))</f>
        <v/>
      </c>
      <c r="F120" s="20"/>
      <c r="G120" s="21"/>
      <c r="H120" s="281"/>
      <c r="I120" s="8" t="str">
        <f>IF(ISNA(VLOOKUP(F120,Declarations!B$6:C$185,2,FALSE)),"",IF(VLOOKUP(F120,Declarations!B$6:C$185,2,FALSE)="","NOT DECLARED",VLOOKUP(F120,Declarations!B$6:C$185,2,FALSE)))</f>
        <v/>
      </c>
      <c r="J120" s="2">
        <f>IF(LOWER(LEFT(G120,1))="n",1,VLOOKUP(G120,ScoringTable!E$2:I$95,5))</f>
        <v>0</v>
      </c>
      <c r="K120" s="112" t="str">
        <f>IF(OR(E120="",G120=""),"",IF(RIGHT(E120,1)="G",_xlfn.XLOOKUP(G120,Data!$D$13:$L$13,Data!$D$9:$L$9,"",-1,1),_xlfn.XLOOKUP(G120,Data!$D$6:$L$6,Data!$D$2:$L$2,"",-1,1)))</f>
        <v/>
      </c>
      <c r="L120" s="160" t="str" cm="1">
        <f t="array" ref="L120">IFERROR(_xlfn.IFNA(
                      _xlfn.IFS(
                      F120="", "",
                      AND(E120="U12B",G120&gt;=Data!$M$6), "U12 Boys record",
                      AND(E120="U12G",G120&gt;=Data!$M$13), "U12 Girls record"
                       ),""), "")</f>
        <v/>
      </c>
      <c r="M120" s="18" cm="1">
        <f t="array" ref="M120">_xlfn.IFS($G120="",0,AND(NOT(ISNUMBER($G120)),LOWER(LEFT($G120,1))&lt;&gt;"n"),"Not a valid distance",OR(LOWER(LEFT($G120,1))="n",$G120&lt;ScoringTable!$P$161),1,RIGHT($E120,1)="B",_xlfn.XLOOKUP($G120,ScoringTable!$P$2:$P$161,ScoringTable!$L$2:$L$161,,-1),TRUE,_xlfn.XLOOKUP($G120,ScoringTable!$V$2:$V$161,ScoringTable!$R$2:$R$161,,-1))</f>
        <v>0</v>
      </c>
    </row>
    <row r="121" spans="1:13" ht="16.05" customHeight="1">
      <c r="A121" s="80" t="s">
        <v>104</v>
      </c>
      <c r="B121" s="79" t="str">
        <f>IF(ISNA(VLOOKUP($F121,Declarations!B$6:C$185,2,FALSE)),"",IF(VLOOKUP($F121,Declarations!B$6:C$185,2,FALSE)="","NOT DECLARED",IF(ISNA(_xlfn.TEXTBEFORE(VLOOKUP($F121,Declarations!B$6:C$185,2,FALSE)," ")),VLOOKUP($F121,Declarations!B$6:C$185,2,FALSE),_xlfn.TEXTBEFORE(VLOOKUP($F121,Declarations!B$6:C$185,2,FALSE)," "))))</f>
        <v/>
      </c>
      <c r="C121" s="79" t="str">
        <f>IF(ISNA(VLOOKUP($F121,Declarations!B$6:C$185,2,FALSE)),"",IF(VLOOKUP($F121,Declarations!B$6:C$185,2,FALSE)="","NOT DECLARED",IF(ISNA(_xlfn.TEXTAFTER(VLOOKUP($F121,Declarations!B$6:C$185,2,FALSE)," ")),VLOOKUP($F121,Declarations!B$6:C$185,2,FALSE),_xlfn.TEXTAFTER(VLOOKUP($F121,Declarations!B$6:C$185,2,FALSE)," "))))</f>
        <v/>
      </c>
      <c r="D121" s="79" t="str">
        <f>IF(ISNA(VLOOKUP($F121,Declarations!$B$6:$F$185,5,FALSE)),"",IF(VLOOKUP($F121,Declarations!$B$6:$F$185,5,FALSE)="","NOT DECLARED",VLOOKUP($F121,Declarations!$B$6:$F$185,5,FALSE)))</f>
        <v/>
      </c>
      <c r="E121" s="112" t="str">
        <f>IF(ISNA(VLOOKUP($F121,Declarations!$B$6:$D$185,3,FALSE)),"",IF(VLOOKUP($F121,Declarations!$B$6:$D$185,3,FALSE)="","NOT DECLARED",VLOOKUP($F121,Declarations!$B$6:$D$185,3,FALSE)&amp;LEFT(VLOOKUP($F121,Declarations!$B$6:$E$185,4,FALSE))))</f>
        <v/>
      </c>
      <c r="F121" s="20"/>
      <c r="G121" s="21"/>
      <c r="H121" s="281"/>
      <c r="I121" s="8" t="str">
        <f>IF(ISNA(VLOOKUP(F121,Declarations!B$6:C$185,2,FALSE)),"",IF(VLOOKUP(F121,Declarations!B$6:C$185,2,FALSE)="","NOT DECLARED",VLOOKUP(F121,Declarations!B$6:C$185,2,FALSE)))</f>
        <v/>
      </c>
      <c r="J121" s="2">
        <f>IF(LOWER(LEFT(G121,1))="n",1,VLOOKUP(G121,ScoringTable!E$2:I$95,5))</f>
        <v>0</v>
      </c>
      <c r="K121" s="112" t="str">
        <f>IF(OR(E121="",G121=""),"",IF(RIGHT(E121,1)="G",_xlfn.XLOOKUP(G121,Data!$D$13:$L$13,Data!$D$9:$L$9,"",-1,1),_xlfn.XLOOKUP(G121,Data!$D$6:$L$6,Data!$D$2:$L$2,"",-1,1)))</f>
        <v/>
      </c>
      <c r="L121" s="160" t="str" cm="1">
        <f t="array" ref="L121">IFERROR(_xlfn.IFNA(
                      _xlfn.IFS(
                      F121="", "",
                      AND(E121="U12B",G121&gt;=Data!$M$6), "U12 Boys record",
                      AND(E121="U12G",G121&gt;=Data!$M$13), "U12 Girls record"
                       ),""), "")</f>
        <v/>
      </c>
      <c r="M121" s="18" cm="1">
        <f t="array" ref="M121">_xlfn.IFS($G121="",0,AND(NOT(ISNUMBER($G121)),LOWER(LEFT($G121,1))&lt;&gt;"n"),"Not a valid distance",OR(LOWER(LEFT($G121,1))="n",$G121&lt;ScoringTable!$P$161),1,RIGHT($E121,1)="B",_xlfn.XLOOKUP($G121,ScoringTable!$P$2:$P$161,ScoringTable!$L$2:$L$161,,-1),TRUE,_xlfn.XLOOKUP($G121,ScoringTable!$V$2:$V$161,ScoringTable!$R$2:$R$161,,-1))</f>
        <v>0</v>
      </c>
    </row>
    <row r="122" spans="1:13" ht="16.05" customHeight="1">
      <c r="A122" s="80" t="s">
        <v>104</v>
      </c>
      <c r="B122" s="79" t="str">
        <f>IF(ISNA(VLOOKUP($F122,Declarations!B$6:C$185,2,FALSE)),"",IF(VLOOKUP($F122,Declarations!B$6:C$185,2,FALSE)="","NOT DECLARED",IF(ISNA(_xlfn.TEXTBEFORE(VLOOKUP($F122,Declarations!B$6:C$185,2,FALSE)," ")),VLOOKUP($F122,Declarations!B$6:C$185,2,FALSE),_xlfn.TEXTBEFORE(VLOOKUP($F122,Declarations!B$6:C$185,2,FALSE)," "))))</f>
        <v/>
      </c>
      <c r="C122" s="79" t="str">
        <f>IF(ISNA(VLOOKUP($F122,Declarations!B$6:C$185,2,FALSE)),"",IF(VLOOKUP($F122,Declarations!B$6:C$185,2,FALSE)="","NOT DECLARED",IF(ISNA(_xlfn.TEXTAFTER(VLOOKUP($F122,Declarations!B$6:C$185,2,FALSE)," ")),VLOOKUP($F122,Declarations!B$6:C$185,2,FALSE),_xlfn.TEXTAFTER(VLOOKUP($F122,Declarations!B$6:C$185,2,FALSE)," "))))</f>
        <v/>
      </c>
      <c r="D122" s="79" t="str">
        <f>IF(ISNA(VLOOKUP($F122,Declarations!$B$6:$F$185,5,FALSE)),"",IF(VLOOKUP($F122,Declarations!$B$6:$F$185,5,FALSE)="","NOT DECLARED",VLOOKUP($F122,Declarations!$B$6:$F$185,5,FALSE)))</f>
        <v/>
      </c>
      <c r="E122" s="112" t="str">
        <f>IF(ISNA(VLOOKUP($F122,Declarations!$B$6:$D$185,3,FALSE)),"",IF(VLOOKUP($F122,Declarations!$B$6:$D$185,3,FALSE)="","NOT DECLARED",VLOOKUP($F122,Declarations!$B$6:$D$185,3,FALSE)&amp;LEFT(VLOOKUP($F122,Declarations!$B$6:$E$185,4,FALSE))))</f>
        <v/>
      </c>
      <c r="F122" s="20"/>
      <c r="G122" s="21"/>
      <c r="H122" s="281"/>
      <c r="I122" s="8" t="str">
        <f>IF(ISNA(VLOOKUP(F122,Declarations!B$6:C$185,2,FALSE)),"",IF(VLOOKUP(F122,Declarations!B$6:C$185,2,FALSE)="","NOT DECLARED",VLOOKUP(F122,Declarations!B$6:C$185,2,FALSE)))</f>
        <v/>
      </c>
      <c r="J122" s="2">
        <f>IF(LOWER(LEFT(G122,1))="n",1,VLOOKUP(G122,ScoringTable!E$2:I$95,5))</f>
        <v>0</v>
      </c>
      <c r="K122" s="112" t="str">
        <f>IF(OR(E122="",G122=""),"",IF(RIGHT(E122,1)="G",_xlfn.XLOOKUP(G122,Data!$D$13:$L$13,Data!$D$9:$L$9,"",-1,1),_xlfn.XLOOKUP(G122,Data!$D$6:$L$6,Data!$D$2:$L$2,"",-1,1)))</f>
        <v/>
      </c>
      <c r="L122" s="160" t="str" cm="1">
        <f t="array" ref="L122">IFERROR(_xlfn.IFNA(
                      _xlfn.IFS(
                      F122="", "",
                      AND(E122="U12B",G122&gt;=Data!$M$6), "U12 Boys record",
                      AND(E122="U12G",G122&gt;=Data!$M$13), "U12 Girls record"
                       ),""), "")</f>
        <v/>
      </c>
      <c r="M122" s="18" cm="1">
        <f t="array" ref="M122">_xlfn.IFS($G122="",0,AND(NOT(ISNUMBER($G122)),LOWER(LEFT($G122,1))&lt;&gt;"n"),"Not a valid distance",OR(LOWER(LEFT($G122,1))="n",$G122&lt;ScoringTable!$P$161),1,RIGHT($E122,1)="B",_xlfn.XLOOKUP($G122,ScoringTable!$P$2:$P$161,ScoringTable!$L$2:$L$161,,-1),TRUE,_xlfn.XLOOKUP($G122,ScoringTable!$V$2:$V$161,ScoringTable!$R$2:$R$161,,-1))</f>
        <v>0</v>
      </c>
    </row>
    <row r="123" spans="1:13" ht="16.05" customHeight="1">
      <c r="A123" s="80" t="s">
        <v>104</v>
      </c>
      <c r="B123" s="79" t="str">
        <f>IF(ISNA(VLOOKUP($F123,Declarations!B$6:C$185,2,FALSE)),"",IF(VLOOKUP($F123,Declarations!B$6:C$185,2,FALSE)="","NOT DECLARED",IF(ISNA(_xlfn.TEXTBEFORE(VLOOKUP($F123,Declarations!B$6:C$185,2,FALSE)," ")),VLOOKUP($F123,Declarations!B$6:C$185,2,FALSE),_xlfn.TEXTBEFORE(VLOOKUP($F123,Declarations!B$6:C$185,2,FALSE)," "))))</f>
        <v/>
      </c>
      <c r="C123" s="79" t="str">
        <f>IF(ISNA(VLOOKUP($F123,Declarations!B$6:C$185,2,FALSE)),"",IF(VLOOKUP($F123,Declarations!B$6:C$185,2,FALSE)="","NOT DECLARED",IF(ISNA(_xlfn.TEXTAFTER(VLOOKUP($F123,Declarations!B$6:C$185,2,FALSE)," ")),VLOOKUP($F123,Declarations!B$6:C$185,2,FALSE),_xlfn.TEXTAFTER(VLOOKUP($F123,Declarations!B$6:C$185,2,FALSE)," "))))</f>
        <v/>
      </c>
      <c r="D123" s="79" t="str">
        <f>IF(ISNA(VLOOKUP($F123,Declarations!$B$6:$F$185,5,FALSE)),"",IF(VLOOKUP($F123,Declarations!$B$6:$F$185,5,FALSE)="","NOT DECLARED",VLOOKUP($F123,Declarations!$B$6:$F$185,5,FALSE)))</f>
        <v/>
      </c>
      <c r="E123" s="112" t="str">
        <f>IF(ISNA(VLOOKUP($F123,Declarations!$B$6:$D$185,3,FALSE)),"",IF(VLOOKUP($F123,Declarations!$B$6:$D$185,3,FALSE)="","NOT DECLARED",VLOOKUP($F123,Declarations!$B$6:$D$185,3,FALSE)&amp;LEFT(VLOOKUP($F123,Declarations!$B$6:$E$185,4,FALSE))))</f>
        <v/>
      </c>
      <c r="F123" s="20"/>
      <c r="G123" s="21"/>
      <c r="H123" s="281"/>
      <c r="I123" s="8" t="str">
        <f>IF(ISNA(VLOOKUP(F123,Declarations!B$6:C$185,2,FALSE)),"",IF(VLOOKUP(F123,Declarations!B$6:C$185,2,FALSE)="","NOT DECLARED",VLOOKUP(F123,Declarations!B$6:C$185,2,FALSE)))</f>
        <v/>
      </c>
      <c r="J123" s="2">
        <f>IF(LOWER(LEFT(G123,1))="n",1,VLOOKUP(G123,ScoringTable!E$2:I$95,5))</f>
        <v>0</v>
      </c>
      <c r="K123" s="112" t="str">
        <f>IF(OR(E123="",G123=""),"",IF(RIGHT(E123,1)="G",_xlfn.XLOOKUP(G123,Data!$D$13:$L$13,Data!$D$9:$L$9,"",-1,1),_xlfn.XLOOKUP(G123,Data!$D$6:$L$6,Data!$D$2:$L$2,"",-1,1)))</f>
        <v/>
      </c>
      <c r="L123" s="160" t="str" cm="1">
        <f t="array" ref="L123">IFERROR(_xlfn.IFNA(
                      _xlfn.IFS(
                      F123="", "",
                      AND(E123="U12B",G123&gt;=Data!$M$6), "U12 Boys record",
                      AND(E123="U12G",G123&gt;=Data!$M$13), "U12 Girls record"
                       ),""), "")</f>
        <v/>
      </c>
      <c r="M123" s="18" cm="1">
        <f t="array" ref="M123">_xlfn.IFS($G123="",0,AND(NOT(ISNUMBER($G123)),LOWER(LEFT($G123,1))&lt;&gt;"n"),"Not a valid distance",OR(LOWER(LEFT($G123,1))="n",$G123&lt;ScoringTable!$P$161),1,RIGHT($E123,1)="B",_xlfn.XLOOKUP($G123,ScoringTable!$P$2:$P$161,ScoringTable!$L$2:$L$161,,-1),TRUE,_xlfn.XLOOKUP($G123,ScoringTable!$V$2:$V$161,ScoringTable!$R$2:$R$161,,-1))</f>
        <v>0</v>
      </c>
    </row>
    <row r="124" spans="1:13" ht="16.05" customHeight="1">
      <c r="A124" s="80" t="s">
        <v>104</v>
      </c>
      <c r="B124" s="79" t="str">
        <f>IF(ISNA(VLOOKUP($F124,Declarations!B$6:C$185,2,FALSE)),"",IF(VLOOKUP($F124,Declarations!B$6:C$185,2,FALSE)="","NOT DECLARED",IF(ISNA(_xlfn.TEXTBEFORE(VLOOKUP($F124,Declarations!B$6:C$185,2,FALSE)," ")),VLOOKUP($F124,Declarations!B$6:C$185,2,FALSE),_xlfn.TEXTBEFORE(VLOOKUP($F124,Declarations!B$6:C$185,2,FALSE)," "))))</f>
        <v/>
      </c>
      <c r="C124" s="79" t="str">
        <f>IF(ISNA(VLOOKUP($F124,Declarations!B$6:C$185,2,FALSE)),"",IF(VLOOKUP($F124,Declarations!B$6:C$185,2,FALSE)="","NOT DECLARED",IF(ISNA(_xlfn.TEXTAFTER(VLOOKUP($F124,Declarations!B$6:C$185,2,FALSE)," ")),VLOOKUP($F124,Declarations!B$6:C$185,2,FALSE),_xlfn.TEXTAFTER(VLOOKUP($F124,Declarations!B$6:C$185,2,FALSE)," "))))</f>
        <v/>
      </c>
      <c r="D124" s="79" t="str">
        <f>IF(ISNA(VLOOKUP($F124,Declarations!$B$6:$F$185,5,FALSE)),"",IF(VLOOKUP($F124,Declarations!$B$6:$F$185,5,FALSE)="","NOT DECLARED",VLOOKUP($F124,Declarations!$B$6:$F$185,5,FALSE)))</f>
        <v/>
      </c>
      <c r="E124" s="112" t="str">
        <f>IF(ISNA(VLOOKUP($F124,Declarations!$B$6:$D$185,3,FALSE)),"",IF(VLOOKUP($F124,Declarations!$B$6:$D$185,3,FALSE)="","NOT DECLARED",VLOOKUP($F124,Declarations!$B$6:$D$185,3,FALSE)&amp;LEFT(VLOOKUP($F124,Declarations!$B$6:$E$185,4,FALSE))))</f>
        <v/>
      </c>
      <c r="F124" s="20"/>
      <c r="G124" s="21"/>
      <c r="H124" s="281"/>
      <c r="I124" s="8" t="str">
        <f>IF(ISNA(VLOOKUP(F124,Declarations!B$6:C$185,2,FALSE)),"",IF(VLOOKUP(F124,Declarations!B$6:C$185,2,FALSE)="","NOT DECLARED",VLOOKUP(F124,Declarations!B$6:C$185,2,FALSE)))</f>
        <v/>
      </c>
      <c r="J124" s="2">
        <f>IF(LOWER(LEFT(G124,1))="n",1,VLOOKUP(G124,ScoringTable!E$2:I$95,5))</f>
        <v>0</v>
      </c>
      <c r="K124" s="112" t="str">
        <f>IF(OR(E124="",G124=""),"",IF(RIGHT(E124,1)="G",_xlfn.XLOOKUP(G124,Data!$D$13:$L$13,Data!$D$9:$L$9,"",-1,1),_xlfn.XLOOKUP(G124,Data!$D$6:$L$6,Data!$D$2:$L$2,"",-1,1)))</f>
        <v/>
      </c>
      <c r="L124" s="160" t="str" cm="1">
        <f t="array" ref="L124">IFERROR(_xlfn.IFNA(
                      _xlfn.IFS(
                      F124="", "",
                      AND(E124="U12B",G124&gt;=Data!$M$6), "U12 Boys record",
                      AND(E124="U12G",G124&gt;=Data!$M$13), "U12 Girls record"
                       ),""), "")</f>
        <v/>
      </c>
      <c r="M124" s="18" cm="1">
        <f t="array" ref="M124">_xlfn.IFS($G124="",0,AND(NOT(ISNUMBER($G124)),LOWER(LEFT($G124,1))&lt;&gt;"n"),"Not a valid distance",OR(LOWER(LEFT($G124,1))="n",$G124&lt;ScoringTable!$P$161),1,RIGHT($E124,1)="B",_xlfn.XLOOKUP($G124,ScoringTable!$P$2:$P$161,ScoringTable!$L$2:$L$161,,-1),TRUE,_xlfn.XLOOKUP($G124,ScoringTable!$V$2:$V$161,ScoringTable!$R$2:$R$161,,-1))</f>
        <v>0</v>
      </c>
    </row>
    <row r="125" spans="1:13" ht="16.05" customHeight="1">
      <c r="A125" s="80" t="s">
        <v>104</v>
      </c>
      <c r="B125" s="79" t="str">
        <f>IF(ISNA(VLOOKUP($F125,Declarations!B$6:C$185,2,FALSE)),"",IF(VLOOKUP($F125,Declarations!B$6:C$185,2,FALSE)="","NOT DECLARED",IF(ISNA(_xlfn.TEXTBEFORE(VLOOKUP($F125,Declarations!B$6:C$185,2,FALSE)," ")),VLOOKUP($F125,Declarations!B$6:C$185,2,FALSE),_xlfn.TEXTBEFORE(VLOOKUP($F125,Declarations!B$6:C$185,2,FALSE)," "))))</f>
        <v/>
      </c>
      <c r="C125" s="79" t="str">
        <f>IF(ISNA(VLOOKUP($F125,Declarations!B$6:C$185,2,FALSE)),"",IF(VLOOKUP($F125,Declarations!B$6:C$185,2,FALSE)="","NOT DECLARED",IF(ISNA(_xlfn.TEXTAFTER(VLOOKUP($F125,Declarations!B$6:C$185,2,FALSE)," ")),VLOOKUP($F125,Declarations!B$6:C$185,2,FALSE),_xlfn.TEXTAFTER(VLOOKUP($F125,Declarations!B$6:C$185,2,FALSE)," "))))</f>
        <v/>
      </c>
      <c r="D125" s="79" t="str">
        <f>IF(ISNA(VLOOKUP($F125,Declarations!$B$6:$F$185,5,FALSE)),"",IF(VLOOKUP($F125,Declarations!$B$6:$F$185,5,FALSE)="","NOT DECLARED",VLOOKUP($F125,Declarations!$B$6:$F$185,5,FALSE)))</f>
        <v/>
      </c>
      <c r="E125" s="112" t="str">
        <f>IF(ISNA(VLOOKUP($F125,Declarations!$B$6:$D$185,3,FALSE)),"",IF(VLOOKUP($F125,Declarations!$B$6:$D$185,3,FALSE)="","NOT DECLARED",VLOOKUP($F125,Declarations!$B$6:$D$185,3,FALSE)&amp;LEFT(VLOOKUP($F125,Declarations!$B$6:$E$185,4,FALSE))))</f>
        <v/>
      </c>
      <c r="F125" s="20"/>
      <c r="G125" s="21"/>
      <c r="H125" s="281"/>
      <c r="I125" s="8" t="str">
        <f>IF(ISNA(VLOOKUP(F125,Declarations!B$6:C$185,2,FALSE)),"",IF(VLOOKUP(F125,Declarations!B$6:C$185,2,FALSE)="","NOT DECLARED",VLOOKUP(F125,Declarations!B$6:C$185,2,FALSE)))</f>
        <v/>
      </c>
      <c r="J125" s="2">
        <f>IF(LOWER(LEFT(G125,1))="n",1,VLOOKUP(G125,ScoringTable!E$2:I$95,5))</f>
        <v>0</v>
      </c>
      <c r="K125" s="112" t="str">
        <f>IF(OR(E125="",G125=""),"",IF(RIGHT(E125,1)="G",_xlfn.XLOOKUP(G125,Data!$D$13:$L$13,Data!$D$9:$L$9,"",-1,1),_xlfn.XLOOKUP(G125,Data!$D$6:$L$6,Data!$D$2:$L$2,"",-1,1)))</f>
        <v/>
      </c>
      <c r="L125" s="160" t="str" cm="1">
        <f t="array" ref="L125">IFERROR(_xlfn.IFNA(
                      _xlfn.IFS(
                      F125="", "",
                      AND(E125="U12B",G125&gt;=Data!$M$6), "U12 Boys record",
                      AND(E125="U12G",G125&gt;=Data!$M$13), "U12 Girls record"
                       ),""), "")</f>
        <v/>
      </c>
      <c r="M125" s="18" cm="1">
        <f t="array" ref="M125">_xlfn.IFS($G125="",0,AND(NOT(ISNUMBER($G125)),LOWER(LEFT($G125,1))&lt;&gt;"n"),"Not a valid distance",OR(LOWER(LEFT($G125,1))="n",$G125&lt;ScoringTable!$P$161),1,RIGHT($E125,1)="B",_xlfn.XLOOKUP($G125,ScoringTable!$P$2:$P$161,ScoringTable!$L$2:$L$161,,-1),TRUE,_xlfn.XLOOKUP($G125,ScoringTable!$V$2:$V$161,ScoringTable!$R$2:$R$161,,-1))</f>
        <v>0</v>
      </c>
    </row>
    <row r="126" spans="1:13" ht="16.05" customHeight="1">
      <c r="A126" s="80" t="s">
        <v>104</v>
      </c>
      <c r="B126" s="79" t="str">
        <f>IF(ISNA(VLOOKUP($F126,Declarations!B$6:C$185,2,FALSE)),"",IF(VLOOKUP($F126,Declarations!B$6:C$185,2,FALSE)="","NOT DECLARED",IF(ISNA(_xlfn.TEXTBEFORE(VLOOKUP($F126,Declarations!B$6:C$185,2,FALSE)," ")),VLOOKUP($F126,Declarations!B$6:C$185,2,FALSE),_xlfn.TEXTBEFORE(VLOOKUP($F126,Declarations!B$6:C$185,2,FALSE)," "))))</f>
        <v/>
      </c>
      <c r="C126" s="79" t="str">
        <f>IF(ISNA(VLOOKUP($F126,Declarations!B$6:C$185,2,FALSE)),"",IF(VLOOKUP($F126,Declarations!B$6:C$185,2,FALSE)="","NOT DECLARED",IF(ISNA(_xlfn.TEXTAFTER(VLOOKUP($F126,Declarations!B$6:C$185,2,FALSE)," ")),VLOOKUP($F126,Declarations!B$6:C$185,2,FALSE),_xlfn.TEXTAFTER(VLOOKUP($F126,Declarations!B$6:C$185,2,FALSE)," "))))</f>
        <v/>
      </c>
      <c r="D126" s="79" t="str">
        <f>IF(ISNA(VLOOKUP($F126,Declarations!$B$6:$F$185,5,FALSE)),"",IF(VLOOKUP($F126,Declarations!$B$6:$F$185,5,FALSE)="","NOT DECLARED",VLOOKUP($F126,Declarations!$B$6:$F$185,5,FALSE)))</f>
        <v/>
      </c>
      <c r="E126" s="112" t="str">
        <f>IF(ISNA(VLOOKUP($F126,Declarations!$B$6:$D$185,3,FALSE)),"",IF(VLOOKUP($F126,Declarations!$B$6:$D$185,3,FALSE)="","NOT DECLARED",VLOOKUP($F126,Declarations!$B$6:$D$185,3,FALSE)&amp;LEFT(VLOOKUP($F126,Declarations!$B$6:$E$185,4,FALSE))))</f>
        <v/>
      </c>
      <c r="F126" s="20"/>
      <c r="G126" s="21"/>
      <c r="H126" s="281"/>
      <c r="I126" s="8" t="str">
        <f>IF(ISNA(VLOOKUP(F126,Declarations!B$6:C$185,2,FALSE)),"",IF(VLOOKUP(F126,Declarations!B$6:C$185,2,FALSE)="","NOT DECLARED",VLOOKUP(F126,Declarations!B$6:C$185,2,FALSE)))</f>
        <v/>
      </c>
      <c r="J126" s="2">
        <f>IF(LOWER(LEFT(G126,1))="n",1,VLOOKUP(G126,ScoringTable!E$2:I$95,5))</f>
        <v>0</v>
      </c>
      <c r="K126" s="112" t="str">
        <f>IF(OR(E126="",G126=""),"",IF(RIGHT(E126,1)="G",_xlfn.XLOOKUP(G126,Data!$D$13:$L$13,Data!$D$9:$L$9,"",-1,1),_xlfn.XLOOKUP(G126,Data!$D$6:$L$6,Data!$D$2:$L$2,"",-1,1)))</f>
        <v/>
      </c>
      <c r="L126" s="160" t="str" cm="1">
        <f t="array" ref="L126">IFERROR(_xlfn.IFNA(
                      _xlfn.IFS(
                      F126="", "",
                      AND(E126="U12B",G126&gt;=Data!$M$6), "U12 Boys record",
                      AND(E126="U12G",G126&gt;=Data!$M$13), "U12 Girls record"
                       ),""), "")</f>
        <v/>
      </c>
      <c r="M126" s="18" cm="1">
        <f t="array" ref="M126">_xlfn.IFS($G126="",0,AND(NOT(ISNUMBER($G126)),LOWER(LEFT($G126,1))&lt;&gt;"n"),"Not a valid distance",OR(LOWER(LEFT($G126,1))="n",$G126&lt;ScoringTable!$P$161),1,RIGHT($E126,1)="B",_xlfn.XLOOKUP($G126,ScoringTable!$P$2:$P$161,ScoringTable!$L$2:$L$161,,-1),TRUE,_xlfn.XLOOKUP($G126,ScoringTable!$V$2:$V$161,ScoringTable!$R$2:$R$161,,-1))</f>
        <v>0</v>
      </c>
    </row>
    <row r="127" spans="1:13" ht="16.05" customHeight="1">
      <c r="A127" s="80" t="s">
        <v>104</v>
      </c>
      <c r="B127" s="79" t="str">
        <f>IF(ISNA(VLOOKUP($F127,Declarations!B$6:C$185,2,FALSE)),"",IF(VLOOKUP($F127,Declarations!B$6:C$185,2,FALSE)="","NOT DECLARED",IF(ISNA(_xlfn.TEXTBEFORE(VLOOKUP($F127,Declarations!B$6:C$185,2,FALSE)," ")),VLOOKUP($F127,Declarations!B$6:C$185,2,FALSE),_xlfn.TEXTBEFORE(VLOOKUP($F127,Declarations!B$6:C$185,2,FALSE)," "))))</f>
        <v/>
      </c>
      <c r="C127" s="79" t="str">
        <f>IF(ISNA(VLOOKUP($F127,Declarations!B$6:C$185,2,FALSE)),"",IF(VLOOKUP($F127,Declarations!B$6:C$185,2,FALSE)="","NOT DECLARED",IF(ISNA(_xlfn.TEXTAFTER(VLOOKUP($F127,Declarations!B$6:C$185,2,FALSE)," ")),VLOOKUP($F127,Declarations!B$6:C$185,2,FALSE),_xlfn.TEXTAFTER(VLOOKUP($F127,Declarations!B$6:C$185,2,FALSE)," "))))</f>
        <v/>
      </c>
      <c r="D127" s="79" t="str">
        <f>IF(ISNA(VLOOKUP($F127,Declarations!$B$6:$F$185,5,FALSE)),"",IF(VLOOKUP($F127,Declarations!$B$6:$F$185,5,FALSE)="","NOT DECLARED",VLOOKUP($F127,Declarations!$B$6:$F$185,5,FALSE)))</f>
        <v/>
      </c>
      <c r="E127" s="112" t="str">
        <f>IF(ISNA(VLOOKUP($F127,Declarations!$B$6:$D$185,3,FALSE)),"",IF(VLOOKUP($F127,Declarations!$B$6:$D$185,3,FALSE)="","NOT DECLARED",VLOOKUP($F127,Declarations!$B$6:$D$185,3,FALSE)&amp;LEFT(VLOOKUP($F127,Declarations!$B$6:$E$185,4,FALSE))))</f>
        <v/>
      </c>
      <c r="F127" s="20"/>
      <c r="G127" s="21"/>
      <c r="H127" s="281"/>
      <c r="I127" s="8" t="str">
        <f>IF(ISNA(VLOOKUP(F127,Declarations!B$6:C$185,2,FALSE)),"",IF(VLOOKUP(F127,Declarations!B$6:C$185,2,FALSE)="","NOT DECLARED",VLOOKUP(F127,Declarations!B$6:C$185,2,FALSE)))</f>
        <v/>
      </c>
      <c r="J127" s="2">
        <f>IF(LOWER(LEFT(G127,1))="n",1,VLOOKUP(G127,ScoringTable!E$2:I$95,5))</f>
        <v>0</v>
      </c>
      <c r="K127" s="112" t="str">
        <f>IF(OR(E127="",G127=""),"",IF(RIGHT(E127,1)="G",_xlfn.XLOOKUP(G127,Data!$D$13:$L$13,Data!$D$9:$L$9,"",-1,1),_xlfn.XLOOKUP(G127,Data!$D$6:$L$6,Data!$D$2:$L$2,"",-1,1)))</f>
        <v/>
      </c>
      <c r="L127" s="160" t="str" cm="1">
        <f t="array" ref="L127">IFERROR(_xlfn.IFNA(
                      _xlfn.IFS(
                      F127="", "",
                      AND(E127="U12B",G127&gt;=Data!$M$6), "U12 Boys record",
                      AND(E127="U12G",G127&gt;=Data!$M$13), "U12 Girls record"
                       ),""), "")</f>
        <v/>
      </c>
      <c r="M127" s="18" cm="1">
        <f t="array" ref="M127">_xlfn.IFS($G127="",0,AND(NOT(ISNUMBER($G127)),LOWER(LEFT($G127,1))&lt;&gt;"n"),"Not a valid distance",OR(LOWER(LEFT($G127,1))="n",$G127&lt;ScoringTable!$P$161),1,RIGHT($E127,1)="B",_xlfn.XLOOKUP($G127,ScoringTable!$P$2:$P$161,ScoringTable!$L$2:$L$161,,-1),TRUE,_xlfn.XLOOKUP($G127,ScoringTable!$V$2:$V$161,ScoringTable!$R$2:$R$161,,-1))</f>
        <v>0</v>
      </c>
    </row>
    <row r="128" spans="1:13" ht="16.05" customHeight="1">
      <c r="A128" s="80" t="s">
        <v>104</v>
      </c>
      <c r="B128" s="79" t="str">
        <f>IF(ISNA(VLOOKUP($F128,Declarations!B$6:C$185,2,FALSE)),"",IF(VLOOKUP($F128,Declarations!B$6:C$185,2,FALSE)="","NOT DECLARED",IF(ISNA(_xlfn.TEXTBEFORE(VLOOKUP($F128,Declarations!B$6:C$185,2,FALSE)," ")),VLOOKUP($F128,Declarations!B$6:C$185,2,FALSE),_xlfn.TEXTBEFORE(VLOOKUP($F128,Declarations!B$6:C$185,2,FALSE)," "))))</f>
        <v/>
      </c>
      <c r="C128" s="79" t="str">
        <f>IF(ISNA(VLOOKUP($F128,Declarations!B$6:C$185,2,FALSE)),"",IF(VLOOKUP($F128,Declarations!B$6:C$185,2,FALSE)="","NOT DECLARED",IF(ISNA(_xlfn.TEXTAFTER(VLOOKUP($F128,Declarations!B$6:C$185,2,FALSE)," ")),VLOOKUP($F128,Declarations!B$6:C$185,2,FALSE),_xlfn.TEXTAFTER(VLOOKUP($F128,Declarations!B$6:C$185,2,FALSE)," "))))</f>
        <v/>
      </c>
      <c r="D128" s="79" t="str">
        <f>IF(ISNA(VLOOKUP($F128,Declarations!$B$6:$F$185,5,FALSE)),"",IF(VLOOKUP($F128,Declarations!$B$6:$F$185,5,FALSE)="","NOT DECLARED",VLOOKUP($F128,Declarations!$B$6:$F$185,5,FALSE)))</f>
        <v/>
      </c>
      <c r="E128" s="112" t="str">
        <f>IF(ISNA(VLOOKUP($F128,Declarations!$B$6:$D$185,3,FALSE)),"",IF(VLOOKUP($F128,Declarations!$B$6:$D$185,3,FALSE)="","NOT DECLARED",VLOOKUP($F128,Declarations!$B$6:$D$185,3,FALSE)&amp;LEFT(VLOOKUP($F128,Declarations!$B$6:$E$185,4,FALSE))))</f>
        <v/>
      </c>
      <c r="F128" s="20"/>
      <c r="G128" s="21"/>
      <c r="H128" s="281"/>
      <c r="I128" s="8" t="str">
        <f>IF(ISNA(VLOOKUP(F128,Declarations!B$6:C$185,2,FALSE)),"",IF(VLOOKUP(F128,Declarations!B$6:C$185,2,FALSE)="","NOT DECLARED",VLOOKUP(F128,Declarations!B$6:C$185,2,FALSE)))</f>
        <v/>
      </c>
      <c r="J128" s="2">
        <f>IF(LOWER(LEFT(G128,1))="n",1,VLOOKUP(G128,ScoringTable!E$2:I$95,5))</f>
        <v>0</v>
      </c>
      <c r="K128" s="112" t="str">
        <f>IF(OR(E128="",G128=""),"",IF(RIGHT(E128,1)="G",_xlfn.XLOOKUP(G128,Data!$D$13:$L$13,Data!$D$9:$L$9,"",-1,1),_xlfn.XLOOKUP(G128,Data!$D$6:$L$6,Data!$D$2:$L$2,"",-1,1)))</f>
        <v/>
      </c>
      <c r="L128" s="160" t="str" cm="1">
        <f t="array" ref="L128">IFERROR(_xlfn.IFNA(
                      _xlfn.IFS(
                      F128="", "",
                      AND(E128="U12B",G128&gt;=Data!$M$6), "U12 Boys record",
                      AND(E128="U12G",G128&gt;=Data!$M$13), "U12 Girls record"
                       ),""), "")</f>
        <v/>
      </c>
      <c r="M128" s="18" cm="1">
        <f t="array" ref="M128">_xlfn.IFS($G128="",0,AND(NOT(ISNUMBER($G128)),LOWER(LEFT($G128,1))&lt;&gt;"n"),"Not a valid distance",OR(LOWER(LEFT($G128,1))="n",$G128&lt;ScoringTable!$P$161),1,RIGHT($E128,1)="B",_xlfn.XLOOKUP($G128,ScoringTable!$P$2:$P$161,ScoringTable!$L$2:$L$161,,-1),TRUE,_xlfn.XLOOKUP($G128,ScoringTable!$V$2:$V$161,ScoringTable!$R$2:$R$161,,-1))</f>
        <v>0</v>
      </c>
    </row>
    <row r="129" spans="1:13" ht="16.05" customHeight="1">
      <c r="A129" s="80" t="s">
        <v>104</v>
      </c>
      <c r="B129" s="79" t="str">
        <f>IF(ISNA(VLOOKUP($F129,Declarations!B$6:C$185,2,FALSE)),"",IF(VLOOKUP($F129,Declarations!B$6:C$185,2,FALSE)="","NOT DECLARED",IF(ISNA(_xlfn.TEXTBEFORE(VLOOKUP($F129,Declarations!B$6:C$185,2,FALSE)," ")),VLOOKUP($F129,Declarations!B$6:C$185,2,FALSE),_xlfn.TEXTBEFORE(VLOOKUP($F129,Declarations!B$6:C$185,2,FALSE)," "))))</f>
        <v/>
      </c>
      <c r="C129" s="79" t="str">
        <f>IF(ISNA(VLOOKUP($F129,Declarations!B$6:C$185,2,FALSE)),"",IF(VLOOKUP($F129,Declarations!B$6:C$185,2,FALSE)="","NOT DECLARED",IF(ISNA(_xlfn.TEXTAFTER(VLOOKUP($F129,Declarations!B$6:C$185,2,FALSE)," ")),VLOOKUP($F129,Declarations!B$6:C$185,2,FALSE),_xlfn.TEXTAFTER(VLOOKUP($F129,Declarations!B$6:C$185,2,FALSE)," "))))</f>
        <v/>
      </c>
      <c r="D129" s="79" t="str">
        <f>IF(ISNA(VLOOKUP($F129,Declarations!$B$6:$F$185,5,FALSE)),"",IF(VLOOKUP($F129,Declarations!$B$6:$F$185,5,FALSE)="","NOT DECLARED",VLOOKUP($F129,Declarations!$B$6:$F$185,5,FALSE)))</f>
        <v/>
      </c>
      <c r="E129" s="112" t="str">
        <f>IF(ISNA(VLOOKUP($F129,Declarations!$B$6:$D$185,3,FALSE)),"",IF(VLOOKUP($F129,Declarations!$B$6:$D$185,3,FALSE)="","NOT DECLARED",VLOOKUP($F129,Declarations!$B$6:$D$185,3,FALSE)&amp;LEFT(VLOOKUP($F129,Declarations!$B$6:$E$185,4,FALSE))))</f>
        <v/>
      </c>
      <c r="F129" s="20"/>
      <c r="G129" s="21"/>
      <c r="H129" s="281"/>
      <c r="I129" s="8" t="str">
        <f>IF(ISNA(VLOOKUP(F129,Declarations!B$6:C$185,2,FALSE)),"",IF(VLOOKUP(F129,Declarations!B$6:C$185,2,FALSE)="","NOT DECLARED",VLOOKUP(F129,Declarations!B$6:C$185,2,FALSE)))</f>
        <v/>
      </c>
      <c r="J129" s="2">
        <f>IF(LOWER(LEFT(G129,1))="n",1,VLOOKUP(G129,ScoringTable!E$2:I$95,5))</f>
        <v>0</v>
      </c>
      <c r="K129" s="112" t="str">
        <f>IF(OR(E129="",G129=""),"",IF(RIGHT(E129,1)="G",_xlfn.XLOOKUP(G129,Data!$D$13:$L$13,Data!$D$9:$L$9,"",-1,1),_xlfn.XLOOKUP(G129,Data!$D$6:$L$6,Data!$D$2:$L$2,"",-1,1)))</f>
        <v/>
      </c>
      <c r="L129" s="160" t="str" cm="1">
        <f t="array" ref="L129">IFERROR(_xlfn.IFNA(
                      _xlfn.IFS(
                      F129="", "",
                      AND(E129="U12B",G129&gt;=Data!$M$6), "U12 Boys record",
                      AND(E129="U12G",G129&gt;=Data!$M$13), "U12 Girls record"
                       ),""), "")</f>
        <v/>
      </c>
      <c r="M129" s="18" cm="1">
        <f t="array" ref="M129">_xlfn.IFS($G129="",0,AND(NOT(ISNUMBER($G129)),LOWER(LEFT($G129,1))&lt;&gt;"n"),"Not a valid distance",OR(LOWER(LEFT($G129,1))="n",$G129&lt;ScoringTable!$P$161),1,RIGHT($E129,1)="B",_xlfn.XLOOKUP($G129,ScoringTable!$P$2:$P$161,ScoringTable!$L$2:$L$161,,-1),TRUE,_xlfn.XLOOKUP($G129,ScoringTable!$V$2:$V$161,ScoringTable!$R$2:$R$161,,-1))</f>
        <v>0</v>
      </c>
    </row>
    <row r="130" spans="1:13" ht="16.05" customHeight="1">
      <c r="A130" s="80" t="s">
        <v>104</v>
      </c>
      <c r="B130" s="79" t="str">
        <f>IF(ISNA(VLOOKUP($F130,Declarations!B$6:C$185,2,FALSE)),"",IF(VLOOKUP($F130,Declarations!B$6:C$185,2,FALSE)="","NOT DECLARED",IF(ISNA(_xlfn.TEXTBEFORE(VLOOKUP($F130,Declarations!B$6:C$185,2,FALSE)," ")),VLOOKUP($F130,Declarations!B$6:C$185,2,FALSE),_xlfn.TEXTBEFORE(VLOOKUP($F130,Declarations!B$6:C$185,2,FALSE)," "))))</f>
        <v/>
      </c>
      <c r="C130" s="79" t="str">
        <f>IF(ISNA(VLOOKUP($F130,Declarations!B$6:C$185,2,FALSE)),"",IF(VLOOKUP($F130,Declarations!B$6:C$185,2,FALSE)="","NOT DECLARED",IF(ISNA(_xlfn.TEXTAFTER(VLOOKUP($F130,Declarations!B$6:C$185,2,FALSE)," ")),VLOOKUP($F130,Declarations!B$6:C$185,2,FALSE),_xlfn.TEXTAFTER(VLOOKUP($F130,Declarations!B$6:C$185,2,FALSE)," "))))</f>
        <v/>
      </c>
      <c r="D130" s="79" t="str">
        <f>IF(ISNA(VLOOKUP($F130,Declarations!$B$6:$F$185,5,FALSE)),"",IF(VLOOKUP($F130,Declarations!$B$6:$F$185,5,FALSE)="","NOT DECLARED",VLOOKUP($F130,Declarations!$B$6:$F$185,5,FALSE)))</f>
        <v/>
      </c>
      <c r="E130" s="112" t="str">
        <f>IF(ISNA(VLOOKUP($F130,Declarations!$B$6:$D$185,3,FALSE)),"",IF(VLOOKUP($F130,Declarations!$B$6:$D$185,3,FALSE)="","NOT DECLARED",VLOOKUP($F130,Declarations!$B$6:$D$185,3,FALSE)&amp;LEFT(VLOOKUP($F130,Declarations!$B$6:$E$185,4,FALSE))))</f>
        <v/>
      </c>
      <c r="F130" s="20"/>
      <c r="G130" s="21"/>
      <c r="H130" s="281"/>
      <c r="I130" s="8" t="str">
        <f>IF(ISNA(VLOOKUP(F130,Declarations!B$6:C$185,2,FALSE)),"",IF(VLOOKUP(F130,Declarations!B$6:C$185,2,FALSE)="","NOT DECLARED",VLOOKUP(F130,Declarations!B$6:C$185,2,FALSE)))</f>
        <v/>
      </c>
      <c r="J130" s="2">
        <f>IF(LOWER(LEFT(G130,1))="n",1,VLOOKUP(G130,ScoringTable!E$2:I$95,5))</f>
        <v>0</v>
      </c>
      <c r="K130" s="112" t="str">
        <f>IF(OR(E130="",G130=""),"",IF(RIGHT(E130,1)="G",_xlfn.XLOOKUP(G130,Data!$D$13:$L$13,Data!$D$9:$L$9,"",-1,1),_xlfn.XLOOKUP(G130,Data!$D$6:$L$6,Data!$D$2:$L$2,"",-1,1)))</f>
        <v/>
      </c>
      <c r="L130" s="160" t="str" cm="1">
        <f t="array" ref="L130">IFERROR(_xlfn.IFNA(
                      _xlfn.IFS(
                      F130="", "",
                      AND(E130="U12B",G130&gt;=Data!$M$6), "U12 Boys record",
                      AND(E130="U12G",G130&gt;=Data!$M$13), "U12 Girls record"
                       ),""), "")</f>
        <v/>
      </c>
      <c r="M130" s="18" cm="1">
        <f t="array" ref="M130">_xlfn.IFS($G130="",0,AND(NOT(ISNUMBER($G130)),LOWER(LEFT($G130,1))&lt;&gt;"n"),"Not a valid distance",OR(LOWER(LEFT($G130,1))="n",$G130&lt;ScoringTable!$P$161),1,RIGHT($E130,1)="B",_xlfn.XLOOKUP($G130,ScoringTable!$P$2:$P$161,ScoringTable!$L$2:$L$161,,-1),TRUE,_xlfn.XLOOKUP($G130,ScoringTable!$V$2:$V$161,ScoringTable!$R$2:$R$161,,-1))</f>
        <v>0</v>
      </c>
    </row>
    <row r="131" spans="1:13" ht="16.05" customHeight="1">
      <c r="A131" s="80" t="s">
        <v>104</v>
      </c>
      <c r="B131" s="79" t="str">
        <f>IF(ISNA(VLOOKUP($F131,Declarations!B$6:C$185,2,FALSE)),"",IF(VLOOKUP($F131,Declarations!B$6:C$185,2,FALSE)="","NOT DECLARED",IF(ISNA(_xlfn.TEXTBEFORE(VLOOKUP($F131,Declarations!B$6:C$185,2,FALSE)," ")),VLOOKUP($F131,Declarations!B$6:C$185,2,FALSE),_xlfn.TEXTBEFORE(VLOOKUP($F131,Declarations!B$6:C$185,2,FALSE)," "))))</f>
        <v/>
      </c>
      <c r="C131" s="79" t="str">
        <f>IF(ISNA(VLOOKUP($F131,Declarations!B$6:C$185,2,FALSE)),"",IF(VLOOKUP($F131,Declarations!B$6:C$185,2,FALSE)="","NOT DECLARED",IF(ISNA(_xlfn.TEXTAFTER(VLOOKUP($F131,Declarations!B$6:C$185,2,FALSE)," ")),VLOOKUP($F131,Declarations!B$6:C$185,2,FALSE),_xlfn.TEXTAFTER(VLOOKUP($F131,Declarations!B$6:C$185,2,FALSE)," "))))</f>
        <v/>
      </c>
      <c r="D131" s="79" t="str">
        <f>IF(ISNA(VLOOKUP($F131,Declarations!$B$6:$F$185,5,FALSE)),"",IF(VLOOKUP($F131,Declarations!$B$6:$F$185,5,FALSE)="","NOT DECLARED",VLOOKUP($F131,Declarations!$B$6:$F$185,5,FALSE)))</f>
        <v/>
      </c>
      <c r="E131" s="112" t="str">
        <f>IF(ISNA(VLOOKUP($F131,Declarations!$B$6:$D$185,3,FALSE)),"",IF(VLOOKUP($F131,Declarations!$B$6:$D$185,3,FALSE)="","NOT DECLARED",VLOOKUP($F131,Declarations!$B$6:$D$185,3,FALSE)&amp;LEFT(VLOOKUP($F131,Declarations!$B$6:$E$185,4,FALSE))))</f>
        <v/>
      </c>
      <c r="F131" s="20"/>
      <c r="G131" s="21"/>
      <c r="H131" s="281"/>
      <c r="I131" s="8" t="str">
        <f>IF(ISNA(VLOOKUP(F131,Declarations!B$6:C$185,2,FALSE)),"",IF(VLOOKUP(F131,Declarations!B$6:C$185,2,FALSE)="","NOT DECLARED",VLOOKUP(F131,Declarations!B$6:C$185,2,FALSE)))</f>
        <v/>
      </c>
      <c r="J131" s="2">
        <f>IF(LOWER(LEFT(G131,1))="n",1,VLOOKUP(G131,ScoringTable!E$2:I$95,5))</f>
        <v>0</v>
      </c>
      <c r="K131" s="112" t="str">
        <f>IF(OR(E131="",G131=""),"",IF(RIGHT(E131,1)="G",_xlfn.XLOOKUP(G131,Data!$D$13:$L$13,Data!$D$9:$L$9,"",-1,1),_xlfn.XLOOKUP(G131,Data!$D$6:$L$6,Data!$D$2:$L$2,"",-1,1)))</f>
        <v/>
      </c>
      <c r="L131" s="160" t="str" cm="1">
        <f t="array" ref="L131">IFERROR(_xlfn.IFNA(
                      _xlfn.IFS(
                      F131="", "",
                      AND(E131="U12B",G131&gt;=Data!$M$6), "U12 Boys record",
                      AND(E131="U12G",G131&gt;=Data!$M$13), "U12 Girls record"
                       ),""), "")</f>
        <v/>
      </c>
      <c r="M131" s="18" cm="1">
        <f t="array" ref="M131">_xlfn.IFS($G131="",0,AND(NOT(ISNUMBER($G131)),LOWER(LEFT($G131,1))&lt;&gt;"n"),"Not a valid distance",OR(LOWER(LEFT($G131,1))="n",$G131&lt;ScoringTable!$P$161),1,RIGHT($E131,1)="B",_xlfn.XLOOKUP($G131,ScoringTable!$P$2:$P$161,ScoringTable!$L$2:$L$161,,-1),TRUE,_xlfn.XLOOKUP($G131,ScoringTable!$V$2:$V$161,ScoringTable!$R$2:$R$161,,-1))</f>
        <v>0</v>
      </c>
    </row>
    <row r="132" spans="1:13" ht="16.05" customHeight="1">
      <c r="A132" s="80" t="s">
        <v>104</v>
      </c>
      <c r="B132" s="79" t="str">
        <f>IF(ISNA(VLOOKUP($F132,Declarations!B$6:C$185,2,FALSE)),"",IF(VLOOKUP($F132,Declarations!B$6:C$185,2,FALSE)="","NOT DECLARED",IF(ISNA(_xlfn.TEXTBEFORE(VLOOKUP($F132,Declarations!B$6:C$185,2,FALSE)," ")),VLOOKUP($F132,Declarations!B$6:C$185,2,FALSE),_xlfn.TEXTBEFORE(VLOOKUP($F132,Declarations!B$6:C$185,2,FALSE)," "))))</f>
        <v/>
      </c>
      <c r="C132" s="79" t="str">
        <f>IF(ISNA(VLOOKUP($F132,Declarations!B$6:C$185,2,FALSE)),"",IF(VLOOKUP($F132,Declarations!B$6:C$185,2,FALSE)="","NOT DECLARED",IF(ISNA(_xlfn.TEXTAFTER(VLOOKUP($F132,Declarations!B$6:C$185,2,FALSE)," ")),VLOOKUP($F132,Declarations!B$6:C$185,2,FALSE),_xlfn.TEXTAFTER(VLOOKUP($F132,Declarations!B$6:C$185,2,FALSE)," "))))</f>
        <v/>
      </c>
      <c r="D132" s="79" t="str">
        <f>IF(ISNA(VLOOKUP($F132,Declarations!$B$6:$F$185,5,FALSE)),"",IF(VLOOKUP($F132,Declarations!$B$6:$F$185,5,FALSE)="","NOT DECLARED",VLOOKUP($F132,Declarations!$B$6:$F$185,5,FALSE)))</f>
        <v/>
      </c>
      <c r="E132" s="112" t="str">
        <f>IF(ISNA(VLOOKUP($F132,Declarations!$B$6:$D$185,3,FALSE)),"",IF(VLOOKUP($F132,Declarations!$B$6:$D$185,3,FALSE)="","NOT DECLARED",VLOOKUP($F132,Declarations!$B$6:$D$185,3,FALSE)&amp;LEFT(VLOOKUP($F132,Declarations!$B$6:$E$185,4,FALSE))))</f>
        <v/>
      </c>
      <c r="F132" s="20"/>
      <c r="G132" s="21"/>
      <c r="H132" s="281"/>
      <c r="I132" s="8" t="str">
        <f>IF(ISNA(VLOOKUP(F132,Declarations!B$6:C$185,2,FALSE)),"",IF(VLOOKUP(F132,Declarations!B$6:C$185,2,FALSE)="","NOT DECLARED",VLOOKUP(F132,Declarations!B$6:C$185,2,FALSE)))</f>
        <v/>
      </c>
      <c r="J132" s="2">
        <f>IF(LOWER(LEFT(G132,1))="n",1,VLOOKUP(G132,ScoringTable!E$2:I$95,5))</f>
        <v>0</v>
      </c>
      <c r="K132" s="112" t="str">
        <f>IF(OR(E132="",G132=""),"",IF(RIGHT(E132,1)="G",_xlfn.XLOOKUP(G132,Data!$D$13:$L$13,Data!$D$9:$L$9,"",-1,1),_xlfn.XLOOKUP(G132,Data!$D$6:$L$6,Data!$D$2:$L$2,"",-1,1)))</f>
        <v/>
      </c>
      <c r="L132" s="160" t="str" cm="1">
        <f t="array" ref="L132">IFERROR(_xlfn.IFNA(
                      _xlfn.IFS(
                      F132="", "",
                      AND(E132="U12B",G132&gt;=Data!$M$6), "U12 Boys record",
                      AND(E132="U12G",G132&gt;=Data!$M$13), "U12 Girls record"
                       ),""), "")</f>
        <v/>
      </c>
      <c r="M132" s="18" cm="1">
        <f t="array" ref="M132">_xlfn.IFS($G132="",0,AND(NOT(ISNUMBER($G132)),LOWER(LEFT($G132,1))&lt;&gt;"n"),"Not a valid distance",OR(LOWER(LEFT($G132,1))="n",$G132&lt;ScoringTable!$P$161),1,RIGHT($E132,1)="B",_xlfn.XLOOKUP($G132,ScoringTable!$P$2:$P$161,ScoringTable!$L$2:$L$161,,-1),TRUE,_xlfn.XLOOKUP($G132,ScoringTable!$V$2:$V$161,ScoringTable!$R$2:$R$161,,-1))</f>
        <v>0</v>
      </c>
    </row>
    <row r="133" spans="1:13" ht="16.05" customHeight="1">
      <c r="A133" s="80" t="s">
        <v>104</v>
      </c>
      <c r="B133" s="79" t="str">
        <f>IF(ISNA(VLOOKUP($F133,Declarations!B$6:C$185,2,FALSE)),"",IF(VLOOKUP($F133,Declarations!B$6:C$185,2,FALSE)="","NOT DECLARED",IF(ISNA(_xlfn.TEXTBEFORE(VLOOKUP($F133,Declarations!B$6:C$185,2,FALSE)," ")),VLOOKUP($F133,Declarations!B$6:C$185,2,FALSE),_xlfn.TEXTBEFORE(VLOOKUP($F133,Declarations!B$6:C$185,2,FALSE)," "))))</f>
        <v/>
      </c>
      <c r="C133" s="79" t="str">
        <f>IF(ISNA(VLOOKUP($F133,Declarations!B$6:C$185,2,FALSE)),"",IF(VLOOKUP($F133,Declarations!B$6:C$185,2,FALSE)="","NOT DECLARED",IF(ISNA(_xlfn.TEXTAFTER(VLOOKUP($F133,Declarations!B$6:C$185,2,FALSE)," ")),VLOOKUP($F133,Declarations!B$6:C$185,2,FALSE),_xlfn.TEXTAFTER(VLOOKUP($F133,Declarations!B$6:C$185,2,FALSE)," "))))</f>
        <v/>
      </c>
      <c r="D133" s="79" t="str">
        <f>IF(ISNA(VLOOKUP($F133,Declarations!$B$6:$F$185,5,FALSE)),"",IF(VLOOKUP($F133,Declarations!$B$6:$F$185,5,FALSE)="","NOT DECLARED",VLOOKUP($F133,Declarations!$B$6:$F$185,5,FALSE)))</f>
        <v/>
      </c>
      <c r="E133" s="112" t="str">
        <f>IF(ISNA(VLOOKUP($F133,Declarations!$B$6:$D$185,3,FALSE)),"",IF(VLOOKUP($F133,Declarations!$B$6:$D$185,3,FALSE)="","NOT DECLARED",VLOOKUP($F133,Declarations!$B$6:$D$185,3,FALSE)&amp;LEFT(VLOOKUP($F133,Declarations!$B$6:$E$185,4,FALSE))))</f>
        <v/>
      </c>
      <c r="F133" s="20"/>
      <c r="G133" s="21"/>
      <c r="H133" s="281"/>
      <c r="I133" s="8" t="str">
        <f>IF(ISNA(VLOOKUP(F133,Declarations!B$6:C$185,2,FALSE)),"",IF(VLOOKUP(F133,Declarations!B$6:C$185,2,FALSE)="","NOT DECLARED",VLOOKUP(F133,Declarations!B$6:C$185,2,FALSE)))</f>
        <v/>
      </c>
      <c r="J133" s="2">
        <f>IF(LOWER(LEFT(G133,1))="n",1,VLOOKUP(G133,ScoringTable!E$2:I$95,5))</f>
        <v>0</v>
      </c>
      <c r="K133" s="112" t="str">
        <f>IF(OR(E133="",G133=""),"",IF(RIGHT(E133,1)="G",_xlfn.XLOOKUP(G133,Data!$D$13:$L$13,Data!$D$9:$L$9,"",-1,1),_xlfn.XLOOKUP(G133,Data!$D$6:$L$6,Data!$D$2:$L$2,"",-1,1)))</f>
        <v/>
      </c>
      <c r="L133" s="160" t="str" cm="1">
        <f t="array" ref="L133">IFERROR(_xlfn.IFNA(
                      _xlfn.IFS(
                      F133="", "",
                      AND(E133="U12B",G133&gt;=Data!$M$6), "U12 Boys record",
                      AND(E133="U12G",G133&gt;=Data!$M$13), "U12 Girls record"
                       ),""), "")</f>
        <v/>
      </c>
      <c r="M133" s="18" cm="1">
        <f t="array" ref="M133">_xlfn.IFS($G133="",0,AND(NOT(ISNUMBER($G133)),LOWER(LEFT($G133,1))&lt;&gt;"n"),"Not a valid distance",OR(LOWER(LEFT($G133,1))="n",$G133&lt;ScoringTable!$P$161),1,RIGHT($E133,1)="B",_xlfn.XLOOKUP($G133,ScoringTable!$P$2:$P$161,ScoringTable!$L$2:$L$161,,-1),TRUE,_xlfn.XLOOKUP($G133,ScoringTable!$V$2:$V$161,ScoringTable!$R$2:$R$161,,-1))</f>
        <v>0</v>
      </c>
    </row>
    <row r="134" spans="1:13" ht="16.05" customHeight="1">
      <c r="A134" s="80" t="s">
        <v>104</v>
      </c>
      <c r="B134" s="79" t="str">
        <f>IF(ISNA(VLOOKUP($F134,Declarations!B$6:C$185,2,FALSE)),"",IF(VLOOKUP($F134,Declarations!B$6:C$185,2,FALSE)="","NOT DECLARED",IF(ISNA(_xlfn.TEXTBEFORE(VLOOKUP($F134,Declarations!B$6:C$185,2,FALSE)," ")),VLOOKUP($F134,Declarations!B$6:C$185,2,FALSE),_xlfn.TEXTBEFORE(VLOOKUP($F134,Declarations!B$6:C$185,2,FALSE)," "))))</f>
        <v/>
      </c>
      <c r="C134" s="79" t="str">
        <f>IF(ISNA(VLOOKUP($F134,Declarations!B$6:C$185,2,FALSE)),"",IF(VLOOKUP($F134,Declarations!B$6:C$185,2,FALSE)="","NOT DECLARED",IF(ISNA(_xlfn.TEXTAFTER(VLOOKUP($F134,Declarations!B$6:C$185,2,FALSE)," ")),VLOOKUP($F134,Declarations!B$6:C$185,2,FALSE),_xlfn.TEXTAFTER(VLOOKUP($F134,Declarations!B$6:C$185,2,FALSE)," "))))</f>
        <v/>
      </c>
      <c r="D134" s="79" t="str">
        <f>IF(ISNA(VLOOKUP($F134,Declarations!$B$6:$F$185,5,FALSE)),"",IF(VLOOKUP($F134,Declarations!$B$6:$F$185,5,FALSE)="","NOT DECLARED",VLOOKUP($F134,Declarations!$B$6:$F$185,5,FALSE)))</f>
        <v/>
      </c>
      <c r="E134" s="112" t="str">
        <f>IF(ISNA(VLOOKUP($F134,Declarations!$B$6:$D$185,3,FALSE)),"",IF(VLOOKUP($F134,Declarations!$B$6:$D$185,3,FALSE)="","NOT DECLARED",VLOOKUP($F134,Declarations!$B$6:$D$185,3,FALSE)&amp;LEFT(VLOOKUP($F134,Declarations!$B$6:$E$185,4,FALSE))))</f>
        <v/>
      </c>
      <c r="F134" s="20"/>
      <c r="G134" s="21"/>
      <c r="H134" s="281"/>
      <c r="I134" s="8" t="str">
        <f>IF(ISNA(VLOOKUP(F134,Declarations!B$6:C$185,2,FALSE)),"",IF(VLOOKUP(F134,Declarations!B$6:C$185,2,FALSE)="","NOT DECLARED",VLOOKUP(F134,Declarations!B$6:C$185,2,FALSE)))</f>
        <v/>
      </c>
      <c r="J134" s="2">
        <f>IF(LOWER(LEFT(G134,1))="n",1,VLOOKUP(G134,ScoringTable!E$2:I$95,5))</f>
        <v>0</v>
      </c>
      <c r="K134" s="112" t="str">
        <f>IF(OR(E134="",G134=""),"",IF(RIGHT(E134,1)="G",_xlfn.XLOOKUP(G134,Data!$D$13:$L$13,Data!$D$9:$L$9,"",-1,1),_xlfn.XLOOKUP(G134,Data!$D$6:$L$6,Data!$D$2:$L$2,"",-1,1)))</f>
        <v/>
      </c>
      <c r="L134" s="160" t="str" cm="1">
        <f t="array" ref="L134">IFERROR(_xlfn.IFNA(
                      _xlfn.IFS(
                      F134="", "",
                      AND(E134="U12B",G134&gt;=Data!$M$6), "U12 Boys record",
                      AND(E134="U12G",G134&gt;=Data!$M$13), "U12 Girls record"
                       ),""), "")</f>
        <v/>
      </c>
      <c r="M134" s="18" cm="1">
        <f t="array" ref="M134">_xlfn.IFS($G134="",0,AND(NOT(ISNUMBER($G134)),LOWER(LEFT($G134,1))&lt;&gt;"n"),"Not a valid distance",OR(LOWER(LEFT($G134,1))="n",$G134&lt;ScoringTable!$P$161),1,RIGHT($E134,1)="B",_xlfn.XLOOKUP($G134,ScoringTable!$P$2:$P$161,ScoringTable!$L$2:$L$161,,-1),TRUE,_xlfn.XLOOKUP($G134,ScoringTable!$V$2:$V$161,ScoringTable!$R$2:$R$161,,-1))</f>
        <v>0</v>
      </c>
    </row>
    <row r="135" spans="1:13" ht="16.05" customHeight="1">
      <c r="A135" s="80" t="s">
        <v>104</v>
      </c>
      <c r="B135" s="79" t="str">
        <f>IF(ISNA(VLOOKUP($F135,Declarations!B$6:C$185,2,FALSE)),"",IF(VLOOKUP($F135,Declarations!B$6:C$185,2,FALSE)="","NOT DECLARED",IF(ISNA(_xlfn.TEXTBEFORE(VLOOKUP($F135,Declarations!B$6:C$185,2,FALSE)," ")),VLOOKUP($F135,Declarations!B$6:C$185,2,FALSE),_xlfn.TEXTBEFORE(VLOOKUP($F135,Declarations!B$6:C$185,2,FALSE)," "))))</f>
        <v/>
      </c>
      <c r="C135" s="79" t="str">
        <f>IF(ISNA(VLOOKUP($F135,Declarations!B$6:C$185,2,FALSE)),"",IF(VLOOKUP($F135,Declarations!B$6:C$185,2,FALSE)="","NOT DECLARED",IF(ISNA(_xlfn.TEXTAFTER(VLOOKUP($F135,Declarations!B$6:C$185,2,FALSE)," ")),VLOOKUP($F135,Declarations!B$6:C$185,2,FALSE),_xlfn.TEXTAFTER(VLOOKUP($F135,Declarations!B$6:C$185,2,FALSE)," "))))</f>
        <v/>
      </c>
      <c r="D135" s="79" t="str">
        <f>IF(ISNA(VLOOKUP($F135,Declarations!$B$6:$F$185,5,FALSE)),"",IF(VLOOKUP($F135,Declarations!$B$6:$F$185,5,FALSE)="","NOT DECLARED",VLOOKUP($F135,Declarations!$B$6:$F$185,5,FALSE)))</f>
        <v/>
      </c>
      <c r="E135" s="112" t="str">
        <f>IF(ISNA(VLOOKUP($F135,Declarations!$B$6:$D$185,3,FALSE)),"",IF(VLOOKUP($F135,Declarations!$B$6:$D$185,3,FALSE)="","NOT DECLARED",VLOOKUP($F135,Declarations!$B$6:$D$185,3,FALSE)&amp;LEFT(VLOOKUP($F135,Declarations!$B$6:$E$185,4,FALSE))))</f>
        <v/>
      </c>
      <c r="F135" s="20"/>
      <c r="G135" s="21"/>
      <c r="H135" s="281"/>
      <c r="I135" s="8" t="str">
        <f>IF(ISNA(VLOOKUP(F135,Declarations!B$6:C$185,2,FALSE)),"",IF(VLOOKUP(F135,Declarations!B$6:C$185,2,FALSE)="","NOT DECLARED",VLOOKUP(F135,Declarations!B$6:C$185,2,FALSE)))</f>
        <v/>
      </c>
      <c r="J135" s="2">
        <f>IF(LOWER(LEFT(G135,1))="n",1,VLOOKUP(G135,ScoringTable!E$2:I$95,5))</f>
        <v>0</v>
      </c>
      <c r="K135" s="112" t="str">
        <f>IF(OR(E135="",G135=""),"",IF(RIGHT(E135,1)="G",_xlfn.XLOOKUP(G135,Data!$D$13:$L$13,Data!$D$9:$L$9,"",-1,1),_xlfn.XLOOKUP(G135,Data!$D$6:$L$6,Data!$D$2:$L$2,"",-1,1)))</f>
        <v/>
      </c>
      <c r="L135" s="160" t="str" cm="1">
        <f t="array" ref="L135">IFERROR(_xlfn.IFNA(
                      _xlfn.IFS(
                      F135="", "",
                      AND(E135="U12B",G135&gt;=Data!$M$6), "U12 Boys record",
                      AND(E135="U12G",G135&gt;=Data!$M$13), "U12 Girls record"
                       ),""), "")</f>
        <v/>
      </c>
      <c r="M135" s="18" cm="1">
        <f t="array" ref="M135">_xlfn.IFS($G135="",0,AND(NOT(ISNUMBER($G135)),LOWER(LEFT($G135,1))&lt;&gt;"n"),"Not a valid distance",OR(LOWER(LEFT($G135,1))="n",$G135&lt;ScoringTable!$P$161),1,RIGHT($E135,1)="B",_xlfn.XLOOKUP($G135,ScoringTable!$P$2:$P$161,ScoringTable!$L$2:$L$161,,-1),TRUE,_xlfn.XLOOKUP($G135,ScoringTable!$V$2:$V$161,ScoringTable!$R$2:$R$161,,-1))</f>
        <v>0</v>
      </c>
    </row>
    <row r="136" spans="1:13" ht="16.05" customHeight="1">
      <c r="A136" s="80" t="s">
        <v>104</v>
      </c>
      <c r="B136" s="79" t="str">
        <f>IF(ISNA(VLOOKUP($F136,Declarations!B$6:C$185,2,FALSE)),"",IF(VLOOKUP($F136,Declarations!B$6:C$185,2,FALSE)="","NOT DECLARED",IF(ISNA(_xlfn.TEXTBEFORE(VLOOKUP($F136,Declarations!B$6:C$185,2,FALSE)," ")),VLOOKUP($F136,Declarations!B$6:C$185,2,FALSE),_xlfn.TEXTBEFORE(VLOOKUP($F136,Declarations!B$6:C$185,2,FALSE)," "))))</f>
        <v/>
      </c>
      <c r="C136" s="79" t="str">
        <f>IF(ISNA(VLOOKUP($F136,Declarations!B$6:C$185,2,FALSE)),"",IF(VLOOKUP($F136,Declarations!B$6:C$185,2,FALSE)="","NOT DECLARED",IF(ISNA(_xlfn.TEXTAFTER(VLOOKUP($F136,Declarations!B$6:C$185,2,FALSE)," ")),VLOOKUP($F136,Declarations!B$6:C$185,2,FALSE),_xlfn.TEXTAFTER(VLOOKUP($F136,Declarations!B$6:C$185,2,FALSE)," "))))</f>
        <v/>
      </c>
      <c r="D136" s="79" t="str">
        <f>IF(ISNA(VLOOKUP($F136,Declarations!$B$6:$F$185,5,FALSE)),"",IF(VLOOKUP($F136,Declarations!$B$6:$F$185,5,FALSE)="","NOT DECLARED",VLOOKUP($F136,Declarations!$B$6:$F$185,5,FALSE)))</f>
        <v/>
      </c>
      <c r="E136" s="112" t="str">
        <f>IF(ISNA(VLOOKUP($F136,Declarations!$B$6:$D$185,3,FALSE)),"",IF(VLOOKUP($F136,Declarations!$B$6:$D$185,3,FALSE)="","NOT DECLARED",VLOOKUP($F136,Declarations!$B$6:$D$185,3,FALSE)&amp;LEFT(VLOOKUP($F136,Declarations!$B$6:$E$185,4,FALSE))))</f>
        <v/>
      </c>
      <c r="F136" s="20"/>
      <c r="G136" s="21"/>
      <c r="H136" s="281"/>
      <c r="I136" s="8" t="str">
        <f>IF(ISNA(VLOOKUP(F136,Declarations!B$6:C$185,2,FALSE)),"",IF(VLOOKUP(F136,Declarations!B$6:C$185,2,FALSE)="","NOT DECLARED",VLOOKUP(F136,Declarations!B$6:C$185,2,FALSE)))</f>
        <v/>
      </c>
      <c r="J136" s="2">
        <f>IF(LOWER(LEFT(G136,1))="n",1,VLOOKUP(G136,ScoringTable!E$2:I$95,5))</f>
        <v>0</v>
      </c>
      <c r="K136" s="112" t="str">
        <f>IF(OR(E136="",G136=""),"",IF(RIGHT(E136,1)="G",_xlfn.XLOOKUP(G136,Data!$D$13:$L$13,Data!$D$9:$L$9,"",-1,1),_xlfn.XLOOKUP(G136,Data!$D$6:$L$6,Data!$D$2:$L$2,"",-1,1)))</f>
        <v/>
      </c>
      <c r="L136" s="160" t="str" cm="1">
        <f t="array" ref="L136">IFERROR(_xlfn.IFNA(
                      _xlfn.IFS(
                      F136="", "",
                      AND(E136="U12B",G136&gt;=Data!$M$6), "U12 Boys record",
                      AND(E136="U12G",G136&gt;=Data!$M$13), "U12 Girls record"
                       ),""), "")</f>
        <v/>
      </c>
      <c r="M136" s="18" cm="1">
        <f t="array" ref="M136">_xlfn.IFS($G136="",0,AND(NOT(ISNUMBER($G136)),LOWER(LEFT($G136,1))&lt;&gt;"n"),"Not a valid distance",OR(LOWER(LEFT($G136,1))="n",$G136&lt;ScoringTable!$P$161),1,RIGHT($E136,1)="B",_xlfn.XLOOKUP($G136,ScoringTable!$P$2:$P$161,ScoringTable!$L$2:$L$161,,-1),TRUE,_xlfn.XLOOKUP($G136,ScoringTable!$V$2:$V$161,ScoringTable!$R$2:$R$161,,-1))</f>
        <v>0</v>
      </c>
    </row>
    <row r="137" spans="1:13" ht="16.05" customHeight="1">
      <c r="A137" s="80" t="s">
        <v>104</v>
      </c>
      <c r="B137" s="79" t="str">
        <f>IF(ISNA(VLOOKUP($F137,Declarations!B$6:C$185,2,FALSE)),"",IF(VLOOKUP($F137,Declarations!B$6:C$185,2,FALSE)="","NOT DECLARED",IF(ISNA(_xlfn.TEXTBEFORE(VLOOKUP($F137,Declarations!B$6:C$185,2,FALSE)," ")),VLOOKUP($F137,Declarations!B$6:C$185,2,FALSE),_xlfn.TEXTBEFORE(VLOOKUP($F137,Declarations!B$6:C$185,2,FALSE)," "))))</f>
        <v/>
      </c>
      <c r="C137" s="79" t="str">
        <f>IF(ISNA(VLOOKUP($F137,Declarations!B$6:C$185,2,FALSE)),"",IF(VLOOKUP($F137,Declarations!B$6:C$185,2,FALSE)="","NOT DECLARED",IF(ISNA(_xlfn.TEXTAFTER(VLOOKUP($F137,Declarations!B$6:C$185,2,FALSE)," ")),VLOOKUP($F137,Declarations!B$6:C$185,2,FALSE),_xlfn.TEXTAFTER(VLOOKUP($F137,Declarations!B$6:C$185,2,FALSE)," "))))</f>
        <v/>
      </c>
      <c r="D137" s="79" t="str">
        <f>IF(ISNA(VLOOKUP($F137,Declarations!$B$6:$F$185,5,FALSE)),"",IF(VLOOKUP($F137,Declarations!$B$6:$F$185,5,FALSE)="","NOT DECLARED",VLOOKUP($F137,Declarations!$B$6:$F$185,5,FALSE)))</f>
        <v/>
      </c>
      <c r="E137" s="112" t="str">
        <f>IF(ISNA(VLOOKUP($F137,Declarations!$B$6:$D$185,3,FALSE)),"",IF(VLOOKUP($F137,Declarations!$B$6:$D$185,3,FALSE)="","NOT DECLARED",VLOOKUP($F137,Declarations!$B$6:$D$185,3,FALSE)&amp;LEFT(VLOOKUP($F137,Declarations!$B$6:$E$185,4,FALSE))))</f>
        <v/>
      </c>
      <c r="F137" s="20"/>
      <c r="G137" s="21"/>
      <c r="H137" s="281"/>
      <c r="I137" s="8" t="str">
        <f>IF(ISNA(VLOOKUP(F137,Declarations!B$6:C$185,2,FALSE)),"",IF(VLOOKUP(F137,Declarations!B$6:C$185,2,FALSE)="","NOT DECLARED",VLOOKUP(F137,Declarations!B$6:C$185,2,FALSE)))</f>
        <v/>
      </c>
      <c r="J137" s="2">
        <f>IF(LOWER(LEFT(G137,1))="n",1,VLOOKUP(G137,ScoringTable!E$2:I$95,5))</f>
        <v>0</v>
      </c>
      <c r="K137" s="112" t="str">
        <f>IF(OR(E137="",G137=""),"",IF(RIGHT(E137,1)="G",_xlfn.XLOOKUP(G137,Data!$D$13:$L$13,Data!$D$9:$L$9,"",-1,1),_xlfn.XLOOKUP(G137,Data!$D$6:$L$6,Data!$D$2:$L$2,"",-1,1)))</f>
        <v/>
      </c>
      <c r="L137" s="160" t="str" cm="1">
        <f t="array" ref="L137">IFERROR(_xlfn.IFNA(
                      _xlfn.IFS(
                      F137="", "",
                      AND(E137="U12B",G137&gt;=Data!$M$6), "U12 Boys record",
                      AND(E137="U12G",G137&gt;=Data!$M$13), "U12 Girls record"
                       ),""), "")</f>
        <v/>
      </c>
      <c r="M137" s="18" cm="1">
        <f t="array" ref="M137">_xlfn.IFS($G137="",0,AND(NOT(ISNUMBER($G137)),LOWER(LEFT($G137,1))&lt;&gt;"n"),"Not a valid distance",OR(LOWER(LEFT($G137,1))="n",$G137&lt;ScoringTable!$P$161),1,RIGHT($E137,1)="B",_xlfn.XLOOKUP($G137,ScoringTable!$P$2:$P$161,ScoringTable!$L$2:$L$161,,-1),TRUE,_xlfn.XLOOKUP($G137,ScoringTable!$V$2:$V$161,ScoringTable!$R$2:$R$161,,-1))</f>
        <v>0</v>
      </c>
    </row>
    <row r="138" spans="1:13" ht="16.05" customHeight="1">
      <c r="A138" s="80" t="s">
        <v>104</v>
      </c>
      <c r="B138" s="79" t="str">
        <f>IF(ISNA(VLOOKUP($F138,Declarations!B$6:C$185,2,FALSE)),"",IF(VLOOKUP($F138,Declarations!B$6:C$185,2,FALSE)="","NOT DECLARED",IF(ISNA(_xlfn.TEXTBEFORE(VLOOKUP($F138,Declarations!B$6:C$185,2,FALSE)," ")),VLOOKUP($F138,Declarations!B$6:C$185,2,FALSE),_xlfn.TEXTBEFORE(VLOOKUP($F138,Declarations!B$6:C$185,2,FALSE)," "))))</f>
        <v/>
      </c>
      <c r="C138" s="79" t="str">
        <f>IF(ISNA(VLOOKUP($F138,Declarations!B$6:C$185,2,FALSE)),"",IF(VLOOKUP($F138,Declarations!B$6:C$185,2,FALSE)="","NOT DECLARED",IF(ISNA(_xlfn.TEXTAFTER(VLOOKUP($F138,Declarations!B$6:C$185,2,FALSE)," ")),VLOOKUP($F138,Declarations!B$6:C$185,2,FALSE),_xlfn.TEXTAFTER(VLOOKUP($F138,Declarations!B$6:C$185,2,FALSE)," "))))</f>
        <v/>
      </c>
      <c r="D138" s="79" t="str">
        <f>IF(ISNA(VLOOKUP($F138,Declarations!$B$6:$F$185,5,FALSE)),"",IF(VLOOKUP($F138,Declarations!$B$6:$F$185,5,FALSE)="","NOT DECLARED",VLOOKUP($F138,Declarations!$B$6:$F$185,5,FALSE)))</f>
        <v/>
      </c>
      <c r="E138" s="112" t="str">
        <f>IF(ISNA(VLOOKUP($F138,Declarations!$B$6:$D$185,3,FALSE)),"",IF(VLOOKUP($F138,Declarations!$B$6:$D$185,3,FALSE)="","NOT DECLARED",VLOOKUP($F138,Declarations!$B$6:$D$185,3,FALSE)&amp;LEFT(VLOOKUP($F138,Declarations!$B$6:$E$185,4,FALSE))))</f>
        <v/>
      </c>
      <c r="F138" s="20"/>
      <c r="G138" s="21"/>
      <c r="H138" s="281"/>
      <c r="I138" s="8" t="str">
        <f>IF(ISNA(VLOOKUP(F138,Declarations!B$6:C$185,2,FALSE)),"",IF(VLOOKUP(F138,Declarations!B$6:C$185,2,FALSE)="","NOT DECLARED",VLOOKUP(F138,Declarations!B$6:C$185,2,FALSE)))</f>
        <v/>
      </c>
      <c r="J138" s="2">
        <f>IF(LOWER(LEFT(G138,1))="n",1,VLOOKUP(G138,ScoringTable!E$2:I$95,5))</f>
        <v>0</v>
      </c>
      <c r="K138" s="112" t="str">
        <f>IF(OR(E138="",G138=""),"",IF(RIGHT(E138,1)="G",_xlfn.XLOOKUP(G138,Data!$D$13:$L$13,Data!$D$9:$L$9,"",-1,1),_xlfn.XLOOKUP(G138,Data!$D$6:$L$6,Data!$D$2:$L$2,"",-1,1)))</f>
        <v/>
      </c>
      <c r="L138" s="160" t="str" cm="1">
        <f t="array" ref="L138">IFERROR(_xlfn.IFNA(
                      _xlfn.IFS(
                      F138="", "",
                      AND(E138="U12B",G138&gt;=Data!$M$6), "U12 Boys record",
                      AND(E138="U12G",G138&gt;=Data!$M$13), "U12 Girls record"
                       ),""), "")</f>
        <v/>
      </c>
      <c r="M138" s="18" cm="1">
        <f t="array" ref="M138">_xlfn.IFS($G138="",0,AND(NOT(ISNUMBER($G138)),LOWER(LEFT($G138,1))&lt;&gt;"n"),"Not a valid distance",OR(LOWER(LEFT($G138,1))="n",$G138&lt;ScoringTable!$P$161),1,RIGHT($E138,1)="B",_xlfn.XLOOKUP($G138,ScoringTable!$P$2:$P$161,ScoringTable!$L$2:$L$161,,-1),TRUE,_xlfn.XLOOKUP($G138,ScoringTable!$V$2:$V$161,ScoringTable!$R$2:$R$161,,-1))</f>
        <v>0</v>
      </c>
    </row>
    <row r="139" spans="1:13" ht="16.05" customHeight="1">
      <c r="A139" s="80" t="s">
        <v>104</v>
      </c>
      <c r="B139" s="79" t="str">
        <f>IF(ISNA(VLOOKUP($F139,Declarations!B$6:C$185,2,FALSE)),"",IF(VLOOKUP($F139,Declarations!B$6:C$185,2,FALSE)="","NOT DECLARED",IF(ISNA(_xlfn.TEXTBEFORE(VLOOKUP($F139,Declarations!B$6:C$185,2,FALSE)," ")),VLOOKUP($F139,Declarations!B$6:C$185,2,FALSE),_xlfn.TEXTBEFORE(VLOOKUP($F139,Declarations!B$6:C$185,2,FALSE)," "))))</f>
        <v/>
      </c>
      <c r="C139" s="79" t="str">
        <f>IF(ISNA(VLOOKUP($F139,Declarations!B$6:C$185,2,FALSE)),"",IF(VLOOKUP($F139,Declarations!B$6:C$185,2,FALSE)="","NOT DECLARED",IF(ISNA(_xlfn.TEXTAFTER(VLOOKUP($F139,Declarations!B$6:C$185,2,FALSE)," ")),VLOOKUP($F139,Declarations!B$6:C$185,2,FALSE),_xlfn.TEXTAFTER(VLOOKUP($F139,Declarations!B$6:C$185,2,FALSE)," "))))</f>
        <v/>
      </c>
      <c r="D139" s="79" t="str">
        <f>IF(ISNA(VLOOKUP($F139,Declarations!$B$6:$F$185,5,FALSE)),"",IF(VLOOKUP($F139,Declarations!$B$6:$F$185,5,FALSE)="","NOT DECLARED",VLOOKUP($F139,Declarations!$B$6:$F$185,5,FALSE)))</f>
        <v/>
      </c>
      <c r="E139" s="112" t="str">
        <f>IF(ISNA(VLOOKUP($F139,Declarations!$B$6:$D$185,3,FALSE)),"",IF(VLOOKUP($F139,Declarations!$B$6:$D$185,3,FALSE)="","NOT DECLARED",VLOOKUP($F139,Declarations!$B$6:$D$185,3,FALSE)&amp;LEFT(VLOOKUP($F139,Declarations!$B$6:$E$185,4,FALSE))))</f>
        <v/>
      </c>
      <c r="F139" s="20"/>
      <c r="G139" s="21"/>
      <c r="H139" s="281"/>
      <c r="I139" s="8" t="str">
        <f>IF(ISNA(VLOOKUP(F139,Declarations!B$6:C$185,2,FALSE)),"",IF(VLOOKUP(F139,Declarations!B$6:C$185,2,FALSE)="","NOT DECLARED",VLOOKUP(F139,Declarations!B$6:C$185,2,FALSE)))</f>
        <v/>
      </c>
      <c r="J139" s="2">
        <f>IF(LOWER(LEFT(G139,1))="n",1,VLOOKUP(G139,ScoringTable!E$2:I$95,5))</f>
        <v>0</v>
      </c>
      <c r="K139" s="112" t="str">
        <f>IF(OR(E139="",G139=""),"",IF(RIGHT(E139,1)="G",_xlfn.XLOOKUP(G139,Data!$D$13:$L$13,Data!$D$9:$L$9,"",-1,1),_xlfn.XLOOKUP(G139,Data!$D$6:$L$6,Data!$D$2:$L$2,"",-1,1)))</f>
        <v/>
      </c>
      <c r="L139" s="160" t="str" cm="1">
        <f t="array" ref="L139">IFERROR(_xlfn.IFNA(
                      _xlfn.IFS(
                      F139="", "",
                      AND(E139="U12B",G139&gt;=Data!$M$6), "U12 Boys record",
                      AND(E139="U12G",G139&gt;=Data!$M$13), "U12 Girls record"
                       ),""), "")</f>
        <v/>
      </c>
      <c r="M139" s="18" cm="1">
        <f t="array" ref="M139">_xlfn.IFS($G139="",0,AND(NOT(ISNUMBER($G139)),LOWER(LEFT($G139,1))&lt;&gt;"n"),"Not a valid distance",OR(LOWER(LEFT($G139,1))="n",$G139&lt;ScoringTable!$P$161),1,RIGHT($E139,1)="B",_xlfn.XLOOKUP($G139,ScoringTable!$P$2:$P$161,ScoringTable!$L$2:$L$161,,-1),TRUE,_xlfn.XLOOKUP($G139,ScoringTable!$V$2:$V$161,ScoringTable!$R$2:$R$161,,-1))</f>
        <v>0</v>
      </c>
    </row>
    <row r="140" spans="1:13" ht="16.05" customHeight="1">
      <c r="A140" s="80" t="s">
        <v>104</v>
      </c>
      <c r="B140" s="79" t="str">
        <f>IF(ISNA(VLOOKUP($F140,Declarations!B$6:C$185,2,FALSE)),"",IF(VLOOKUP($F140,Declarations!B$6:C$185,2,FALSE)="","NOT DECLARED",IF(ISNA(_xlfn.TEXTBEFORE(VLOOKUP($F140,Declarations!B$6:C$185,2,FALSE)," ")),VLOOKUP($F140,Declarations!B$6:C$185,2,FALSE),_xlfn.TEXTBEFORE(VLOOKUP($F140,Declarations!B$6:C$185,2,FALSE)," "))))</f>
        <v/>
      </c>
      <c r="C140" s="79" t="str">
        <f>IF(ISNA(VLOOKUP($F140,Declarations!B$6:C$185,2,FALSE)),"",IF(VLOOKUP($F140,Declarations!B$6:C$185,2,FALSE)="","NOT DECLARED",IF(ISNA(_xlfn.TEXTAFTER(VLOOKUP($F140,Declarations!B$6:C$185,2,FALSE)," ")),VLOOKUP($F140,Declarations!B$6:C$185,2,FALSE),_xlfn.TEXTAFTER(VLOOKUP($F140,Declarations!B$6:C$185,2,FALSE)," "))))</f>
        <v/>
      </c>
      <c r="D140" s="79" t="str">
        <f>IF(ISNA(VLOOKUP($F140,Declarations!$B$6:$F$185,5,FALSE)),"",IF(VLOOKUP($F140,Declarations!$B$6:$F$185,5,FALSE)="","NOT DECLARED",VLOOKUP($F140,Declarations!$B$6:$F$185,5,FALSE)))</f>
        <v/>
      </c>
      <c r="E140" s="112" t="str">
        <f>IF(ISNA(VLOOKUP($F140,Declarations!$B$6:$D$185,3,FALSE)),"",IF(VLOOKUP($F140,Declarations!$B$6:$D$185,3,FALSE)="","NOT DECLARED",VLOOKUP($F140,Declarations!$B$6:$D$185,3,FALSE)&amp;LEFT(VLOOKUP($F140,Declarations!$B$6:$E$185,4,FALSE))))</f>
        <v/>
      </c>
      <c r="F140" s="20"/>
      <c r="G140" s="21"/>
      <c r="H140" s="281"/>
      <c r="I140" s="8" t="str">
        <f>IF(ISNA(VLOOKUP(F140,Declarations!B$6:C$185,2,FALSE)),"",IF(VLOOKUP(F140,Declarations!B$6:C$185,2,FALSE)="","NOT DECLARED",VLOOKUP(F140,Declarations!B$6:C$185,2,FALSE)))</f>
        <v/>
      </c>
      <c r="J140" s="2">
        <f>IF(LOWER(LEFT(G140,1))="n",1,VLOOKUP(G140,ScoringTable!E$2:I$95,5))</f>
        <v>0</v>
      </c>
      <c r="K140" s="112" t="str">
        <f>IF(OR(E140="",G140=""),"",IF(RIGHT(E140,1)="G",_xlfn.XLOOKUP(G140,Data!$D$13:$L$13,Data!$D$9:$L$9,"",-1,1),_xlfn.XLOOKUP(G140,Data!$D$6:$L$6,Data!$D$2:$L$2,"",-1,1)))</f>
        <v/>
      </c>
      <c r="L140" s="160" t="str" cm="1">
        <f t="array" ref="L140">IFERROR(_xlfn.IFNA(
                      _xlfn.IFS(
                      F140="", "",
                      AND(E140="U12B",G140&gt;=Data!$M$6), "U12 Boys record",
                      AND(E140="U12G",G140&gt;=Data!$M$13), "U12 Girls record"
                       ),""), "")</f>
        <v/>
      </c>
      <c r="M140" s="18" cm="1">
        <f t="array" ref="M140">_xlfn.IFS($G140="",0,AND(NOT(ISNUMBER($G140)),LOWER(LEFT($G140,1))&lt;&gt;"n"),"Not a valid distance",OR(LOWER(LEFT($G140,1))="n",$G140&lt;ScoringTable!$P$161),1,RIGHT($E140,1)="B",_xlfn.XLOOKUP($G140,ScoringTable!$P$2:$P$161,ScoringTable!$L$2:$L$161,,-1),TRUE,_xlfn.XLOOKUP($G140,ScoringTable!$V$2:$V$161,ScoringTable!$R$2:$R$161,,-1))</f>
        <v>0</v>
      </c>
    </row>
    <row r="141" spans="1:13" ht="16.05" customHeight="1">
      <c r="A141" s="80" t="s">
        <v>104</v>
      </c>
      <c r="B141" s="79" t="str">
        <f>IF(ISNA(VLOOKUP($F141,Declarations!B$6:C$185,2,FALSE)),"",IF(VLOOKUP($F141,Declarations!B$6:C$185,2,FALSE)="","NOT DECLARED",IF(ISNA(_xlfn.TEXTBEFORE(VLOOKUP($F141,Declarations!B$6:C$185,2,FALSE)," ")),VLOOKUP($F141,Declarations!B$6:C$185,2,FALSE),_xlfn.TEXTBEFORE(VLOOKUP($F141,Declarations!B$6:C$185,2,FALSE)," "))))</f>
        <v/>
      </c>
      <c r="C141" s="79" t="str">
        <f>IF(ISNA(VLOOKUP($F141,Declarations!B$6:C$185,2,FALSE)),"",IF(VLOOKUP($F141,Declarations!B$6:C$185,2,FALSE)="","NOT DECLARED",IF(ISNA(_xlfn.TEXTAFTER(VLOOKUP($F141,Declarations!B$6:C$185,2,FALSE)," ")),VLOOKUP($F141,Declarations!B$6:C$185,2,FALSE),_xlfn.TEXTAFTER(VLOOKUP($F141,Declarations!B$6:C$185,2,FALSE)," "))))</f>
        <v/>
      </c>
      <c r="D141" s="79" t="str">
        <f>IF(ISNA(VLOOKUP($F141,Declarations!$B$6:$F$185,5,FALSE)),"",IF(VLOOKUP($F141,Declarations!$B$6:$F$185,5,FALSE)="","NOT DECLARED",VLOOKUP($F141,Declarations!$B$6:$F$185,5,FALSE)))</f>
        <v/>
      </c>
      <c r="E141" s="112" t="str">
        <f>IF(ISNA(VLOOKUP($F141,Declarations!$B$6:$D$185,3,FALSE)),"",IF(VLOOKUP($F141,Declarations!$B$6:$D$185,3,FALSE)="","NOT DECLARED",VLOOKUP($F141,Declarations!$B$6:$D$185,3,FALSE)&amp;LEFT(VLOOKUP($F141,Declarations!$B$6:$E$185,4,FALSE))))</f>
        <v/>
      </c>
      <c r="F141" s="20"/>
      <c r="G141" s="21"/>
      <c r="H141" s="281"/>
      <c r="I141" s="8" t="str">
        <f>IF(ISNA(VLOOKUP(F141,Declarations!B$6:C$185,2,FALSE)),"",IF(VLOOKUP(F141,Declarations!B$6:C$185,2,FALSE)="","NOT DECLARED",VLOOKUP(F141,Declarations!B$6:C$185,2,FALSE)))</f>
        <v/>
      </c>
      <c r="J141" s="2">
        <f>IF(LOWER(LEFT(G141,1))="n",1,VLOOKUP(G141,ScoringTable!E$2:I$95,5))</f>
        <v>0</v>
      </c>
      <c r="K141" s="112" t="str">
        <f>IF(OR(E141="",G141=""),"",IF(RIGHT(E141,1)="G",_xlfn.XLOOKUP(G141,Data!$D$13:$L$13,Data!$D$9:$L$9,"",-1,1),_xlfn.XLOOKUP(G141,Data!$D$6:$L$6,Data!$D$2:$L$2,"",-1,1)))</f>
        <v/>
      </c>
      <c r="L141" s="160" t="str" cm="1">
        <f t="array" ref="L141">IFERROR(_xlfn.IFNA(
                      _xlfn.IFS(
                      F141="", "",
                      AND(E141="U12B",G141&gt;=Data!$M$6), "U12 Boys record",
                      AND(E141="U12G",G141&gt;=Data!$M$13), "U12 Girls record"
                       ),""), "")</f>
        <v/>
      </c>
      <c r="M141" s="18" cm="1">
        <f t="array" ref="M141">_xlfn.IFS($G141="",0,AND(NOT(ISNUMBER($G141)),LOWER(LEFT($G141,1))&lt;&gt;"n"),"Not a valid distance",OR(LOWER(LEFT($G141,1))="n",$G141&lt;ScoringTable!$P$161),1,RIGHT($E141,1)="B",_xlfn.XLOOKUP($G141,ScoringTable!$P$2:$P$161,ScoringTable!$L$2:$L$161,,-1),TRUE,_xlfn.XLOOKUP($G141,ScoringTable!$V$2:$V$161,ScoringTable!$R$2:$R$161,,-1))</f>
        <v>0</v>
      </c>
    </row>
    <row r="142" spans="1:13" ht="16.05" customHeight="1">
      <c r="A142" s="80" t="s">
        <v>104</v>
      </c>
      <c r="B142" s="79" t="str">
        <f>IF(ISNA(VLOOKUP($F142,Declarations!B$6:C$185,2,FALSE)),"",IF(VLOOKUP($F142,Declarations!B$6:C$185,2,FALSE)="","NOT DECLARED",IF(ISNA(_xlfn.TEXTBEFORE(VLOOKUP($F142,Declarations!B$6:C$185,2,FALSE)," ")),VLOOKUP($F142,Declarations!B$6:C$185,2,FALSE),_xlfn.TEXTBEFORE(VLOOKUP($F142,Declarations!B$6:C$185,2,FALSE)," "))))</f>
        <v/>
      </c>
      <c r="C142" s="79" t="str">
        <f>IF(ISNA(VLOOKUP($F142,Declarations!B$6:C$185,2,FALSE)),"",IF(VLOOKUP($F142,Declarations!B$6:C$185,2,FALSE)="","NOT DECLARED",IF(ISNA(_xlfn.TEXTAFTER(VLOOKUP($F142,Declarations!B$6:C$185,2,FALSE)," ")),VLOOKUP($F142,Declarations!B$6:C$185,2,FALSE),_xlfn.TEXTAFTER(VLOOKUP($F142,Declarations!B$6:C$185,2,FALSE)," "))))</f>
        <v/>
      </c>
      <c r="D142" s="79" t="str">
        <f>IF(ISNA(VLOOKUP($F142,Declarations!$B$6:$F$185,5,FALSE)),"",IF(VLOOKUP($F142,Declarations!$B$6:$F$185,5,FALSE)="","NOT DECLARED",VLOOKUP($F142,Declarations!$B$6:$F$185,5,FALSE)))</f>
        <v/>
      </c>
      <c r="E142" s="112" t="str">
        <f>IF(ISNA(VLOOKUP($F142,Declarations!$B$6:$D$185,3,FALSE)),"",IF(VLOOKUP($F142,Declarations!$B$6:$D$185,3,FALSE)="","NOT DECLARED",VLOOKUP($F142,Declarations!$B$6:$D$185,3,FALSE)&amp;LEFT(VLOOKUP($F142,Declarations!$B$6:$E$185,4,FALSE))))</f>
        <v/>
      </c>
      <c r="F142" s="20"/>
      <c r="G142" s="21"/>
      <c r="H142" s="281"/>
      <c r="I142" s="8" t="str">
        <f>IF(ISNA(VLOOKUP(F142,Declarations!B$6:C$185,2,FALSE)),"",IF(VLOOKUP(F142,Declarations!B$6:C$185,2,FALSE)="","NOT DECLARED",VLOOKUP(F142,Declarations!B$6:C$185,2,FALSE)))</f>
        <v/>
      </c>
      <c r="J142" s="2">
        <f>IF(LOWER(LEFT(G142,1))="n",1,VLOOKUP(G142,ScoringTable!E$2:I$95,5))</f>
        <v>0</v>
      </c>
      <c r="K142" s="112" t="str">
        <f>IF(OR(E142="",G142=""),"",IF(RIGHT(E142,1)="G",_xlfn.XLOOKUP(G142,Data!$D$13:$L$13,Data!$D$9:$L$9,"",-1,1),_xlfn.XLOOKUP(G142,Data!$D$6:$L$6,Data!$D$2:$L$2,"",-1,1)))</f>
        <v/>
      </c>
      <c r="L142" s="160" t="str" cm="1">
        <f t="array" ref="L142">IFERROR(_xlfn.IFNA(
                      _xlfn.IFS(
                      F142="", "",
                      AND(E142="U12B",G142&gt;=Data!$M$6), "U12 Boys record",
                      AND(E142="U12G",G142&gt;=Data!$M$13), "U12 Girls record"
                       ),""), "")</f>
        <v/>
      </c>
      <c r="M142" s="18" cm="1">
        <f t="array" ref="M142">_xlfn.IFS($G142="",0,AND(NOT(ISNUMBER($G142)),LOWER(LEFT($G142,1))&lt;&gt;"n"),"Not a valid distance",OR(LOWER(LEFT($G142,1))="n",$G142&lt;ScoringTable!$P$161),1,RIGHT($E142,1)="B",_xlfn.XLOOKUP($G142,ScoringTable!$P$2:$P$161,ScoringTable!$L$2:$L$161,,-1),TRUE,_xlfn.XLOOKUP($G142,ScoringTable!$V$2:$V$161,ScoringTable!$R$2:$R$161,,-1))</f>
        <v>0</v>
      </c>
    </row>
    <row r="143" spans="1:13" ht="16.05" customHeight="1">
      <c r="A143" s="80" t="s">
        <v>104</v>
      </c>
      <c r="B143" s="79" t="str">
        <f>IF(ISNA(VLOOKUP($F143,Declarations!B$6:C$185,2,FALSE)),"",IF(VLOOKUP($F143,Declarations!B$6:C$185,2,FALSE)="","NOT DECLARED",IF(ISNA(_xlfn.TEXTBEFORE(VLOOKUP($F143,Declarations!B$6:C$185,2,FALSE)," ")),VLOOKUP($F143,Declarations!B$6:C$185,2,FALSE),_xlfn.TEXTBEFORE(VLOOKUP($F143,Declarations!B$6:C$185,2,FALSE)," "))))</f>
        <v/>
      </c>
      <c r="C143" s="79" t="str">
        <f>IF(ISNA(VLOOKUP($F143,Declarations!B$6:C$185,2,FALSE)),"",IF(VLOOKUP($F143,Declarations!B$6:C$185,2,FALSE)="","NOT DECLARED",IF(ISNA(_xlfn.TEXTAFTER(VLOOKUP($F143,Declarations!B$6:C$185,2,FALSE)," ")),VLOOKUP($F143,Declarations!B$6:C$185,2,FALSE),_xlfn.TEXTAFTER(VLOOKUP($F143,Declarations!B$6:C$185,2,FALSE)," "))))</f>
        <v/>
      </c>
      <c r="D143" s="79" t="str">
        <f>IF(ISNA(VLOOKUP($F143,Declarations!$B$6:$F$185,5,FALSE)),"",IF(VLOOKUP($F143,Declarations!$B$6:$F$185,5,FALSE)="","NOT DECLARED",VLOOKUP($F143,Declarations!$B$6:$F$185,5,FALSE)))</f>
        <v/>
      </c>
      <c r="E143" s="112" t="str">
        <f>IF(ISNA(VLOOKUP($F143,Declarations!$B$6:$D$185,3,FALSE)),"",IF(VLOOKUP($F143,Declarations!$B$6:$D$185,3,FALSE)="","NOT DECLARED",VLOOKUP($F143,Declarations!$B$6:$D$185,3,FALSE)&amp;LEFT(VLOOKUP($F143,Declarations!$B$6:$E$185,4,FALSE))))</f>
        <v/>
      </c>
      <c r="F143" s="20"/>
      <c r="G143" s="21"/>
      <c r="H143" s="281"/>
      <c r="I143" s="8" t="str">
        <f>IF(ISNA(VLOOKUP(F143,Declarations!B$6:C$185,2,FALSE)),"",IF(VLOOKUP(F143,Declarations!B$6:C$185,2,FALSE)="","NOT DECLARED",VLOOKUP(F143,Declarations!B$6:C$185,2,FALSE)))</f>
        <v/>
      </c>
      <c r="J143" s="2">
        <f>IF(LOWER(LEFT(G143,1))="n",1,VLOOKUP(G143,ScoringTable!E$2:I$95,5))</f>
        <v>0</v>
      </c>
      <c r="K143" s="112" t="str">
        <f>IF(OR(E143="",G143=""),"",IF(RIGHT(E143,1)="G",_xlfn.XLOOKUP(G143,Data!$D$13:$L$13,Data!$D$9:$L$9,"",-1,1),_xlfn.XLOOKUP(G143,Data!$D$6:$L$6,Data!$D$2:$L$2,"",-1,1)))</f>
        <v/>
      </c>
      <c r="L143" s="160" t="str" cm="1">
        <f t="array" ref="L143">IFERROR(_xlfn.IFNA(
                      _xlfn.IFS(
                      F143="", "",
                      AND(E143="U12B",G143&gt;=Data!$M$6), "U12 Boys record",
                      AND(E143="U12G",G143&gt;=Data!$M$13), "U12 Girls record"
                       ),""), "")</f>
        <v/>
      </c>
      <c r="M143" s="18" cm="1">
        <f t="array" ref="M143">_xlfn.IFS($G143="",0,AND(NOT(ISNUMBER($G143)),LOWER(LEFT($G143,1))&lt;&gt;"n"),"Not a valid distance",OR(LOWER(LEFT($G143,1))="n",$G143&lt;ScoringTable!$P$161),1,RIGHT($E143,1)="B",_xlfn.XLOOKUP($G143,ScoringTable!$P$2:$P$161,ScoringTable!$L$2:$L$161,,-1),TRUE,_xlfn.XLOOKUP($G143,ScoringTable!$V$2:$V$161,ScoringTable!$R$2:$R$161,,-1))</f>
        <v>0</v>
      </c>
    </row>
    <row r="144" spans="1:13" ht="16.05" customHeight="1">
      <c r="A144" s="80" t="s">
        <v>104</v>
      </c>
      <c r="B144" s="79" t="str">
        <f>IF(ISNA(VLOOKUP($F144,Declarations!B$6:C$185,2,FALSE)),"",IF(VLOOKUP($F144,Declarations!B$6:C$185,2,FALSE)="","NOT DECLARED",IF(ISNA(_xlfn.TEXTBEFORE(VLOOKUP($F144,Declarations!B$6:C$185,2,FALSE)," ")),VLOOKUP($F144,Declarations!B$6:C$185,2,FALSE),_xlfn.TEXTBEFORE(VLOOKUP($F144,Declarations!B$6:C$185,2,FALSE)," "))))</f>
        <v/>
      </c>
      <c r="C144" s="79" t="str">
        <f>IF(ISNA(VLOOKUP($F144,Declarations!B$6:C$185,2,FALSE)),"",IF(VLOOKUP($F144,Declarations!B$6:C$185,2,FALSE)="","NOT DECLARED",IF(ISNA(_xlfn.TEXTAFTER(VLOOKUP($F144,Declarations!B$6:C$185,2,FALSE)," ")),VLOOKUP($F144,Declarations!B$6:C$185,2,FALSE),_xlfn.TEXTAFTER(VLOOKUP($F144,Declarations!B$6:C$185,2,FALSE)," "))))</f>
        <v/>
      </c>
      <c r="D144" s="79" t="str">
        <f>IF(ISNA(VLOOKUP($F144,Declarations!$B$6:$F$185,5,FALSE)),"",IF(VLOOKUP($F144,Declarations!$B$6:$F$185,5,FALSE)="","NOT DECLARED",VLOOKUP($F144,Declarations!$B$6:$F$185,5,FALSE)))</f>
        <v/>
      </c>
      <c r="E144" s="112" t="str">
        <f>IF(ISNA(VLOOKUP($F144,Declarations!$B$6:$D$185,3,FALSE)),"",IF(VLOOKUP($F144,Declarations!$B$6:$D$185,3,FALSE)="","NOT DECLARED",VLOOKUP($F144,Declarations!$B$6:$D$185,3,FALSE)&amp;LEFT(VLOOKUP($F144,Declarations!$B$6:$E$185,4,FALSE))))</f>
        <v/>
      </c>
      <c r="F144" s="20"/>
      <c r="G144" s="21"/>
      <c r="H144" s="281"/>
      <c r="I144" s="8" t="str">
        <f>IF(ISNA(VLOOKUP(F144,Declarations!B$6:C$185,2,FALSE)),"",IF(VLOOKUP(F144,Declarations!B$6:C$185,2,FALSE)="","NOT DECLARED",VLOOKUP(F144,Declarations!B$6:C$185,2,FALSE)))</f>
        <v/>
      </c>
      <c r="J144" s="2">
        <f>IF(LOWER(LEFT(G144,1))="n",1,VLOOKUP(G144,ScoringTable!E$2:I$95,5))</f>
        <v>0</v>
      </c>
      <c r="K144" s="112" t="str">
        <f>IF(OR(E144="",G144=""),"",IF(RIGHT(E144,1)="G",_xlfn.XLOOKUP(G144,Data!$D$13:$L$13,Data!$D$9:$L$9,"",-1,1),_xlfn.XLOOKUP(G144,Data!$D$6:$L$6,Data!$D$2:$L$2,"",-1,1)))</f>
        <v/>
      </c>
      <c r="L144" s="160" t="str" cm="1">
        <f t="array" ref="L144">IFERROR(_xlfn.IFNA(
                      _xlfn.IFS(
                      F144="", "",
                      AND(E144="U12B",G144&gt;=Data!$M$6), "U12 Boys record",
                      AND(E144="U12G",G144&gt;=Data!$M$13), "U12 Girls record"
                       ),""), "")</f>
        <v/>
      </c>
      <c r="M144" s="18" cm="1">
        <f t="array" ref="M144">_xlfn.IFS($G144="",0,AND(NOT(ISNUMBER($G144)),LOWER(LEFT($G144,1))&lt;&gt;"n"),"Not a valid distance",OR(LOWER(LEFT($G144,1))="n",$G144&lt;ScoringTable!$P$161),1,RIGHT($E144,1)="B",_xlfn.XLOOKUP($G144,ScoringTable!$P$2:$P$161,ScoringTable!$L$2:$L$161,,-1),TRUE,_xlfn.XLOOKUP($G144,ScoringTable!$V$2:$V$161,ScoringTable!$R$2:$R$161,,-1))</f>
        <v>0</v>
      </c>
    </row>
    <row r="145" spans="1:13" ht="16.05" customHeight="1">
      <c r="A145" s="80" t="s">
        <v>104</v>
      </c>
      <c r="B145" s="79" t="str">
        <f>IF(ISNA(VLOOKUP($F145,Declarations!B$6:C$185,2,FALSE)),"",IF(VLOOKUP($F145,Declarations!B$6:C$185,2,FALSE)="","NOT DECLARED",IF(ISNA(_xlfn.TEXTBEFORE(VLOOKUP($F145,Declarations!B$6:C$185,2,FALSE)," ")),VLOOKUP($F145,Declarations!B$6:C$185,2,FALSE),_xlfn.TEXTBEFORE(VLOOKUP($F145,Declarations!B$6:C$185,2,FALSE)," "))))</f>
        <v/>
      </c>
      <c r="C145" s="79" t="str">
        <f>IF(ISNA(VLOOKUP($F145,Declarations!B$6:C$185,2,FALSE)),"",IF(VLOOKUP($F145,Declarations!B$6:C$185,2,FALSE)="","NOT DECLARED",IF(ISNA(_xlfn.TEXTAFTER(VLOOKUP($F145,Declarations!B$6:C$185,2,FALSE)," ")),VLOOKUP($F145,Declarations!B$6:C$185,2,FALSE),_xlfn.TEXTAFTER(VLOOKUP($F145,Declarations!B$6:C$185,2,FALSE)," "))))</f>
        <v/>
      </c>
      <c r="D145" s="79" t="str">
        <f>IF(ISNA(VLOOKUP($F145,Declarations!$B$6:$F$185,5,FALSE)),"",IF(VLOOKUP($F145,Declarations!$B$6:$F$185,5,FALSE)="","NOT DECLARED",VLOOKUP($F145,Declarations!$B$6:$F$185,5,FALSE)))</f>
        <v/>
      </c>
      <c r="E145" s="112" t="str">
        <f>IF(ISNA(VLOOKUP($F145,Declarations!$B$6:$D$185,3,FALSE)),"",IF(VLOOKUP($F145,Declarations!$B$6:$D$185,3,FALSE)="","NOT DECLARED",VLOOKUP($F145,Declarations!$B$6:$D$185,3,FALSE)&amp;LEFT(VLOOKUP($F145,Declarations!$B$6:$E$185,4,FALSE))))</f>
        <v/>
      </c>
      <c r="F145" s="20"/>
      <c r="G145" s="21"/>
      <c r="H145" s="281"/>
      <c r="I145" s="8" t="str">
        <f>IF(ISNA(VLOOKUP(F145,Declarations!B$6:C$185,2,FALSE)),"",IF(VLOOKUP(F145,Declarations!B$6:C$185,2,FALSE)="","NOT DECLARED",VLOOKUP(F145,Declarations!B$6:C$185,2,FALSE)))</f>
        <v/>
      </c>
      <c r="J145" s="2">
        <f>IF(LOWER(LEFT(G145,1))="n",1,VLOOKUP(G145,ScoringTable!E$2:I$95,5))</f>
        <v>0</v>
      </c>
      <c r="K145" s="112" t="str">
        <f>IF(OR(E145="",G145=""),"",IF(RIGHT(E145,1)="G",_xlfn.XLOOKUP(G145,Data!$D$13:$L$13,Data!$D$9:$L$9,"",-1,1),_xlfn.XLOOKUP(G145,Data!$D$6:$L$6,Data!$D$2:$L$2,"",-1,1)))</f>
        <v/>
      </c>
      <c r="L145" s="160" t="str" cm="1">
        <f t="array" ref="L145">IFERROR(_xlfn.IFNA(
                      _xlfn.IFS(
                      F145="", "",
                      AND(E145="U12B",G145&gt;=Data!$M$6), "U12 Boys record",
                      AND(E145="U12G",G145&gt;=Data!$M$13), "U12 Girls record"
                       ),""), "")</f>
        <v/>
      </c>
      <c r="M145" s="18" cm="1">
        <f t="array" ref="M145">_xlfn.IFS($G145="",0,AND(NOT(ISNUMBER($G145)),LOWER(LEFT($G145,1))&lt;&gt;"n"),"Not a valid distance",OR(LOWER(LEFT($G145,1))="n",$G145&lt;ScoringTable!$P$161),1,RIGHT($E145,1)="B",_xlfn.XLOOKUP($G145,ScoringTable!$P$2:$P$161,ScoringTable!$L$2:$L$161,,-1),TRUE,_xlfn.XLOOKUP($G145,ScoringTable!$V$2:$V$161,ScoringTable!$R$2:$R$161,,-1))</f>
        <v>0</v>
      </c>
    </row>
    <row r="146" spans="1:13" ht="16.05" customHeight="1">
      <c r="A146" s="80" t="s">
        <v>104</v>
      </c>
      <c r="B146" s="79" t="str">
        <f>IF(ISNA(VLOOKUP($F146,Declarations!B$6:C$185,2,FALSE)),"",IF(VLOOKUP($F146,Declarations!B$6:C$185,2,FALSE)="","NOT DECLARED",IF(ISNA(_xlfn.TEXTBEFORE(VLOOKUP($F146,Declarations!B$6:C$185,2,FALSE)," ")),VLOOKUP($F146,Declarations!B$6:C$185,2,FALSE),_xlfn.TEXTBEFORE(VLOOKUP($F146,Declarations!B$6:C$185,2,FALSE)," "))))</f>
        <v/>
      </c>
      <c r="C146" s="79" t="str">
        <f>IF(ISNA(VLOOKUP($F146,Declarations!B$6:C$185,2,FALSE)),"",IF(VLOOKUP($F146,Declarations!B$6:C$185,2,FALSE)="","NOT DECLARED",IF(ISNA(_xlfn.TEXTAFTER(VLOOKUP($F146,Declarations!B$6:C$185,2,FALSE)," ")),VLOOKUP($F146,Declarations!B$6:C$185,2,FALSE),_xlfn.TEXTAFTER(VLOOKUP($F146,Declarations!B$6:C$185,2,FALSE)," "))))</f>
        <v/>
      </c>
      <c r="D146" s="79" t="str">
        <f>IF(ISNA(VLOOKUP($F146,Declarations!$B$6:$F$185,5,FALSE)),"",IF(VLOOKUP($F146,Declarations!$B$6:$F$185,5,FALSE)="","NOT DECLARED",VLOOKUP($F146,Declarations!$B$6:$F$185,5,FALSE)))</f>
        <v/>
      </c>
      <c r="E146" s="112" t="str">
        <f>IF(ISNA(VLOOKUP($F146,Declarations!$B$6:$D$185,3,FALSE)),"",IF(VLOOKUP($F146,Declarations!$B$6:$D$185,3,FALSE)="","NOT DECLARED",VLOOKUP($F146,Declarations!$B$6:$D$185,3,FALSE)&amp;LEFT(VLOOKUP($F146,Declarations!$B$6:$E$185,4,FALSE))))</f>
        <v/>
      </c>
      <c r="F146" s="20"/>
      <c r="G146" s="21"/>
      <c r="H146" s="281"/>
      <c r="I146" s="8" t="str">
        <f>IF(ISNA(VLOOKUP(F146,Declarations!B$6:C$185,2,FALSE)),"",IF(VLOOKUP(F146,Declarations!B$6:C$185,2,FALSE)="","NOT DECLARED",VLOOKUP(F146,Declarations!B$6:C$185,2,FALSE)))</f>
        <v/>
      </c>
      <c r="J146" s="2">
        <f>IF(LOWER(LEFT(G146,1))="n",1,VLOOKUP(G146,ScoringTable!E$2:I$95,5))</f>
        <v>0</v>
      </c>
      <c r="K146" s="112" t="str">
        <f>IF(OR(E146="",G146=""),"",IF(RIGHT(E146,1)="G",_xlfn.XLOOKUP(G146,Data!$D$13:$L$13,Data!$D$9:$L$9,"",-1,1),_xlfn.XLOOKUP(G146,Data!$D$6:$L$6,Data!$D$2:$L$2,"",-1,1)))</f>
        <v/>
      </c>
      <c r="L146" s="160" t="str" cm="1">
        <f t="array" ref="L146">IFERROR(_xlfn.IFNA(
                      _xlfn.IFS(
                      F146="", "",
                      AND(E146="U12B",G146&gt;=Data!$M$6), "U12 Boys record",
                      AND(E146="U12G",G146&gt;=Data!$M$13), "U12 Girls record"
                       ),""), "")</f>
        <v/>
      </c>
      <c r="M146" s="18" cm="1">
        <f t="array" ref="M146">_xlfn.IFS($G146="",0,AND(NOT(ISNUMBER($G146)),LOWER(LEFT($G146,1))&lt;&gt;"n"),"Not a valid distance",OR(LOWER(LEFT($G146,1))="n",$G146&lt;ScoringTable!$P$161),1,RIGHT($E146,1)="B",_xlfn.XLOOKUP($G146,ScoringTable!$P$2:$P$161,ScoringTable!$L$2:$L$161,,-1),TRUE,_xlfn.XLOOKUP($G146,ScoringTable!$V$2:$V$161,ScoringTable!$R$2:$R$161,,-1))</f>
        <v>0</v>
      </c>
    </row>
    <row r="147" spans="1:13" ht="16.05" customHeight="1">
      <c r="A147" s="80" t="s">
        <v>104</v>
      </c>
      <c r="B147" s="79" t="str">
        <f>IF(ISNA(VLOOKUP($F147,Declarations!B$6:C$185,2,FALSE)),"",IF(VLOOKUP($F147,Declarations!B$6:C$185,2,FALSE)="","NOT DECLARED",IF(ISNA(_xlfn.TEXTBEFORE(VLOOKUP($F147,Declarations!B$6:C$185,2,FALSE)," ")),VLOOKUP($F147,Declarations!B$6:C$185,2,FALSE),_xlfn.TEXTBEFORE(VLOOKUP($F147,Declarations!B$6:C$185,2,FALSE)," "))))</f>
        <v/>
      </c>
      <c r="C147" s="79" t="str">
        <f>IF(ISNA(VLOOKUP($F147,Declarations!B$6:C$185,2,FALSE)),"",IF(VLOOKUP($F147,Declarations!B$6:C$185,2,FALSE)="","NOT DECLARED",IF(ISNA(_xlfn.TEXTAFTER(VLOOKUP($F147,Declarations!B$6:C$185,2,FALSE)," ")),VLOOKUP($F147,Declarations!B$6:C$185,2,FALSE),_xlfn.TEXTAFTER(VLOOKUP($F147,Declarations!B$6:C$185,2,FALSE)," "))))</f>
        <v/>
      </c>
      <c r="D147" s="79" t="str">
        <f>IF(ISNA(VLOOKUP($F147,Declarations!$B$6:$F$185,5,FALSE)),"",IF(VLOOKUP($F147,Declarations!$B$6:$F$185,5,FALSE)="","NOT DECLARED",VLOOKUP($F147,Declarations!$B$6:$F$185,5,FALSE)))</f>
        <v/>
      </c>
      <c r="E147" s="112" t="str">
        <f>IF(ISNA(VLOOKUP($F147,Declarations!$B$6:$D$185,3,FALSE)),"",IF(VLOOKUP($F147,Declarations!$B$6:$D$185,3,FALSE)="","NOT DECLARED",VLOOKUP($F147,Declarations!$B$6:$D$185,3,FALSE)&amp;LEFT(VLOOKUP($F147,Declarations!$B$6:$E$185,4,FALSE))))</f>
        <v/>
      </c>
      <c r="F147" s="20"/>
      <c r="G147" s="21"/>
      <c r="H147" s="281"/>
      <c r="I147" s="8" t="str">
        <f>IF(ISNA(VLOOKUP(F147,Declarations!B$6:C$185,2,FALSE)),"",IF(VLOOKUP(F147,Declarations!B$6:C$185,2,FALSE)="","NOT DECLARED",VLOOKUP(F147,Declarations!B$6:C$185,2,FALSE)))</f>
        <v/>
      </c>
      <c r="J147" s="2">
        <f>IF(LOWER(LEFT(G147,1))="n",1,VLOOKUP(G147,ScoringTable!E$2:I$95,5))</f>
        <v>0</v>
      </c>
      <c r="K147" s="112" t="str">
        <f>IF(OR(E147="",G147=""),"",IF(RIGHT(E147,1)="G",_xlfn.XLOOKUP(G147,Data!$D$13:$L$13,Data!$D$9:$L$9,"",-1,1),_xlfn.XLOOKUP(G147,Data!$D$6:$L$6,Data!$D$2:$L$2,"",-1,1)))</f>
        <v/>
      </c>
      <c r="L147" s="160" t="str" cm="1">
        <f t="array" ref="L147">IFERROR(_xlfn.IFNA(
                      _xlfn.IFS(
                      F147="", "",
                      AND(E147="U12B",G147&gt;=Data!$M$6), "U12 Boys record",
                      AND(E147="U12G",G147&gt;=Data!$M$13), "U12 Girls record"
                       ),""), "")</f>
        <v/>
      </c>
      <c r="M147" s="18" cm="1">
        <f t="array" ref="M147">_xlfn.IFS($G147="",0,AND(NOT(ISNUMBER($G147)),LOWER(LEFT($G147,1))&lt;&gt;"n"),"Not a valid distance",OR(LOWER(LEFT($G147,1))="n",$G147&lt;ScoringTable!$P$161),1,RIGHT($E147,1)="B",_xlfn.XLOOKUP($G147,ScoringTable!$P$2:$P$161,ScoringTable!$L$2:$L$161,,-1),TRUE,_xlfn.XLOOKUP($G147,ScoringTable!$V$2:$V$161,ScoringTable!$R$2:$R$161,,-1))</f>
        <v>0</v>
      </c>
    </row>
    <row r="148" spans="1:13" ht="16.05" customHeight="1">
      <c r="A148" s="80" t="s">
        <v>104</v>
      </c>
      <c r="B148" s="79" t="str">
        <f>IF(ISNA(VLOOKUP($F148,Declarations!B$6:C$185,2,FALSE)),"",IF(VLOOKUP($F148,Declarations!B$6:C$185,2,FALSE)="","NOT DECLARED",IF(ISNA(_xlfn.TEXTBEFORE(VLOOKUP($F148,Declarations!B$6:C$185,2,FALSE)," ")),VLOOKUP($F148,Declarations!B$6:C$185,2,FALSE),_xlfn.TEXTBEFORE(VLOOKUP($F148,Declarations!B$6:C$185,2,FALSE)," "))))</f>
        <v/>
      </c>
      <c r="C148" s="79" t="str">
        <f>IF(ISNA(VLOOKUP($F148,Declarations!B$6:C$185,2,FALSE)),"",IF(VLOOKUP($F148,Declarations!B$6:C$185,2,FALSE)="","NOT DECLARED",IF(ISNA(_xlfn.TEXTAFTER(VLOOKUP($F148,Declarations!B$6:C$185,2,FALSE)," ")),VLOOKUP($F148,Declarations!B$6:C$185,2,FALSE),_xlfn.TEXTAFTER(VLOOKUP($F148,Declarations!B$6:C$185,2,FALSE)," "))))</f>
        <v/>
      </c>
      <c r="D148" s="79" t="str">
        <f>IF(ISNA(VLOOKUP($F148,Declarations!$B$6:$F$185,5,FALSE)),"",IF(VLOOKUP($F148,Declarations!$B$6:$F$185,5,FALSE)="","NOT DECLARED",VLOOKUP($F148,Declarations!$B$6:$F$185,5,FALSE)))</f>
        <v/>
      </c>
      <c r="E148" s="112" t="str">
        <f>IF(ISNA(VLOOKUP($F148,Declarations!$B$6:$D$185,3,FALSE)),"",IF(VLOOKUP($F148,Declarations!$B$6:$D$185,3,FALSE)="","NOT DECLARED",VLOOKUP($F148,Declarations!$B$6:$D$185,3,FALSE)&amp;LEFT(VLOOKUP($F148,Declarations!$B$6:$E$185,4,FALSE))))</f>
        <v/>
      </c>
      <c r="F148" s="20"/>
      <c r="G148" s="21"/>
      <c r="H148" s="281"/>
      <c r="I148" s="8" t="str">
        <f>IF(ISNA(VLOOKUP(F148,Declarations!B$6:C$185,2,FALSE)),"",IF(VLOOKUP(F148,Declarations!B$6:C$185,2,FALSE)="","NOT DECLARED",VLOOKUP(F148,Declarations!B$6:C$185,2,FALSE)))</f>
        <v/>
      </c>
      <c r="J148" s="2">
        <f>IF(LOWER(LEFT(G148,1))="n",1,VLOOKUP(G148,ScoringTable!E$2:I$95,5))</f>
        <v>0</v>
      </c>
      <c r="K148" s="112" t="str">
        <f>IF(OR(E148="",G148=""),"",IF(RIGHT(E148,1)="G",_xlfn.XLOOKUP(G148,Data!$D$13:$L$13,Data!$D$9:$L$9,"",-1,1),_xlfn.XLOOKUP(G148,Data!$D$6:$L$6,Data!$D$2:$L$2,"",-1,1)))</f>
        <v/>
      </c>
      <c r="L148" s="160" t="str" cm="1">
        <f t="array" ref="L148">IFERROR(_xlfn.IFNA(
                      _xlfn.IFS(
                      F148="", "",
                      AND(E148="U12B",G148&gt;=Data!$M$6), "U12 Boys record",
                      AND(E148="U12G",G148&gt;=Data!$M$13), "U12 Girls record"
                       ),""), "")</f>
        <v/>
      </c>
      <c r="M148" s="18" cm="1">
        <f t="array" ref="M148">_xlfn.IFS($G148="",0,AND(NOT(ISNUMBER($G148)),LOWER(LEFT($G148,1))&lt;&gt;"n"),"Not a valid distance",OR(LOWER(LEFT($G148,1))="n",$G148&lt;ScoringTable!$P$161),1,RIGHT($E148,1)="B",_xlfn.XLOOKUP($G148,ScoringTable!$P$2:$P$161,ScoringTable!$L$2:$L$161,,-1),TRUE,_xlfn.XLOOKUP($G148,ScoringTable!$V$2:$V$161,ScoringTable!$R$2:$R$161,,-1))</f>
        <v>0</v>
      </c>
    </row>
    <row r="149" spans="1:13" ht="16.05" customHeight="1">
      <c r="A149" s="80" t="s">
        <v>104</v>
      </c>
      <c r="B149" s="79" t="str">
        <f>IF(ISNA(VLOOKUP($F149,Declarations!B$6:C$185,2,FALSE)),"",IF(VLOOKUP($F149,Declarations!B$6:C$185,2,FALSE)="","NOT DECLARED",IF(ISNA(_xlfn.TEXTBEFORE(VLOOKUP($F149,Declarations!B$6:C$185,2,FALSE)," ")),VLOOKUP($F149,Declarations!B$6:C$185,2,FALSE),_xlfn.TEXTBEFORE(VLOOKUP($F149,Declarations!B$6:C$185,2,FALSE)," "))))</f>
        <v/>
      </c>
      <c r="C149" s="79" t="str">
        <f>IF(ISNA(VLOOKUP($F149,Declarations!B$6:C$185,2,FALSE)),"",IF(VLOOKUP($F149,Declarations!B$6:C$185,2,FALSE)="","NOT DECLARED",IF(ISNA(_xlfn.TEXTAFTER(VLOOKUP($F149,Declarations!B$6:C$185,2,FALSE)," ")),VLOOKUP($F149,Declarations!B$6:C$185,2,FALSE),_xlfn.TEXTAFTER(VLOOKUP($F149,Declarations!B$6:C$185,2,FALSE)," "))))</f>
        <v/>
      </c>
      <c r="D149" s="79" t="str">
        <f>IF(ISNA(VLOOKUP($F149,Declarations!$B$6:$F$185,5,FALSE)),"",IF(VLOOKUP($F149,Declarations!$B$6:$F$185,5,FALSE)="","NOT DECLARED",VLOOKUP($F149,Declarations!$B$6:$F$185,5,FALSE)))</f>
        <v/>
      </c>
      <c r="E149" s="112" t="str">
        <f>IF(ISNA(VLOOKUP($F149,Declarations!$B$6:$D$185,3,FALSE)),"",IF(VLOOKUP($F149,Declarations!$B$6:$D$185,3,FALSE)="","NOT DECLARED",VLOOKUP($F149,Declarations!$B$6:$D$185,3,FALSE)&amp;LEFT(VLOOKUP($F149,Declarations!$B$6:$E$185,4,FALSE))))</f>
        <v/>
      </c>
      <c r="F149" s="20"/>
      <c r="G149" s="21"/>
      <c r="H149" s="281"/>
      <c r="I149" s="8" t="str">
        <f>IF(ISNA(VLOOKUP(F149,Declarations!B$6:C$185,2,FALSE)),"",IF(VLOOKUP(F149,Declarations!B$6:C$185,2,FALSE)="","NOT DECLARED",VLOOKUP(F149,Declarations!B$6:C$185,2,FALSE)))</f>
        <v/>
      </c>
      <c r="J149" s="2">
        <f>IF(LOWER(LEFT(G149,1))="n",1,VLOOKUP(G149,ScoringTable!E$2:I$95,5))</f>
        <v>0</v>
      </c>
      <c r="K149" s="112" t="str">
        <f>IF(OR(E149="",G149=""),"",IF(RIGHT(E149,1)="G",_xlfn.XLOOKUP(G149,Data!$D$13:$L$13,Data!$D$9:$L$9,"",-1,1),_xlfn.XLOOKUP(G149,Data!$D$6:$L$6,Data!$D$2:$L$2,"",-1,1)))</f>
        <v/>
      </c>
      <c r="L149" s="160" t="str" cm="1">
        <f t="array" ref="L149">IFERROR(_xlfn.IFNA(
                      _xlfn.IFS(
                      F149="", "",
                      AND(E149="U12B",G149&gt;=Data!$M$6), "U12 Boys record",
                      AND(E149="U12G",G149&gt;=Data!$M$13), "U12 Girls record"
                       ),""), "")</f>
        <v/>
      </c>
      <c r="M149" s="18" cm="1">
        <f t="array" ref="M149">_xlfn.IFS($G149="",0,AND(NOT(ISNUMBER($G149)),LOWER(LEFT($G149,1))&lt;&gt;"n"),"Not a valid distance",OR(LOWER(LEFT($G149,1))="n",$G149&lt;ScoringTable!$P$161),1,RIGHT($E149,1)="B",_xlfn.XLOOKUP($G149,ScoringTable!$P$2:$P$161,ScoringTable!$L$2:$L$161,,-1),TRUE,_xlfn.XLOOKUP($G149,ScoringTable!$V$2:$V$161,ScoringTable!$R$2:$R$161,,-1))</f>
        <v>0</v>
      </c>
    </row>
    <row r="150" spans="1:13" ht="16.05" customHeight="1">
      <c r="A150" s="80" t="s">
        <v>104</v>
      </c>
      <c r="B150" s="79" t="str">
        <f>IF(ISNA(VLOOKUP($F150,Declarations!B$6:C$185,2,FALSE)),"",IF(VLOOKUP($F150,Declarations!B$6:C$185,2,FALSE)="","NOT DECLARED",IF(ISNA(_xlfn.TEXTBEFORE(VLOOKUP($F150,Declarations!B$6:C$185,2,FALSE)," ")),VLOOKUP($F150,Declarations!B$6:C$185,2,FALSE),_xlfn.TEXTBEFORE(VLOOKUP($F150,Declarations!B$6:C$185,2,FALSE)," "))))</f>
        <v/>
      </c>
      <c r="C150" s="79" t="str">
        <f>IF(ISNA(VLOOKUP($F150,Declarations!B$6:C$185,2,FALSE)),"",IF(VLOOKUP($F150,Declarations!B$6:C$185,2,FALSE)="","NOT DECLARED",IF(ISNA(_xlfn.TEXTAFTER(VLOOKUP($F150,Declarations!B$6:C$185,2,FALSE)," ")),VLOOKUP($F150,Declarations!B$6:C$185,2,FALSE),_xlfn.TEXTAFTER(VLOOKUP($F150,Declarations!B$6:C$185,2,FALSE)," "))))</f>
        <v/>
      </c>
      <c r="D150" s="79" t="str">
        <f>IF(ISNA(VLOOKUP($F150,Declarations!$B$6:$F$185,5,FALSE)),"",IF(VLOOKUP($F150,Declarations!$B$6:$F$185,5,FALSE)="","NOT DECLARED",VLOOKUP($F150,Declarations!$B$6:$F$185,5,FALSE)))</f>
        <v/>
      </c>
      <c r="E150" s="112" t="str">
        <f>IF(ISNA(VLOOKUP($F150,Declarations!$B$6:$D$185,3,FALSE)),"",IF(VLOOKUP($F150,Declarations!$B$6:$D$185,3,FALSE)="","NOT DECLARED",VLOOKUP($F150,Declarations!$B$6:$D$185,3,FALSE)&amp;LEFT(VLOOKUP($F150,Declarations!$B$6:$E$185,4,FALSE))))</f>
        <v/>
      </c>
      <c r="F150" s="20"/>
      <c r="G150" s="21"/>
      <c r="H150" s="281"/>
      <c r="I150" s="8" t="str">
        <f>IF(ISNA(VLOOKUP(F150,Declarations!B$6:C$185,2,FALSE)),"",IF(VLOOKUP(F150,Declarations!B$6:C$185,2,FALSE)="","NOT DECLARED",VLOOKUP(F150,Declarations!B$6:C$185,2,FALSE)))</f>
        <v/>
      </c>
      <c r="J150" s="2">
        <f>IF(LOWER(LEFT(G150,1))="n",1,VLOOKUP(G150,ScoringTable!E$2:I$95,5))</f>
        <v>0</v>
      </c>
      <c r="K150" s="112" t="str">
        <f>IF(OR(E150="",G150=""),"",IF(RIGHT(E150,1)="G",_xlfn.XLOOKUP(G150,Data!$D$13:$L$13,Data!$D$9:$L$9,"",-1,1),_xlfn.XLOOKUP(G150,Data!$D$6:$L$6,Data!$D$2:$L$2,"",-1,1)))</f>
        <v/>
      </c>
      <c r="L150" s="160" t="str" cm="1">
        <f t="array" ref="L150">IFERROR(_xlfn.IFNA(
                      _xlfn.IFS(
                      F150="", "",
                      AND(E150="U12B",G150&gt;=Data!$M$6), "U12 Boys record",
                      AND(E150="U12G",G150&gt;=Data!$M$13), "U12 Girls record"
                       ),""), "")</f>
        <v/>
      </c>
      <c r="M150" s="18" cm="1">
        <f t="array" ref="M150">_xlfn.IFS($G150="",0,AND(NOT(ISNUMBER($G150)),LOWER(LEFT($G150,1))&lt;&gt;"n"),"Not a valid distance",OR(LOWER(LEFT($G150,1))="n",$G150&lt;ScoringTable!$P$161),1,RIGHT($E150,1)="B",_xlfn.XLOOKUP($G150,ScoringTable!$P$2:$P$161,ScoringTable!$L$2:$L$161,,-1),TRUE,_xlfn.XLOOKUP($G150,ScoringTable!$V$2:$V$161,ScoringTable!$R$2:$R$161,,-1))</f>
        <v>0</v>
      </c>
    </row>
    <row r="151" spans="1:13" ht="16.05" customHeight="1">
      <c r="A151" s="80" t="s">
        <v>104</v>
      </c>
      <c r="B151" s="79" t="str">
        <f>IF(ISNA(VLOOKUP($F151,Declarations!B$6:C$185,2,FALSE)),"",IF(VLOOKUP($F151,Declarations!B$6:C$185,2,FALSE)="","NOT DECLARED",IF(ISNA(_xlfn.TEXTBEFORE(VLOOKUP($F151,Declarations!B$6:C$185,2,FALSE)," ")),VLOOKUP($F151,Declarations!B$6:C$185,2,FALSE),_xlfn.TEXTBEFORE(VLOOKUP($F151,Declarations!B$6:C$185,2,FALSE)," "))))</f>
        <v/>
      </c>
      <c r="C151" s="79" t="str">
        <f>IF(ISNA(VLOOKUP($F151,Declarations!B$6:C$185,2,FALSE)),"",IF(VLOOKUP($F151,Declarations!B$6:C$185,2,FALSE)="","NOT DECLARED",IF(ISNA(_xlfn.TEXTAFTER(VLOOKUP($F151,Declarations!B$6:C$185,2,FALSE)," ")),VLOOKUP($F151,Declarations!B$6:C$185,2,FALSE),_xlfn.TEXTAFTER(VLOOKUP($F151,Declarations!B$6:C$185,2,FALSE)," "))))</f>
        <v/>
      </c>
      <c r="D151" s="79" t="str">
        <f>IF(ISNA(VLOOKUP($F151,Declarations!$B$6:$F$185,5,FALSE)),"",IF(VLOOKUP($F151,Declarations!$B$6:$F$185,5,FALSE)="","NOT DECLARED",VLOOKUP($F151,Declarations!$B$6:$F$185,5,FALSE)))</f>
        <v/>
      </c>
      <c r="E151" s="112" t="str">
        <f>IF(ISNA(VLOOKUP($F151,Declarations!$B$6:$D$185,3,FALSE)),"",IF(VLOOKUP($F151,Declarations!$B$6:$D$185,3,FALSE)="","NOT DECLARED",VLOOKUP($F151,Declarations!$B$6:$D$185,3,FALSE)&amp;LEFT(VLOOKUP($F151,Declarations!$B$6:$E$185,4,FALSE))))</f>
        <v/>
      </c>
      <c r="F151" s="20"/>
      <c r="G151" s="21"/>
      <c r="H151" s="281"/>
      <c r="I151" s="8" t="str">
        <f>IF(ISNA(VLOOKUP(F151,Declarations!B$6:C$185,2,FALSE)),"",IF(VLOOKUP(F151,Declarations!B$6:C$185,2,FALSE)="","NOT DECLARED",VLOOKUP(F151,Declarations!B$6:C$185,2,FALSE)))</f>
        <v/>
      </c>
      <c r="J151" s="2">
        <f>IF(LOWER(LEFT(G151,1))="n",1,VLOOKUP(G151,ScoringTable!E$2:I$95,5))</f>
        <v>0</v>
      </c>
      <c r="K151" s="112" t="str">
        <f>IF(OR(E151="",G151=""),"",IF(RIGHT(E151,1)="G",_xlfn.XLOOKUP(G151,Data!$D$13:$L$13,Data!$D$9:$L$9,"",-1,1),_xlfn.XLOOKUP(G151,Data!$D$6:$L$6,Data!$D$2:$L$2,"",-1,1)))</f>
        <v/>
      </c>
      <c r="L151" s="160" t="str" cm="1">
        <f t="array" ref="L151">IFERROR(_xlfn.IFNA(
                      _xlfn.IFS(
                      F151="", "",
                      AND(E151="U12B",G151&gt;=Data!$M$6), "U12 Boys record",
                      AND(E151="U12G",G151&gt;=Data!$M$13), "U12 Girls record"
                       ),""), "")</f>
        <v/>
      </c>
      <c r="M151" s="18" cm="1">
        <f t="array" ref="M151">_xlfn.IFS($G151="",0,AND(NOT(ISNUMBER($G151)),LOWER(LEFT($G151,1))&lt;&gt;"n"),"Not a valid distance",OR(LOWER(LEFT($G151,1))="n",$G151&lt;ScoringTable!$P$161),1,RIGHT($E151,1)="B",_xlfn.XLOOKUP($G151,ScoringTable!$P$2:$P$161,ScoringTable!$L$2:$L$161,,-1),TRUE,_xlfn.XLOOKUP($G151,ScoringTable!$V$2:$V$161,ScoringTable!$R$2:$R$161,,-1))</f>
        <v>0</v>
      </c>
    </row>
    <row r="152" spans="1:13" ht="16.05" customHeight="1">
      <c r="A152" s="80" t="s">
        <v>104</v>
      </c>
      <c r="B152" s="79" t="str">
        <f>IF(ISNA(VLOOKUP($F152,Declarations!B$6:C$185,2,FALSE)),"",IF(VLOOKUP($F152,Declarations!B$6:C$185,2,FALSE)="","NOT DECLARED",IF(ISNA(_xlfn.TEXTBEFORE(VLOOKUP($F152,Declarations!B$6:C$185,2,FALSE)," ")),VLOOKUP($F152,Declarations!B$6:C$185,2,FALSE),_xlfn.TEXTBEFORE(VLOOKUP($F152,Declarations!B$6:C$185,2,FALSE)," "))))</f>
        <v/>
      </c>
      <c r="C152" s="79" t="str">
        <f>IF(ISNA(VLOOKUP($F152,Declarations!B$6:C$185,2,FALSE)),"",IF(VLOOKUP($F152,Declarations!B$6:C$185,2,FALSE)="","NOT DECLARED",IF(ISNA(_xlfn.TEXTAFTER(VLOOKUP($F152,Declarations!B$6:C$185,2,FALSE)," ")),VLOOKUP($F152,Declarations!B$6:C$185,2,FALSE),_xlfn.TEXTAFTER(VLOOKUP($F152,Declarations!B$6:C$185,2,FALSE)," "))))</f>
        <v/>
      </c>
      <c r="D152" s="79" t="str">
        <f>IF(ISNA(VLOOKUP($F152,Declarations!$B$6:$F$185,5,FALSE)),"",IF(VLOOKUP($F152,Declarations!$B$6:$F$185,5,FALSE)="","NOT DECLARED",VLOOKUP($F152,Declarations!$B$6:$F$185,5,FALSE)))</f>
        <v/>
      </c>
      <c r="E152" s="112" t="str">
        <f>IF(ISNA(VLOOKUP($F152,Declarations!$B$6:$D$185,3,FALSE)),"",IF(VLOOKUP($F152,Declarations!$B$6:$D$185,3,FALSE)="","NOT DECLARED",VLOOKUP($F152,Declarations!$B$6:$D$185,3,FALSE)&amp;LEFT(VLOOKUP($F152,Declarations!$B$6:$E$185,4,FALSE))))</f>
        <v/>
      </c>
      <c r="F152" s="20"/>
      <c r="G152" s="21"/>
      <c r="H152" s="281"/>
      <c r="I152" s="8" t="str">
        <f>IF(ISNA(VLOOKUP(F152,Declarations!B$6:C$185,2,FALSE)),"",IF(VLOOKUP(F152,Declarations!B$6:C$185,2,FALSE)="","NOT DECLARED",VLOOKUP(F152,Declarations!B$6:C$185,2,FALSE)))</f>
        <v/>
      </c>
      <c r="J152" s="2">
        <f>IF(LOWER(LEFT(G152,1))="n",1,VLOOKUP(G152,ScoringTable!E$2:I$95,5))</f>
        <v>0</v>
      </c>
      <c r="K152" s="112" t="str">
        <f>IF(OR(E152="",G152=""),"",IF(RIGHT(E152,1)="G",_xlfn.XLOOKUP(G152,Data!$D$13:$L$13,Data!$D$9:$L$9,"",-1,1),_xlfn.XLOOKUP(G152,Data!$D$6:$L$6,Data!$D$2:$L$2,"",-1,1)))</f>
        <v/>
      </c>
      <c r="L152" s="160" t="str" cm="1">
        <f t="array" ref="L152">IFERROR(_xlfn.IFNA(
                      _xlfn.IFS(
                      F152="", "",
                      AND(E152="U12B",G152&gt;=Data!$M$6), "U12 Boys record",
                      AND(E152="U12G",G152&gt;=Data!$M$13), "U12 Girls record"
                       ),""), "")</f>
        <v/>
      </c>
      <c r="M152" s="18" cm="1">
        <f t="array" ref="M152">_xlfn.IFS($G152="",0,AND(NOT(ISNUMBER($G152)),LOWER(LEFT($G152,1))&lt;&gt;"n"),"Not a valid distance",OR(LOWER(LEFT($G152,1))="n",$G152&lt;ScoringTable!$P$161),1,RIGHT($E152,1)="B",_xlfn.XLOOKUP($G152,ScoringTable!$P$2:$P$161,ScoringTable!$L$2:$L$161,,-1),TRUE,_xlfn.XLOOKUP($G152,ScoringTable!$V$2:$V$161,ScoringTable!$R$2:$R$161,,-1))</f>
        <v>0</v>
      </c>
    </row>
    <row r="153" spans="1:13" ht="16.05" customHeight="1">
      <c r="A153" s="80" t="s">
        <v>104</v>
      </c>
      <c r="B153" s="79" t="str">
        <f>IF(ISNA(VLOOKUP($F153,Declarations!B$6:C$185,2,FALSE)),"",IF(VLOOKUP($F153,Declarations!B$6:C$185,2,FALSE)="","NOT DECLARED",IF(ISNA(_xlfn.TEXTBEFORE(VLOOKUP($F153,Declarations!B$6:C$185,2,FALSE)," ")),VLOOKUP($F153,Declarations!B$6:C$185,2,FALSE),_xlfn.TEXTBEFORE(VLOOKUP($F153,Declarations!B$6:C$185,2,FALSE)," "))))</f>
        <v/>
      </c>
      <c r="C153" s="79" t="str">
        <f>IF(ISNA(VLOOKUP($F153,Declarations!B$6:C$185,2,FALSE)),"",IF(VLOOKUP($F153,Declarations!B$6:C$185,2,FALSE)="","NOT DECLARED",IF(ISNA(_xlfn.TEXTAFTER(VLOOKUP($F153,Declarations!B$6:C$185,2,FALSE)," ")),VLOOKUP($F153,Declarations!B$6:C$185,2,FALSE),_xlfn.TEXTAFTER(VLOOKUP($F153,Declarations!B$6:C$185,2,FALSE)," "))))</f>
        <v/>
      </c>
      <c r="D153" s="79" t="str">
        <f>IF(ISNA(VLOOKUP($F153,Declarations!$B$6:$F$185,5,FALSE)),"",IF(VLOOKUP($F153,Declarations!$B$6:$F$185,5,FALSE)="","NOT DECLARED",VLOOKUP($F153,Declarations!$B$6:$F$185,5,FALSE)))</f>
        <v/>
      </c>
      <c r="E153" s="112" t="str">
        <f>IF(ISNA(VLOOKUP($F153,Declarations!$B$6:$D$185,3,FALSE)),"",IF(VLOOKUP($F153,Declarations!$B$6:$D$185,3,FALSE)="","NOT DECLARED",VLOOKUP($F153,Declarations!$B$6:$D$185,3,FALSE)&amp;LEFT(VLOOKUP($F153,Declarations!$B$6:$E$185,4,FALSE))))</f>
        <v/>
      </c>
      <c r="F153" s="20"/>
      <c r="G153" s="21"/>
      <c r="H153" s="281"/>
      <c r="I153" s="8" t="str">
        <f>IF(ISNA(VLOOKUP(F153,Declarations!B$6:C$185,2,FALSE)),"",IF(VLOOKUP(F153,Declarations!B$6:C$185,2,FALSE)="","NOT DECLARED",VLOOKUP(F153,Declarations!B$6:C$185,2,FALSE)))</f>
        <v/>
      </c>
      <c r="J153" s="2">
        <f>IF(LOWER(LEFT(G153,1))="n",1,VLOOKUP(G153,ScoringTable!E$2:I$95,5))</f>
        <v>0</v>
      </c>
      <c r="K153" s="112" t="str">
        <f>IF(OR(E153="",G153=""),"",IF(RIGHT(E153,1)="G",_xlfn.XLOOKUP(G153,Data!$D$13:$L$13,Data!$D$9:$L$9,"",-1,1),_xlfn.XLOOKUP(G153,Data!$D$6:$L$6,Data!$D$2:$L$2,"",-1,1)))</f>
        <v/>
      </c>
      <c r="L153" s="160" t="str" cm="1">
        <f t="array" ref="L153">IFERROR(_xlfn.IFNA(
                      _xlfn.IFS(
                      F153="", "",
                      AND(E153="U12B",G153&gt;=Data!$M$6), "U12 Boys record",
                      AND(E153="U12G",G153&gt;=Data!$M$13), "U12 Girls record"
                       ),""), "")</f>
        <v/>
      </c>
      <c r="M153" s="18" cm="1">
        <f t="array" ref="M153">_xlfn.IFS($G153="",0,AND(NOT(ISNUMBER($G153)),LOWER(LEFT($G153,1))&lt;&gt;"n"),"Not a valid distance",OR(LOWER(LEFT($G153,1))="n",$G153&lt;ScoringTable!$P$161),1,RIGHT($E153,1)="B",_xlfn.XLOOKUP($G153,ScoringTable!$P$2:$P$161,ScoringTable!$L$2:$L$161,,-1),TRUE,_xlfn.XLOOKUP($G153,ScoringTable!$V$2:$V$161,ScoringTable!$R$2:$R$161,,-1))</f>
        <v>0</v>
      </c>
    </row>
    <row r="154" spans="1:13" ht="16.05" customHeight="1">
      <c r="A154" s="80" t="s">
        <v>104</v>
      </c>
      <c r="B154" s="79" t="str">
        <f>IF(ISNA(VLOOKUP($F154,Declarations!B$6:C$185,2,FALSE)),"",IF(VLOOKUP($F154,Declarations!B$6:C$185,2,FALSE)="","NOT DECLARED",IF(ISNA(_xlfn.TEXTBEFORE(VLOOKUP($F154,Declarations!B$6:C$185,2,FALSE)," ")),VLOOKUP($F154,Declarations!B$6:C$185,2,FALSE),_xlfn.TEXTBEFORE(VLOOKUP($F154,Declarations!B$6:C$185,2,FALSE)," "))))</f>
        <v/>
      </c>
      <c r="C154" s="79" t="str">
        <f>IF(ISNA(VLOOKUP($F154,Declarations!B$6:C$185,2,FALSE)),"",IF(VLOOKUP($F154,Declarations!B$6:C$185,2,FALSE)="","NOT DECLARED",IF(ISNA(_xlfn.TEXTAFTER(VLOOKUP($F154,Declarations!B$6:C$185,2,FALSE)," ")),VLOOKUP($F154,Declarations!B$6:C$185,2,FALSE),_xlfn.TEXTAFTER(VLOOKUP($F154,Declarations!B$6:C$185,2,FALSE)," "))))</f>
        <v/>
      </c>
      <c r="D154" s="79" t="str">
        <f>IF(ISNA(VLOOKUP($F154,Declarations!$B$6:$F$185,5,FALSE)),"",IF(VLOOKUP($F154,Declarations!$B$6:$F$185,5,FALSE)="","NOT DECLARED",VLOOKUP($F154,Declarations!$B$6:$F$185,5,FALSE)))</f>
        <v/>
      </c>
      <c r="E154" s="112" t="str">
        <f>IF(ISNA(VLOOKUP($F154,Declarations!$B$6:$D$185,3,FALSE)),"",IF(VLOOKUP($F154,Declarations!$B$6:$D$185,3,FALSE)="","NOT DECLARED",VLOOKUP($F154,Declarations!$B$6:$D$185,3,FALSE)&amp;LEFT(VLOOKUP($F154,Declarations!$B$6:$E$185,4,FALSE))))</f>
        <v/>
      </c>
      <c r="F154" s="20"/>
      <c r="G154" s="21"/>
      <c r="H154" s="281"/>
      <c r="I154" s="8" t="str">
        <f>IF(ISNA(VLOOKUP(F154,Declarations!B$6:C$185,2,FALSE)),"",IF(VLOOKUP(F154,Declarations!B$6:C$185,2,FALSE)="","NOT DECLARED",VLOOKUP(F154,Declarations!B$6:C$185,2,FALSE)))</f>
        <v/>
      </c>
      <c r="J154" s="2">
        <f>IF(LOWER(LEFT(G154,1))="n",1,VLOOKUP(G154,ScoringTable!E$2:I$95,5))</f>
        <v>0</v>
      </c>
      <c r="K154" s="112" t="str">
        <f>IF(OR(E154="",G154=""),"",IF(RIGHT(E154,1)="G",_xlfn.XLOOKUP(G154,Data!$D$13:$L$13,Data!$D$9:$L$9,"",-1,1),_xlfn.XLOOKUP(G154,Data!$D$6:$L$6,Data!$D$2:$L$2,"",-1,1)))</f>
        <v/>
      </c>
      <c r="L154" s="160" t="str" cm="1">
        <f t="array" ref="L154">IFERROR(_xlfn.IFNA(
                      _xlfn.IFS(
                      F154="", "",
                      AND(E154="U12B",G154&gt;=Data!$M$6), "U12 Boys record",
                      AND(E154="U12G",G154&gt;=Data!$M$13), "U12 Girls record"
                       ),""), "")</f>
        <v/>
      </c>
      <c r="M154" s="18" cm="1">
        <f t="array" ref="M154">_xlfn.IFS($G154="",0,AND(NOT(ISNUMBER($G154)),LOWER(LEFT($G154,1))&lt;&gt;"n"),"Not a valid distance",OR(LOWER(LEFT($G154,1))="n",$G154&lt;ScoringTable!$P$161),1,RIGHT($E154,1)="B",_xlfn.XLOOKUP($G154,ScoringTable!$P$2:$P$161,ScoringTable!$L$2:$L$161,,-1),TRUE,_xlfn.XLOOKUP($G154,ScoringTable!$V$2:$V$161,ScoringTable!$R$2:$R$161,,-1))</f>
        <v>0</v>
      </c>
    </row>
    <row r="155" spans="1:13" ht="16.05" customHeight="1">
      <c r="A155" s="80" t="s">
        <v>104</v>
      </c>
      <c r="B155" s="79" t="str">
        <f>IF(ISNA(VLOOKUP($F155,Declarations!B$6:C$185,2,FALSE)),"",IF(VLOOKUP($F155,Declarations!B$6:C$185,2,FALSE)="","NOT DECLARED",IF(ISNA(_xlfn.TEXTBEFORE(VLOOKUP($F155,Declarations!B$6:C$185,2,FALSE)," ")),VLOOKUP($F155,Declarations!B$6:C$185,2,FALSE),_xlfn.TEXTBEFORE(VLOOKUP($F155,Declarations!B$6:C$185,2,FALSE)," "))))</f>
        <v/>
      </c>
      <c r="C155" s="79" t="str">
        <f>IF(ISNA(VLOOKUP($F155,Declarations!B$6:C$185,2,FALSE)),"",IF(VLOOKUP($F155,Declarations!B$6:C$185,2,FALSE)="","NOT DECLARED",IF(ISNA(_xlfn.TEXTAFTER(VLOOKUP($F155,Declarations!B$6:C$185,2,FALSE)," ")),VLOOKUP($F155,Declarations!B$6:C$185,2,FALSE),_xlfn.TEXTAFTER(VLOOKUP($F155,Declarations!B$6:C$185,2,FALSE)," "))))</f>
        <v/>
      </c>
      <c r="D155" s="79" t="str">
        <f>IF(ISNA(VLOOKUP($F155,Declarations!$B$6:$F$185,5,FALSE)),"",IF(VLOOKUP($F155,Declarations!$B$6:$F$185,5,FALSE)="","NOT DECLARED",VLOOKUP($F155,Declarations!$B$6:$F$185,5,FALSE)))</f>
        <v/>
      </c>
      <c r="E155" s="112" t="str">
        <f>IF(ISNA(VLOOKUP($F155,Declarations!$B$6:$D$185,3,FALSE)),"",IF(VLOOKUP($F155,Declarations!$B$6:$D$185,3,FALSE)="","NOT DECLARED",VLOOKUP($F155,Declarations!$B$6:$D$185,3,FALSE)&amp;LEFT(VLOOKUP($F155,Declarations!$B$6:$E$185,4,FALSE))))</f>
        <v/>
      </c>
      <c r="F155" s="20"/>
      <c r="G155" s="21"/>
      <c r="H155" s="281"/>
      <c r="I155" s="8" t="str">
        <f>IF(ISNA(VLOOKUP(F155,Declarations!B$6:C$185,2,FALSE)),"",IF(VLOOKUP(F155,Declarations!B$6:C$185,2,FALSE)="","NOT DECLARED",VLOOKUP(F155,Declarations!B$6:C$185,2,FALSE)))</f>
        <v/>
      </c>
      <c r="J155" s="2">
        <f>IF(LOWER(LEFT(G155,1))="n",1,VLOOKUP(G155,ScoringTable!E$2:I$95,5))</f>
        <v>0</v>
      </c>
      <c r="K155" s="112" t="str">
        <f>IF(OR(E155="",G155=""),"",IF(RIGHT(E155,1)="G",_xlfn.XLOOKUP(G155,Data!$D$13:$L$13,Data!$D$9:$L$9,"",-1,1),_xlfn.XLOOKUP(G155,Data!$D$6:$L$6,Data!$D$2:$L$2,"",-1,1)))</f>
        <v/>
      </c>
      <c r="L155" s="160" t="str" cm="1">
        <f t="array" ref="L155">IFERROR(_xlfn.IFNA(
                      _xlfn.IFS(
                      F155="", "",
                      AND(E155="U12B",G155&gt;=Data!$M$6), "U12 Boys record",
                      AND(E155="U12G",G155&gt;=Data!$M$13), "U12 Girls record"
                       ),""), "")</f>
        <v/>
      </c>
      <c r="M155" s="18" cm="1">
        <f t="array" ref="M155">_xlfn.IFS($G155="",0,AND(NOT(ISNUMBER($G155)),LOWER(LEFT($G155,1))&lt;&gt;"n"),"Not a valid distance",OR(LOWER(LEFT($G155,1))="n",$G155&lt;ScoringTable!$P$161),1,RIGHT($E155,1)="B",_xlfn.XLOOKUP($G155,ScoringTable!$P$2:$P$161,ScoringTable!$L$2:$L$161,,-1),TRUE,_xlfn.XLOOKUP($G155,ScoringTable!$V$2:$V$161,ScoringTable!$R$2:$R$161,,-1))</f>
        <v>0</v>
      </c>
    </row>
    <row r="156" spans="1:13" ht="16.05" customHeight="1">
      <c r="A156" s="80" t="s">
        <v>104</v>
      </c>
      <c r="B156" s="79" t="str">
        <f>IF(ISNA(VLOOKUP($F156,Declarations!B$6:C$185,2,FALSE)),"",IF(VLOOKUP($F156,Declarations!B$6:C$185,2,FALSE)="","NOT DECLARED",IF(ISNA(_xlfn.TEXTBEFORE(VLOOKUP($F156,Declarations!B$6:C$185,2,FALSE)," ")),VLOOKUP($F156,Declarations!B$6:C$185,2,FALSE),_xlfn.TEXTBEFORE(VLOOKUP($F156,Declarations!B$6:C$185,2,FALSE)," "))))</f>
        <v/>
      </c>
      <c r="C156" s="79" t="str">
        <f>IF(ISNA(VLOOKUP($F156,Declarations!B$6:C$185,2,FALSE)),"",IF(VLOOKUP($F156,Declarations!B$6:C$185,2,FALSE)="","NOT DECLARED",IF(ISNA(_xlfn.TEXTAFTER(VLOOKUP($F156,Declarations!B$6:C$185,2,FALSE)," ")),VLOOKUP($F156,Declarations!B$6:C$185,2,FALSE),_xlfn.TEXTAFTER(VLOOKUP($F156,Declarations!B$6:C$185,2,FALSE)," "))))</f>
        <v/>
      </c>
      <c r="D156" s="79" t="str">
        <f>IF(ISNA(VLOOKUP($F156,Declarations!$B$6:$F$185,5,FALSE)),"",IF(VLOOKUP($F156,Declarations!$B$6:$F$185,5,FALSE)="","NOT DECLARED",VLOOKUP($F156,Declarations!$B$6:$F$185,5,FALSE)))</f>
        <v/>
      </c>
      <c r="E156" s="112" t="str">
        <f>IF(ISNA(VLOOKUP($F156,Declarations!$B$6:$D$185,3,FALSE)),"",IF(VLOOKUP($F156,Declarations!$B$6:$D$185,3,FALSE)="","NOT DECLARED",VLOOKUP($F156,Declarations!$B$6:$D$185,3,FALSE)&amp;LEFT(VLOOKUP($F156,Declarations!$B$6:$E$185,4,FALSE))))</f>
        <v/>
      </c>
      <c r="F156" s="20"/>
      <c r="G156" s="21"/>
      <c r="H156" s="281"/>
      <c r="I156" s="8" t="str">
        <f>IF(ISNA(VLOOKUP(F156,Declarations!B$6:C$185,2,FALSE)),"",IF(VLOOKUP(F156,Declarations!B$6:C$185,2,FALSE)="","NOT DECLARED",VLOOKUP(F156,Declarations!B$6:C$185,2,FALSE)))</f>
        <v/>
      </c>
      <c r="J156" s="2">
        <f>IF(LOWER(LEFT(G156,1))="n",1,VLOOKUP(G156,ScoringTable!E$2:I$95,5))</f>
        <v>0</v>
      </c>
      <c r="K156" s="112" t="str">
        <f>IF(OR(E156="",G156=""),"",IF(RIGHT(E156,1)="G",_xlfn.XLOOKUP(G156,Data!$D$13:$L$13,Data!$D$9:$L$9,"",-1,1),_xlfn.XLOOKUP(G156,Data!$D$6:$L$6,Data!$D$2:$L$2,"",-1,1)))</f>
        <v/>
      </c>
      <c r="L156" s="160" t="str" cm="1">
        <f t="array" ref="L156">IFERROR(_xlfn.IFNA(
                      _xlfn.IFS(
                      F156="", "",
                      AND(E156="U12B",G156&gt;=Data!$M$6), "U12 Boys record",
                      AND(E156="U12G",G156&gt;=Data!$M$13), "U12 Girls record"
                       ),""), "")</f>
        <v/>
      </c>
      <c r="M156" s="18" cm="1">
        <f t="array" ref="M156">_xlfn.IFS($G156="",0,AND(NOT(ISNUMBER($G156)),LOWER(LEFT($G156,1))&lt;&gt;"n"),"Not a valid distance",OR(LOWER(LEFT($G156,1))="n",$G156&lt;ScoringTable!$P$161),1,RIGHT($E156,1)="B",_xlfn.XLOOKUP($G156,ScoringTable!$P$2:$P$161,ScoringTable!$L$2:$L$161,,-1),TRUE,_xlfn.XLOOKUP($G156,ScoringTable!$V$2:$V$161,ScoringTable!$R$2:$R$161,,-1))</f>
        <v>0</v>
      </c>
    </row>
    <row r="157" spans="1:13" ht="16.05" customHeight="1">
      <c r="A157" s="80" t="s">
        <v>104</v>
      </c>
      <c r="B157" s="79" t="str">
        <f>IF(ISNA(VLOOKUP($F157,Declarations!B$6:C$185,2,FALSE)),"",IF(VLOOKUP($F157,Declarations!B$6:C$185,2,FALSE)="","NOT DECLARED",IF(ISNA(_xlfn.TEXTBEFORE(VLOOKUP($F157,Declarations!B$6:C$185,2,FALSE)," ")),VLOOKUP($F157,Declarations!B$6:C$185,2,FALSE),_xlfn.TEXTBEFORE(VLOOKUP($F157,Declarations!B$6:C$185,2,FALSE)," "))))</f>
        <v/>
      </c>
      <c r="C157" s="79" t="str">
        <f>IF(ISNA(VLOOKUP($F157,Declarations!B$6:C$185,2,FALSE)),"",IF(VLOOKUP($F157,Declarations!B$6:C$185,2,FALSE)="","NOT DECLARED",IF(ISNA(_xlfn.TEXTAFTER(VLOOKUP($F157,Declarations!B$6:C$185,2,FALSE)," ")),VLOOKUP($F157,Declarations!B$6:C$185,2,FALSE),_xlfn.TEXTAFTER(VLOOKUP($F157,Declarations!B$6:C$185,2,FALSE)," "))))</f>
        <v/>
      </c>
      <c r="D157" s="79" t="str">
        <f>IF(ISNA(VLOOKUP($F157,Declarations!$B$6:$F$185,5,FALSE)),"",IF(VLOOKUP($F157,Declarations!$B$6:$F$185,5,FALSE)="","NOT DECLARED",VLOOKUP($F157,Declarations!$B$6:$F$185,5,FALSE)))</f>
        <v/>
      </c>
      <c r="E157" s="112" t="str">
        <f>IF(ISNA(VLOOKUP($F157,Declarations!$B$6:$D$185,3,FALSE)),"",IF(VLOOKUP($F157,Declarations!$B$6:$D$185,3,FALSE)="","NOT DECLARED",VLOOKUP($F157,Declarations!$B$6:$D$185,3,FALSE)&amp;LEFT(VLOOKUP($F157,Declarations!$B$6:$E$185,4,FALSE))))</f>
        <v/>
      </c>
      <c r="F157" s="20"/>
      <c r="G157" s="21"/>
      <c r="H157" s="281"/>
      <c r="I157" s="8" t="str">
        <f>IF(ISNA(VLOOKUP(F157,Declarations!B$6:C$185,2,FALSE)),"",IF(VLOOKUP(F157,Declarations!B$6:C$185,2,FALSE)="","NOT DECLARED",VLOOKUP(F157,Declarations!B$6:C$185,2,FALSE)))</f>
        <v/>
      </c>
      <c r="J157" s="2">
        <f>IF(LOWER(LEFT(G157,1))="n",1,VLOOKUP(G157,ScoringTable!E$2:I$95,5))</f>
        <v>0</v>
      </c>
      <c r="K157" s="112" t="str">
        <f>IF(OR(E157="",G157=""),"",IF(RIGHT(E157,1)="G",_xlfn.XLOOKUP(G157,Data!$D$13:$L$13,Data!$D$9:$L$9,"",-1,1),_xlfn.XLOOKUP(G157,Data!$D$6:$L$6,Data!$D$2:$L$2,"",-1,1)))</f>
        <v/>
      </c>
      <c r="L157" s="160" t="str" cm="1">
        <f t="array" ref="L157">IFERROR(_xlfn.IFNA(
                      _xlfn.IFS(
                      F157="", "",
                      AND(E157="U12B",G157&gt;=Data!$M$6), "U12 Boys record",
                      AND(E157="U12G",G157&gt;=Data!$M$13), "U12 Girls record"
                       ),""), "")</f>
        <v/>
      </c>
      <c r="M157" s="18" cm="1">
        <f t="array" ref="M157">_xlfn.IFS($G157="",0,AND(NOT(ISNUMBER($G157)),LOWER(LEFT($G157,1))&lt;&gt;"n"),"Not a valid distance",OR(LOWER(LEFT($G157,1))="n",$G157&lt;ScoringTable!$P$161),1,RIGHT($E157,1)="B",_xlfn.XLOOKUP($G157,ScoringTable!$P$2:$P$161,ScoringTable!$L$2:$L$161,,-1),TRUE,_xlfn.XLOOKUP($G157,ScoringTable!$V$2:$V$161,ScoringTable!$R$2:$R$161,,-1))</f>
        <v>0</v>
      </c>
    </row>
    <row r="158" spans="1:13" ht="16.05" customHeight="1">
      <c r="A158" s="80" t="s">
        <v>104</v>
      </c>
      <c r="B158" s="79" t="str">
        <f>IF(ISNA(VLOOKUP($F158,Declarations!B$6:C$185,2,FALSE)),"",IF(VLOOKUP($F158,Declarations!B$6:C$185,2,FALSE)="","NOT DECLARED",IF(ISNA(_xlfn.TEXTBEFORE(VLOOKUP($F158,Declarations!B$6:C$185,2,FALSE)," ")),VLOOKUP($F158,Declarations!B$6:C$185,2,FALSE),_xlfn.TEXTBEFORE(VLOOKUP($F158,Declarations!B$6:C$185,2,FALSE)," "))))</f>
        <v/>
      </c>
      <c r="C158" s="79" t="str">
        <f>IF(ISNA(VLOOKUP($F158,Declarations!B$6:C$185,2,FALSE)),"",IF(VLOOKUP($F158,Declarations!B$6:C$185,2,FALSE)="","NOT DECLARED",IF(ISNA(_xlfn.TEXTAFTER(VLOOKUP($F158,Declarations!B$6:C$185,2,FALSE)," ")),VLOOKUP($F158,Declarations!B$6:C$185,2,FALSE),_xlfn.TEXTAFTER(VLOOKUP($F158,Declarations!B$6:C$185,2,FALSE)," "))))</f>
        <v/>
      </c>
      <c r="D158" s="79" t="str">
        <f>IF(ISNA(VLOOKUP($F158,Declarations!$B$6:$F$185,5,FALSE)),"",IF(VLOOKUP($F158,Declarations!$B$6:$F$185,5,FALSE)="","NOT DECLARED",VLOOKUP($F158,Declarations!$B$6:$F$185,5,FALSE)))</f>
        <v/>
      </c>
      <c r="E158" s="112" t="str">
        <f>IF(ISNA(VLOOKUP($F158,Declarations!$B$6:$D$185,3,FALSE)),"",IF(VLOOKUP($F158,Declarations!$B$6:$D$185,3,FALSE)="","NOT DECLARED",VLOOKUP($F158,Declarations!$B$6:$D$185,3,FALSE)&amp;LEFT(VLOOKUP($F158,Declarations!$B$6:$E$185,4,FALSE))))</f>
        <v/>
      </c>
      <c r="F158" s="20"/>
      <c r="G158" s="21"/>
      <c r="H158" s="281"/>
      <c r="I158" s="8" t="str">
        <f>IF(ISNA(VLOOKUP(F158,Declarations!B$6:C$185,2,FALSE)),"",IF(VLOOKUP(F158,Declarations!B$6:C$185,2,FALSE)="","NOT DECLARED",VLOOKUP(F158,Declarations!B$6:C$185,2,FALSE)))</f>
        <v/>
      </c>
      <c r="J158" s="2">
        <f>IF(LOWER(LEFT(G158,1))="n",1,VLOOKUP(G158,ScoringTable!E$2:I$95,5))</f>
        <v>0</v>
      </c>
      <c r="K158" s="112" t="str">
        <f>IF(OR(E158="",G158=""),"",IF(RIGHT(E158,1)="G",_xlfn.XLOOKUP(G158,Data!$D$13:$L$13,Data!$D$9:$L$9,"",-1,1),_xlfn.XLOOKUP(G158,Data!$D$6:$L$6,Data!$D$2:$L$2,"",-1,1)))</f>
        <v/>
      </c>
      <c r="L158" s="160" t="str" cm="1">
        <f t="array" ref="L158">IFERROR(_xlfn.IFNA(
                      _xlfn.IFS(
                      F158="", "",
                      AND(E158="U12B",G158&gt;=Data!$M$6), "U12 Boys record",
                      AND(E158="U12G",G158&gt;=Data!$M$13), "U12 Girls record"
                       ),""), "")</f>
        <v/>
      </c>
      <c r="M158" s="18" cm="1">
        <f t="array" ref="M158">_xlfn.IFS($G158="",0,AND(NOT(ISNUMBER($G158)),LOWER(LEFT($G158,1))&lt;&gt;"n"),"Not a valid distance",OR(LOWER(LEFT($G158,1))="n",$G158&lt;ScoringTable!$P$161),1,RIGHT($E158,1)="B",_xlfn.XLOOKUP($G158,ScoringTable!$P$2:$P$161,ScoringTable!$L$2:$L$161,,-1),TRUE,_xlfn.XLOOKUP($G158,ScoringTable!$V$2:$V$161,ScoringTable!$R$2:$R$161,,-1))</f>
        <v>0</v>
      </c>
    </row>
    <row r="159" spans="1:13" ht="16.05" customHeight="1">
      <c r="A159" s="80" t="s">
        <v>104</v>
      </c>
      <c r="B159" s="79" t="str">
        <f>IF(ISNA(VLOOKUP($F159,Declarations!B$6:C$185,2,FALSE)),"",IF(VLOOKUP($F159,Declarations!B$6:C$185,2,FALSE)="","NOT DECLARED",IF(ISNA(_xlfn.TEXTBEFORE(VLOOKUP($F159,Declarations!B$6:C$185,2,FALSE)," ")),VLOOKUP($F159,Declarations!B$6:C$185,2,FALSE),_xlfn.TEXTBEFORE(VLOOKUP($F159,Declarations!B$6:C$185,2,FALSE)," "))))</f>
        <v/>
      </c>
      <c r="C159" s="79" t="str">
        <f>IF(ISNA(VLOOKUP($F159,Declarations!B$6:C$185,2,FALSE)),"",IF(VLOOKUP($F159,Declarations!B$6:C$185,2,FALSE)="","NOT DECLARED",IF(ISNA(_xlfn.TEXTAFTER(VLOOKUP($F159,Declarations!B$6:C$185,2,FALSE)," ")),VLOOKUP($F159,Declarations!B$6:C$185,2,FALSE),_xlfn.TEXTAFTER(VLOOKUP($F159,Declarations!B$6:C$185,2,FALSE)," "))))</f>
        <v/>
      </c>
      <c r="D159" s="79" t="str">
        <f>IF(ISNA(VLOOKUP($F159,Declarations!$B$6:$F$185,5,FALSE)),"",IF(VLOOKUP($F159,Declarations!$B$6:$F$185,5,FALSE)="","NOT DECLARED",VLOOKUP($F159,Declarations!$B$6:$F$185,5,FALSE)))</f>
        <v/>
      </c>
      <c r="E159" s="112" t="str">
        <f>IF(ISNA(VLOOKUP($F159,Declarations!$B$6:$D$185,3,FALSE)),"",IF(VLOOKUP($F159,Declarations!$B$6:$D$185,3,FALSE)="","NOT DECLARED",VLOOKUP($F159,Declarations!$B$6:$D$185,3,FALSE)&amp;LEFT(VLOOKUP($F159,Declarations!$B$6:$E$185,4,FALSE))))</f>
        <v/>
      </c>
      <c r="F159" s="20"/>
      <c r="G159" s="21"/>
      <c r="H159" s="281"/>
      <c r="I159" s="8" t="str">
        <f>IF(ISNA(VLOOKUP(F159,Declarations!B$6:C$185,2,FALSE)),"",IF(VLOOKUP(F159,Declarations!B$6:C$185,2,FALSE)="","NOT DECLARED",VLOOKUP(F159,Declarations!B$6:C$185,2,FALSE)))</f>
        <v/>
      </c>
      <c r="J159" s="2">
        <f>IF(LOWER(LEFT(G159,1))="n",1,VLOOKUP(G159,ScoringTable!E$2:I$95,5))</f>
        <v>0</v>
      </c>
      <c r="K159" s="112" t="str">
        <f>IF(OR(E159="",G159=""),"",IF(RIGHT(E159,1)="G",_xlfn.XLOOKUP(G159,Data!$D$13:$L$13,Data!$D$9:$L$9,"",-1,1),_xlfn.XLOOKUP(G159,Data!$D$6:$L$6,Data!$D$2:$L$2,"",-1,1)))</f>
        <v/>
      </c>
      <c r="L159" s="160" t="str" cm="1">
        <f t="array" ref="L159">IFERROR(_xlfn.IFNA(
                      _xlfn.IFS(
                      F159="", "",
                      AND(E159="U12B",G159&gt;=Data!$M$6), "U12 Boys record",
                      AND(E159="U12G",G159&gt;=Data!$M$13), "U12 Girls record"
                       ),""), "")</f>
        <v/>
      </c>
      <c r="M159" s="18" cm="1">
        <f t="array" ref="M159">_xlfn.IFS($G159="",0,AND(NOT(ISNUMBER($G159)),LOWER(LEFT($G159,1))&lt;&gt;"n"),"Not a valid distance",OR(LOWER(LEFT($G159,1))="n",$G159&lt;ScoringTable!$P$161),1,RIGHT($E159,1)="B",_xlfn.XLOOKUP($G159,ScoringTable!$P$2:$P$161,ScoringTable!$L$2:$L$161,,-1),TRUE,_xlfn.XLOOKUP($G159,ScoringTable!$V$2:$V$161,ScoringTable!$R$2:$R$161,,-1))</f>
        <v>0</v>
      </c>
    </row>
    <row r="160" spans="1:13" ht="16.05" customHeight="1">
      <c r="A160" s="80" t="s">
        <v>104</v>
      </c>
      <c r="B160" s="79" t="str">
        <f>IF(ISNA(VLOOKUP($F160,Declarations!B$6:C$185,2,FALSE)),"",IF(VLOOKUP($F160,Declarations!B$6:C$185,2,FALSE)="","NOT DECLARED",IF(ISNA(_xlfn.TEXTBEFORE(VLOOKUP($F160,Declarations!B$6:C$185,2,FALSE)," ")),VLOOKUP($F160,Declarations!B$6:C$185,2,FALSE),_xlfn.TEXTBEFORE(VLOOKUP($F160,Declarations!B$6:C$185,2,FALSE)," "))))</f>
        <v/>
      </c>
      <c r="C160" s="79" t="str">
        <f>IF(ISNA(VLOOKUP($F160,Declarations!B$6:C$185,2,FALSE)),"",IF(VLOOKUP($F160,Declarations!B$6:C$185,2,FALSE)="","NOT DECLARED",IF(ISNA(_xlfn.TEXTAFTER(VLOOKUP($F160,Declarations!B$6:C$185,2,FALSE)," ")),VLOOKUP($F160,Declarations!B$6:C$185,2,FALSE),_xlfn.TEXTAFTER(VLOOKUP($F160,Declarations!B$6:C$185,2,FALSE)," "))))</f>
        <v/>
      </c>
      <c r="D160" s="79" t="str">
        <f>IF(ISNA(VLOOKUP($F160,Declarations!$B$6:$F$185,5,FALSE)),"",IF(VLOOKUP($F160,Declarations!$B$6:$F$185,5,FALSE)="","NOT DECLARED",VLOOKUP($F160,Declarations!$B$6:$F$185,5,FALSE)))</f>
        <v/>
      </c>
      <c r="E160" s="112" t="str">
        <f>IF(ISNA(VLOOKUP($F160,Declarations!$B$6:$D$185,3,FALSE)),"",IF(VLOOKUP($F160,Declarations!$B$6:$D$185,3,FALSE)="","NOT DECLARED",VLOOKUP($F160,Declarations!$B$6:$D$185,3,FALSE)&amp;LEFT(VLOOKUP($F160,Declarations!$B$6:$E$185,4,FALSE))))</f>
        <v/>
      </c>
      <c r="F160" s="20"/>
      <c r="G160" s="21"/>
      <c r="H160" s="281"/>
      <c r="I160" s="8" t="str">
        <f>IF(ISNA(VLOOKUP(F160,Declarations!B$6:C$185,2,FALSE)),"",IF(VLOOKUP(F160,Declarations!B$6:C$185,2,FALSE)="","NOT DECLARED",VLOOKUP(F160,Declarations!B$6:C$185,2,FALSE)))</f>
        <v/>
      </c>
      <c r="J160" s="2">
        <f>IF(LOWER(LEFT(G160,1))="n",1,VLOOKUP(G160,ScoringTable!E$2:I$95,5))</f>
        <v>0</v>
      </c>
      <c r="K160" s="112" t="str">
        <f>IF(OR(E160="",G160=""),"",IF(RIGHT(E160,1)="G",_xlfn.XLOOKUP(G160,Data!$D$13:$L$13,Data!$D$9:$L$9,"",-1,1),_xlfn.XLOOKUP(G160,Data!$D$6:$L$6,Data!$D$2:$L$2,"",-1,1)))</f>
        <v/>
      </c>
      <c r="L160" s="160" t="str" cm="1">
        <f t="array" ref="L160">IFERROR(_xlfn.IFNA(
                      _xlfn.IFS(
                      F160="", "",
                      AND(E160="U12B",G160&gt;=Data!$M$6), "U12 Boys record",
                      AND(E160="U12G",G160&gt;=Data!$M$13), "U12 Girls record"
                       ),""), "")</f>
        <v/>
      </c>
      <c r="M160" s="18" cm="1">
        <f t="array" ref="M160">_xlfn.IFS($G160="",0,AND(NOT(ISNUMBER($G160)),LOWER(LEFT($G160,1))&lt;&gt;"n"),"Not a valid distance",OR(LOWER(LEFT($G160,1))="n",$G160&lt;ScoringTable!$P$161),1,RIGHT($E160,1)="B",_xlfn.XLOOKUP($G160,ScoringTable!$P$2:$P$161,ScoringTable!$L$2:$L$161,,-1),TRUE,_xlfn.XLOOKUP($G160,ScoringTable!$V$2:$V$161,ScoringTable!$R$2:$R$161,,-1))</f>
        <v>0</v>
      </c>
    </row>
    <row r="161" spans="1:13" ht="16.05" customHeight="1">
      <c r="A161" s="80" t="s">
        <v>104</v>
      </c>
      <c r="B161" s="79" t="str">
        <f>IF(ISNA(VLOOKUP($F161,Declarations!B$6:C$185,2,FALSE)),"",IF(VLOOKUP($F161,Declarations!B$6:C$185,2,FALSE)="","NOT DECLARED",IF(ISNA(_xlfn.TEXTBEFORE(VLOOKUP($F161,Declarations!B$6:C$185,2,FALSE)," ")),VLOOKUP($F161,Declarations!B$6:C$185,2,FALSE),_xlfn.TEXTBEFORE(VLOOKUP($F161,Declarations!B$6:C$185,2,FALSE)," "))))</f>
        <v/>
      </c>
      <c r="C161" s="79" t="str">
        <f>IF(ISNA(VLOOKUP($F161,Declarations!B$6:C$185,2,FALSE)),"",IF(VLOOKUP($F161,Declarations!B$6:C$185,2,FALSE)="","NOT DECLARED",IF(ISNA(_xlfn.TEXTAFTER(VLOOKUP($F161,Declarations!B$6:C$185,2,FALSE)," ")),VLOOKUP($F161,Declarations!B$6:C$185,2,FALSE),_xlfn.TEXTAFTER(VLOOKUP($F161,Declarations!B$6:C$185,2,FALSE)," "))))</f>
        <v/>
      </c>
      <c r="D161" s="79" t="str">
        <f>IF(ISNA(VLOOKUP($F161,Declarations!$B$6:$F$185,5,FALSE)),"",IF(VLOOKUP($F161,Declarations!$B$6:$F$185,5,FALSE)="","NOT DECLARED",VLOOKUP($F161,Declarations!$B$6:$F$185,5,FALSE)))</f>
        <v/>
      </c>
      <c r="E161" s="112" t="str">
        <f>IF(ISNA(VLOOKUP($F161,Declarations!$B$6:$D$185,3,FALSE)),"",IF(VLOOKUP($F161,Declarations!$B$6:$D$185,3,FALSE)="","NOT DECLARED",VLOOKUP($F161,Declarations!$B$6:$D$185,3,FALSE)&amp;LEFT(VLOOKUP($F161,Declarations!$B$6:$E$185,4,FALSE))))</f>
        <v/>
      </c>
      <c r="F161" s="20"/>
      <c r="G161" s="21"/>
      <c r="H161" s="281"/>
      <c r="I161" s="8" t="str">
        <f>IF(ISNA(VLOOKUP(F161,Declarations!B$6:C$185,2,FALSE)),"",IF(VLOOKUP(F161,Declarations!B$6:C$185,2,FALSE)="","NOT DECLARED",VLOOKUP(F161,Declarations!B$6:C$185,2,FALSE)))</f>
        <v/>
      </c>
      <c r="J161" s="2">
        <f>IF(LOWER(LEFT(G161,1))="n",1,VLOOKUP(G161,ScoringTable!E$2:I$95,5))</f>
        <v>0</v>
      </c>
      <c r="K161" s="112" t="str">
        <f>IF(OR(E161="",G161=""),"",IF(RIGHT(E161,1)="G",_xlfn.XLOOKUP(G161,Data!$D$13:$L$13,Data!$D$9:$L$9,"",-1,1),_xlfn.XLOOKUP(G161,Data!$D$6:$L$6,Data!$D$2:$L$2,"",-1,1)))</f>
        <v/>
      </c>
      <c r="L161" s="160" t="str" cm="1">
        <f t="array" ref="L161">IFERROR(_xlfn.IFNA(
                      _xlfn.IFS(
                      F161="", "",
                      AND(E161="U12B",G161&gt;=Data!$M$6), "U12 Boys record",
                      AND(E161="U12G",G161&gt;=Data!$M$13), "U12 Girls record"
                       ),""), "")</f>
        <v/>
      </c>
      <c r="M161" s="18" cm="1">
        <f t="array" ref="M161">_xlfn.IFS($G161="",0,AND(NOT(ISNUMBER($G161)),LOWER(LEFT($G161,1))&lt;&gt;"n"),"Not a valid distance",OR(LOWER(LEFT($G161,1))="n",$G161&lt;ScoringTable!$P$161),1,RIGHT($E161,1)="B",_xlfn.XLOOKUP($G161,ScoringTable!$P$2:$P$161,ScoringTable!$L$2:$L$161,,-1),TRUE,_xlfn.XLOOKUP($G161,ScoringTable!$V$2:$V$161,ScoringTable!$R$2:$R$161,,-1))</f>
        <v>0</v>
      </c>
    </row>
    <row r="162" spans="1:13" ht="16.05" customHeight="1">
      <c r="A162" s="80" t="s">
        <v>104</v>
      </c>
      <c r="B162" s="79" t="str">
        <f>IF(ISNA(VLOOKUP($F162,Declarations!B$6:C$185,2,FALSE)),"",IF(VLOOKUP($F162,Declarations!B$6:C$185,2,FALSE)="","NOT DECLARED",IF(ISNA(_xlfn.TEXTBEFORE(VLOOKUP($F162,Declarations!B$6:C$185,2,FALSE)," ")),VLOOKUP($F162,Declarations!B$6:C$185,2,FALSE),_xlfn.TEXTBEFORE(VLOOKUP($F162,Declarations!B$6:C$185,2,FALSE)," "))))</f>
        <v/>
      </c>
      <c r="C162" s="79" t="str">
        <f>IF(ISNA(VLOOKUP($F162,Declarations!B$6:C$185,2,FALSE)),"",IF(VLOOKUP($F162,Declarations!B$6:C$185,2,FALSE)="","NOT DECLARED",IF(ISNA(_xlfn.TEXTAFTER(VLOOKUP($F162,Declarations!B$6:C$185,2,FALSE)," ")),VLOOKUP($F162,Declarations!B$6:C$185,2,FALSE),_xlfn.TEXTAFTER(VLOOKUP($F162,Declarations!B$6:C$185,2,FALSE)," "))))</f>
        <v/>
      </c>
      <c r="D162" s="79" t="str">
        <f>IF(ISNA(VLOOKUP($F162,Declarations!$B$6:$F$185,5,FALSE)),"",IF(VLOOKUP($F162,Declarations!$B$6:$F$185,5,FALSE)="","NOT DECLARED",VLOOKUP($F162,Declarations!$B$6:$F$185,5,FALSE)))</f>
        <v/>
      </c>
      <c r="E162" s="112" t="str">
        <f>IF(ISNA(VLOOKUP($F162,Declarations!$B$6:$D$185,3,FALSE)),"",IF(VLOOKUP($F162,Declarations!$B$6:$D$185,3,FALSE)="","NOT DECLARED",VLOOKUP($F162,Declarations!$B$6:$D$185,3,FALSE)&amp;LEFT(VLOOKUP($F162,Declarations!$B$6:$E$185,4,FALSE))))</f>
        <v/>
      </c>
      <c r="F162" s="20"/>
      <c r="G162" s="21"/>
      <c r="H162" s="281"/>
      <c r="I162" s="8" t="str">
        <f>IF(ISNA(VLOOKUP(F162,Declarations!B$6:C$185,2,FALSE)),"",IF(VLOOKUP(F162,Declarations!B$6:C$185,2,FALSE)="","NOT DECLARED",VLOOKUP(F162,Declarations!B$6:C$185,2,FALSE)))</f>
        <v/>
      </c>
      <c r="J162" s="2">
        <f>IF(LOWER(LEFT(G162,1))="n",1,VLOOKUP(G162,ScoringTable!E$2:I$95,5))</f>
        <v>0</v>
      </c>
      <c r="K162" s="112" t="str">
        <f>IF(OR(E162="",G162=""),"",IF(RIGHT(E162,1)="G",_xlfn.XLOOKUP(G162,Data!$D$13:$L$13,Data!$D$9:$L$9,"",-1,1),_xlfn.XLOOKUP(G162,Data!$D$6:$L$6,Data!$D$2:$L$2,"",-1,1)))</f>
        <v/>
      </c>
      <c r="L162" s="160" t="str" cm="1">
        <f t="array" ref="L162">IFERROR(_xlfn.IFNA(
                      _xlfn.IFS(
                      F162="", "",
                      AND(E162="U12B",G162&gt;=Data!$M$6), "U12 Boys record",
                      AND(E162="U12G",G162&gt;=Data!$M$13), "U12 Girls record"
                       ),""), "")</f>
        <v/>
      </c>
      <c r="M162" s="18" cm="1">
        <f t="array" ref="M162">_xlfn.IFS($G162="",0,AND(NOT(ISNUMBER($G162)),LOWER(LEFT($G162,1))&lt;&gt;"n"),"Not a valid distance",OR(LOWER(LEFT($G162,1))="n",$G162&lt;ScoringTable!$P$161),1,RIGHT($E162,1)="B",_xlfn.XLOOKUP($G162,ScoringTable!$P$2:$P$161,ScoringTable!$L$2:$L$161,,-1),TRUE,_xlfn.XLOOKUP($G162,ScoringTable!$V$2:$V$161,ScoringTable!$R$2:$R$161,,-1))</f>
        <v>0</v>
      </c>
    </row>
    <row r="163" spans="1:13" ht="16.05" customHeight="1">
      <c r="A163" s="80" t="s">
        <v>104</v>
      </c>
      <c r="B163" s="79" t="str">
        <f>IF(ISNA(VLOOKUP($F163,Declarations!B$6:C$185,2,FALSE)),"",IF(VLOOKUP($F163,Declarations!B$6:C$185,2,FALSE)="","NOT DECLARED",IF(ISNA(_xlfn.TEXTBEFORE(VLOOKUP($F163,Declarations!B$6:C$185,2,FALSE)," ")),VLOOKUP($F163,Declarations!B$6:C$185,2,FALSE),_xlfn.TEXTBEFORE(VLOOKUP($F163,Declarations!B$6:C$185,2,FALSE)," "))))</f>
        <v/>
      </c>
      <c r="C163" s="79" t="str">
        <f>IF(ISNA(VLOOKUP($F163,Declarations!B$6:C$185,2,FALSE)),"",IF(VLOOKUP($F163,Declarations!B$6:C$185,2,FALSE)="","NOT DECLARED",IF(ISNA(_xlfn.TEXTAFTER(VLOOKUP($F163,Declarations!B$6:C$185,2,FALSE)," ")),VLOOKUP($F163,Declarations!B$6:C$185,2,FALSE),_xlfn.TEXTAFTER(VLOOKUP($F163,Declarations!B$6:C$185,2,FALSE)," "))))</f>
        <v/>
      </c>
      <c r="D163" s="79" t="str">
        <f>IF(ISNA(VLOOKUP($F163,Declarations!$B$6:$F$185,5,FALSE)),"",IF(VLOOKUP($F163,Declarations!$B$6:$F$185,5,FALSE)="","NOT DECLARED",VLOOKUP($F163,Declarations!$B$6:$F$185,5,FALSE)))</f>
        <v/>
      </c>
      <c r="E163" s="112" t="str">
        <f>IF(ISNA(VLOOKUP($F163,Declarations!$B$6:$D$185,3,FALSE)),"",IF(VLOOKUP($F163,Declarations!$B$6:$D$185,3,FALSE)="","NOT DECLARED",VLOOKUP($F163,Declarations!$B$6:$D$185,3,FALSE)&amp;LEFT(VLOOKUP($F163,Declarations!$B$6:$E$185,4,FALSE))))</f>
        <v/>
      </c>
      <c r="F163" s="20"/>
      <c r="G163" s="21"/>
      <c r="H163" s="281"/>
      <c r="I163" s="8" t="str">
        <f>IF(ISNA(VLOOKUP(F163,Declarations!B$6:C$185,2,FALSE)),"",IF(VLOOKUP(F163,Declarations!B$6:C$185,2,FALSE)="","NOT DECLARED",VLOOKUP(F163,Declarations!B$6:C$185,2,FALSE)))</f>
        <v/>
      </c>
      <c r="J163" s="2">
        <f>IF(LOWER(LEFT(G163,1))="n",1,VLOOKUP(G163,ScoringTable!E$2:I$95,5))</f>
        <v>0</v>
      </c>
      <c r="K163" s="112" t="str">
        <f>IF(OR(E163="",G163=""),"",IF(RIGHT(E163,1)="G",_xlfn.XLOOKUP(G163,Data!$D$13:$L$13,Data!$D$9:$L$9,"",-1,1),_xlfn.XLOOKUP(G163,Data!$D$6:$L$6,Data!$D$2:$L$2,"",-1,1)))</f>
        <v/>
      </c>
      <c r="L163" s="160" t="str" cm="1">
        <f t="array" ref="L163">IFERROR(_xlfn.IFNA(
                      _xlfn.IFS(
                      F163="", "",
                      AND(E163="U12B",G163&gt;=Data!$M$6), "U12 Boys record",
                      AND(E163="U12G",G163&gt;=Data!$M$13), "U12 Girls record"
                       ),""), "")</f>
        <v/>
      </c>
      <c r="M163" s="18" cm="1">
        <f t="array" ref="M163">_xlfn.IFS($G163="",0,AND(NOT(ISNUMBER($G163)),LOWER(LEFT($G163,1))&lt;&gt;"n"),"Not a valid distance",OR(LOWER(LEFT($G163,1))="n",$G163&lt;ScoringTable!$P$161),1,RIGHT($E163,1)="B",_xlfn.XLOOKUP($G163,ScoringTable!$P$2:$P$161,ScoringTable!$L$2:$L$161,,-1),TRUE,_xlfn.XLOOKUP($G163,ScoringTable!$V$2:$V$161,ScoringTable!$R$2:$R$161,,-1))</f>
        <v>0</v>
      </c>
    </row>
    <row r="164" spans="1:13" ht="16.05" customHeight="1">
      <c r="A164" s="80" t="s">
        <v>104</v>
      </c>
      <c r="B164" s="79" t="str">
        <f>IF(ISNA(VLOOKUP($F164,Declarations!B$6:C$185,2,FALSE)),"",IF(VLOOKUP($F164,Declarations!B$6:C$185,2,FALSE)="","NOT DECLARED",IF(ISNA(_xlfn.TEXTBEFORE(VLOOKUP($F164,Declarations!B$6:C$185,2,FALSE)," ")),VLOOKUP($F164,Declarations!B$6:C$185,2,FALSE),_xlfn.TEXTBEFORE(VLOOKUP($F164,Declarations!B$6:C$185,2,FALSE)," "))))</f>
        <v/>
      </c>
      <c r="C164" s="79" t="str">
        <f>IF(ISNA(VLOOKUP($F164,Declarations!B$6:C$185,2,FALSE)),"",IF(VLOOKUP($F164,Declarations!B$6:C$185,2,FALSE)="","NOT DECLARED",IF(ISNA(_xlfn.TEXTAFTER(VLOOKUP($F164,Declarations!B$6:C$185,2,FALSE)," ")),VLOOKUP($F164,Declarations!B$6:C$185,2,FALSE),_xlfn.TEXTAFTER(VLOOKUP($F164,Declarations!B$6:C$185,2,FALSE)," "))))</f>
        <v/>
      </c>
      <c r="D164" s="79" t="str">
        <f>IF(ISNA(VLOOKUP($F164,Declarations!$B$6:$F$185,5,FALSE)),"",IF(VLOOKUP($F164,Declarations!$B$6:$F$185,5,FALSE)="","NOT DECLARED",VLOOKUP($F164,Declarations!$B$6:$F$185,5,FALSE)))</f>
        <v/>
      </c>
      <c r="E164" s="112" t="str">
        <f>IF(ISNA(VLOOKUP($F164,Declarations!$B$6:$D$185,3,FALSE)),"",IF(VLOOKUP($F164,Declarations!$B$6:$D$185,3,FALSE)="","NOT DECLARED",VLOOKUP($F164,Declarations!$B$6:$D$185,3,FALSE)&amp;LEFT(VLOOKUP($F164,Declarations!$B$6:$E$185,4,FALSE))))</f>
        <v/>
      </c>
      <c r="F164" s="20"/>
      <c r="G164" s="21"/>
      <c r="H164" s="281"/>
      <c r="I164" s="8" t="str">
        <f>IF(ISNA(VLOOKUP(F164,Declarations!B$6:C$185,2,FALSE)),"",IF(VLOOKUP(F164,Declarations!B$6:C$185,2,FALSE)="","NOT DECLARED",VLOOKUP(F164,Declarations!B$6:C$185,2,FALSE)))</f>
        <v/>
      </c>
      <c r="J164" s="2">
        <f>IF(LOWER(LEFT(G164,1))="n",1,VLOOKUP(G164,ScoringTable!E$2:I$95,5))</f>
        <v>0</v>
      </c>
      <c r="K164" s="112" t="str">
        <f>IF(OR(E164="",G164=""),"",IF(RIGHT(E164,1)="G",_xlfn.XLOOKUP(G164,Data!$D$13:$L$13,Data!$D$9:$L$9,"",-1,1),_xlfn.XLOOKUP(G164,Data!$D$6:$L$6,Data!$D$2:$L$2,"",-1,1)))</f>
        <v/>
      </c>
      <c r="L164" s="160" t="str" cm="1">
        <f t="array" ref="L164">IFERROR(_xlfn.IFNA(
                      _xlfn.IFS(
                      F164="", "",
                      AND(E164="U12B",G164&gt;=Data!$M$6), "U12 Boys record",
                      AND(E164="U12G",G164&gt;=Data!$M$13), "U12 Girls record"
                       ),""), "")</f>
        <v/>
      </c>
      <c r="M164" s="18" cm="1">
        <f t="array" ref="M164">_xlfn.IFS($G164="",0,AND(NOT(ISNUMBER($G164)),LOWER(LEFT($G164,1))&lt;&gt;"n"),"Not a valid distance",OR(LOWER(LEFT($G164,1))="n",$G164&lt;ScoringTable!$P$161),1,RIGHT($E164,1)="B",_xlfn.XLOOKUP($G164,ScoringTable!$P$2:$P$161,ScoringTable!$L$2:$L$161,,-1),TRUE,_xlfn.XLOOKUP($G164,ScoringTable!$V$2:$V$161,ScoringTable!$R$2:$R$161,,-1))</f>
        <v>0</v>
      </c>
    </row>
    <row r="165" spans="1:13" ht="16.05" customHeight="1">
      <c r="A165" s="80" t="s">
        <v>104</v>
      </c>
      <c r="B165" s="79" t="str">
        <f>IF(ISNA(VLOOKUP($F165,Declarations!B$6:C$185,2,FALSE)),"",IF(VLOOKUP($F165,Declarations!B$6:C$185,2,FALSE)="","NOT DECLARED",IF(ISNA(_xlfn.TEXTBEFORE(VLOOKUP($F165,Declarations!B$6:C$185,2,FALSE)," ")),VLOOKUP($F165,Declarations!B$6:C$185,2,FALSE),_xlfn.TEXTBEFORE(VLOOKUP($F165,Declarations!B$6:C$185,2,FALSE)," "))))</f>
        <v/>
      </c>
      <c r="C165" s="79" t="str">
        <f>IF(ISNA(VLOOKUP($F165,Declarations!B$6:C$185,2,FALSE)),"",IF(VLOOKUP($F165,Declarations!B$6:C$185,2,FALSE)="","NOT DECLARED",IF(ISNA(_xlfn.TEXTAFTER(VLOOKUP($F165,Declarations!B$6:C$185,2,FALSE)," ")),VLOOKUP($F165,Declarations!B$6:C$185,2,FALSE),_xlfn.TEXTAFTER(VLOOKUP($F165,Declarations!B$6:C$185,2,FALSE)," "))))</f>
        <v/>
      </c>
      <c r="D165" s="79" t="str">
        <f>IF(ISNA(VLOOKUP($F165,Declarations!$B$6:$F$185,5,FALSE)),"",IF(VLOOKUP($F165,Declarations!$B$6:$F$185,5,FALSE)="","NOT DECLARED",VLOOKUP($F165,Declarations!$B$6:$F$185,5,FALSE)))</f>
        <v/>
      </c>
      <c r="E165" s="112" t="str">
        <f>IF(ISNA(VLOOKUP($F165,Declarations!$B$6:$D$185,3,FALSE)),"",IF(VLOOKUP($F165,Declarations!$B$6:$D$185,3,FALSE)="","NOT DECLARED",VLOOKUP($F165,Declarations!$B$6:$D$185,3,FALSE)&amp;LEFT(VLOOKUP($F165,Declarations!$B$6:$E$185,4,FALSE))))</f>
        <v/>
      </c>
      <c r="F165" s="20"/>
      <c r="G165" s="21"/>
      <c r="H165" s="281"/>
      <c r="I165" s="8" t="str">
        <f>IF(ISNA(VLOOKUP(F165,Declarations!B$6:C$185,2,FALSE)),"",IF(VLOOKUP(F165,Declarations!B$6:C$185,2,FALSE)="","NOT DECLARED",VLOOKUP(F165,Declarations!B$6:C$185,2,FALSE)))</f>
        <v/>
      </c>
      <c r="J165" s="2">
        <f>IF(LOWER(LEFT(G165,1))="n",1,VLOOKUP(G165,ScoringTable!E$2:I$95,5))</f>
        <v>0</v>
      </c>
      <c r="K165" s="112" t="str">
        <f>IF(OR(E165="",G165=""),"",IF(RIGHT(E165,1)="G",_xlfn.XLOOKUP(G165,Data!$D$13:$L$13,Data!$D$9:$L$9,"",-1,1),_xlfn.XLOOKUP(G165,Data!$D$6:$L$6,Data!$D$2:$L$2,"",-1,1)))</f>
        <v/>
      </c>
      <c r="L165" s="160" t="str" cm="1">
        <f t="array" ref="L165">IFERROR(_xlfn.IFNA(
                      _xlfn.IFS(
                      F165="", "",
                      AND(E165="U12B",G165&gt;=Data!$M$6), "U12 Boys record",
                      AND(E165="U12G",G165&gt;=Data!$M$13), "U12 Girls record"
                       ),""), "")</f>
        <v/>
      </c>
      <c r="M165" s="18" cm="1">
        <f t="array" ref="M165">_xlfn.IFS($G165="",0,AND(NOT(ISNUMBER($G165)),LOWER(LEFT($G165,1))&lt;&gt;"n"),"Not a valid distance",OR(LOWER(LEFT($G165,1))="n",$G165&lt;ScoringTable!$P$161),1,RIGHT($E165,1)="B",_xlfn.XLOOKUP($G165,ScoringTable!$P$2:$P$161,ScoringTable!$L$2:$L$161,,-1),TRUE,_xlfn.XLOOKUP($G165,ScoringTable!$V$2:$V$161,ScoringTable!$R$2:$R$161,,-1))</f>
        <v>0</v>
      </c>
    </row>
    <row r="166" spans="1:13" ht="16.05" customHeight="1">
      <c r="A166" s="80" t="s">
        <v>104</v>
      </c>
      <c r="B166" s="79" t="str">
        <f>IF(ISNA(VLOOKUP($F166,Declarations!B$6:C$185,2,FALSE)),"",IF(VLOOKUP($F166,Declarations!B$6:C$185,2,FALSE)="","NOT DECLARED",IF(ISNA(_xlfn.TEXTBEFORE(VLOOKUP($F166,Declarations!B$6:C$185,2,FALSE)," ")),VLOOKUP($F166,Declarations!B$6:C$185,2,FALSE),_xlfn.TEXTBEFORE(VLOOKUP($F166,Declarations!B$6:C$185,2,FALSE)," "))))</f>
        <v/>
      </c>
      <c r="C166" s="79" t="str">
        <f>IF(ISNA(VLOOKUP($F166,Declarations!B$6:C$185,2,FALSE)),"",IF(VLOOKUP($F166,Declarations!B$6:C$185,2,FALSE)="","NOT DECLARED",IF(ISNA(_xlfn.TEXTAFTER(VLOOKUP($F166,Declarations!B$6:C$185,2,FALSE)," ")),VLOOKUP($F166,Declarations!B$6:C$185,2,FALSE),_xlfn.TEXTAFTER(VLOOKUP($F166,Declarations!B$6:C$185,2,FALSE)," "))))</f>
        <v/>
      </c>
      <c r="D166" s="79" t="str">
        <f>IF(ISNA(VLOOKUP($F166,Declarations!$B$6:$F$185,5,FALSE)),"",IF(VLOOKUP($F166,Declarations!$B$6:$F$185,5,FALSE)="","NOT DECLARED",VLOOKUP($F166,Declarations!$B$6:$F$185,5,FALSE)))</f>
        <v/>
      </c>
      <c r="E166" s="112" t="str">
        <f>IF(ISNA(VLOOKUP($F166,Declarations!$B$6:$D$185,3,FALSE)),"",IF(VLOOKUP($F166,Declarations!$B$6:$D$185,3,FALSE)="","NOT DECLARED",VLOOKUP($F166,Declarations!$B$6:$D$185,3,FALSE)&amp;LEFT(VLOOKUP($F166,Declarations!$B$6:$E$185,4,FALSE))))</f>
        <v/>
      </c>
      <c r="F166" s="20"/>
      <c r="G166" s="21"/>
      <c r="H166" s="281"/>
      <c r="I166" s="8" t="str">
        <f>IF(ISNA(VLOOKUP(F166,Declarations!B$6:C$185,2,FALSE)),"",IF(VLOOKUP(F166,Declarations!B$6:C$185,2,FALSE)="","NOT DECLARED",VLOOKUP(F166,Declarations!B$6:C$185,2,FALSE)))</f>
        <v/>
      </c>
      <c r="J166" s="2">
        <f>IF(LOWER(LEFT(G166,1))="n",1,VLOOKUP(G166,ScoringTable!E$2:I$95,5))</f>
        <v>0</v>
      </c>
      <c r="K166" s="112" t="str">
        <f>IF(OR(E166="",G166=""),"",IF(RIGHT(E166,1)="G",_xlfn.XLOOKUP(G166,Data!$D$13:$L$13,Data!$D$9:$L$9,"",-1,1),_xlfn.XLOOKUP(G166,Data!$D$6:$L$6,Data!$D$2:$L$2,"",-1,1)))</f>
        <v/>
      </c>
      <c r="L166" s="160" t="str" cm="1">
        <f t="array" ref="L166">IFERROR(_xlfn.IFNA(
                      _xlfn.IFS(
                      F166="", "",
                      AND(E166="U12B",G166&gt;=Data!$M$6), "U12 Boys record",
                      AND(E166="U12G",G166&gt;=Data!$M$13), "U12 Girls record"
                       ),""), "")</f>
        <v/>
      </c>
      <c r="M166" s="18" cm="1">
        <f t="array" ref="M166">_xlfn.IFS($G166="",0,AND(NOT(ISNUMBER($G166)),LOWER(LEFT($G166,1))&lt;&gt;"n"),"Not a valid distance",OR(LOWER(LEFT($G166,1))="n",$G166&lt;ScoringTable!$P$161),1,RIGHT($E166,1)="B",_xlfn.XLOOKUP($G166,ScoringTable!$P$2:$P$161,ScoringTable!$L$2:$L$161,,-1),TRUE,_xlfn.XLOOKUP($G166,ScoringTable!$V$2:$V$161,ScoringTable!$R$2:$R$161,,-1))</f>
        <v>0</v>
      </c>
    </row>
    <row r="167" spans="1:13" ht="16.05" customHeight="1">
      <c r="A167" s="80" t="s">
        <v>104</v>
      </c>
      <c r="B167" s="79" t="str">
        <f>IF(ISNA(VLOOKUP($F167,Declarations!B$6:C$185,2,FALSE)),"",IF(VLOOKUP($F167,Declarations!B$6:C$185,2,FALSE)="","NOT DECLARED",IF(ISNA(_xlfn.TEXTBEFORE(VLOOKUP($F167,Declarations!B$6:C$185,2,FALSE)," ")),VLOOKUP($F167,Declarations!B$6:C$185,2,FALSE),_xlfn.TEXTBEFORE(VLOOKUP($F167,Declarations!B$6:C$185,2,FALSE)," "))))</f>
        <v/>
      </c>
      <c r="C167" s="79" t="str">
        <f>IF(ISNA(VLOOKUP($F167,Declarations!B$6:C$185,2,FALSE)),"",IF(VLOOKUP($F167,Declarations!B$6:C$185,2,FALSE)="","NOT DECLARED",IF(ISNA(_xlfn.TEXTAFTER(VLOOKUP($F167,Declarations!B$6:C$185,2,FALSE)," ")),VLOOKUP($F167,Declarations!B$6:C$185,2,FALSE),_xlfn.TEXTAFTER(VLOOKUP($F167,Declarations!B$6:C$185,2,FALSE)," "))))</f>
        <v/>
      </c>
      <c r="D167" s="79" t="str">
        <f>IF(ISNA(VLOOKUP($F167,Declarations!$B$6:$F$185,5,FALSE)),"",IF(VLOOKUP($F167,Declarations!$B$6:$F$185,5,FALSE)="","NOT DECLARED",VLOOKUP($F167,Declarations!$B$6:$F$185,5,FALSE)))</f>
        <v/>
      </c>
      <c r="E167" s="112" t="str">
        <f>IF(ISNA(VLOOKUP($F167,Declarations!$B$6:$D$185,3,FALSE)),"",IF(VLOOKUP($F167,Declarations!$B$6:$D$185,3,FALSE)="","NOT DECLARED",VLOOKUP($F167,Declarations!$B$6:$D$185,3,FALSE)&amp;LEFT(VLOOKUP($F167,Declarations!$B$6:$E$185,4,FALSE))))</f>
        <v/>
      </c>
      <c r="F167" s="20"/>
      <c r="G167" s="21"/>
      <c r="H167" s="281"/>
      <c r="I167" s="8" t="str">
        <f>IF(ISNA(VLOOKUP(F167,Declarations!B$6:C$185,2,FALSE)),"",IF(VLOOKUP(F167,Declarations!B$6:C$185,2,FALSE)="","NOT DECLARED",VLOOKUP(F167,Declarations!B$6:C$185,2,FALSE)))</f>
        <v/>
      </c>
      <c r="J167" s="2">
        <f>IF(LOWER(LEFT(G167,1))="n",1,VLOOKUP(G167,ScoringTable!E$2:I$95,5))</f>
        <v>0</v>
      </c>
      <c r="K167" s="112" t="str">
        <f>IF(OR(E167="",G167=""),"",IF(RIGHT(E167,1)="G",_xlfn.XLOOKUP(G167,Data!$D$13:$L$13,Data!$D$9:$L$9,"",-1,1),_xlfn.XLOOKUP(G167,Data!$D$6:$L$6,Data!$D$2:$L$2,"",-1,1)))</f>
        <v/>
      </c>
      <c r="L167" s="160" t="str" cm="1">
        <f t="array" ref="L167">IFERROR(_xlfn.IFNA(
                      _xlfn.IFS(
                      F167="", "",
                      AND(E167="U12B",G167&gt;=Data!$M$6), "U12 Boys record",
                      AND(E167="U12G",G167&gt;=Data!$M$13), "U12 Girls record"
                       ),""), "")</f>
        <v/>
      </c>
      <c r="M167" s="18" cm="1">
        <f t="array" ref="M167">_xlfn.IFS($G167="",0,AND(NOT(ISNUMBER($G167)),LOWER(LEFT($G167,1))&lt;&gt;"n"),"Not a valid distance",OR(LOWER(LEFT($G167,1))="n",$G167&lt;ScoringTable!$P$161),1,RIGHT($E167,1)="B",_xlfn.XLOOKUP($G167,ScoringTable!$P$2:$P$161,ScoringTable!$L$2:$L$161,,-1),TRUE,_xlfn.XLOOKUP($G167,ScoringTable!$V$2:$V$161,ScoringTable!$R$2:$R$161,,-1))</f>
        <v>0</v>
      </c>
    </row>
    <row r="168" spans="1:13" ht="16.05" customHeight="1">
      <c r="A168" s="80" t="s">
        <v>104</v>
      </c>
      <c r="B168" s="79" t="str">
        <f>IF(ISNA(VLOOKUP($F168,Declarations!B$6:C$185,2,FALSE)),"",IF(VLOOKUP($F168,Declarations!B$6:C$185,2,FALSE)="","NOT DECLARED",IF(ISNA(_xlfn.TEXTBEFORE(VLOOKUP($F168,Declarations!B$6:C$185,2,FALSE)," ")),VLOOKUP($F168,Declarations!B$6:C$185,2,FALSE),_xlfn.TEXTBEFORE(VLOOKUP($F168,Declarations!B$6:C$185,2,FALSE)," "))))</f>
        <v/>
      </c>
      <c r="C168" s="79" t="str">
        <f>IF(ISNA(VLOOKUP($F168,Declarations!B$6:C$185,2,FALSE)),"",IF(VLOOKUP($F168,Declarations!B$6:C$185,2,FALSE)="","NOT DECLARED",IF(ISNA(_xlfn.TEXTAFTER(VLOOKUP($F168,Declarations!B$6:C$185,2,FALSE)," ")),VLOOKUP($F168,Declarations!B$6:C$185,2,FALSE),_xlfn.TEXTAFTER(VLOOKUP($F168,Declarations!B$6:C$185,2,FALSE)," "))))</f>
        <v/>
      </c>
      <c r="D168" s="79" t="str">
        <f>IF(ISNA(VLOOKUP($F168,Declarations!$B$6:$F$185,5,FALSE)),"",IF(VLOOKUP($F168,Declarations!$B$6:$F$185,5,FALSE)="","NOT DECLARED",VLOOKUP($F168,Declarations!$B$6:$F$185,5,FALSE)))</f>
        <v/>
      </c>
      <c r="E168" s="112" t="str">
        <f>IF(ISNA(VLOOKUP($F168,Declarations!$B$6:$D$185,3,FALSE)),"",IF(VLOOKUP($F168,Declarations!$B$6:$D$185,3,FALSE)="","NOT DECLARED",VLOOKUP($F168,Declarations!$B$6:$D$185,3,FALSE)&amp;LEFT(VLOOKUP($F168,Declarations!$B$6:$E$185,4,FALSE))))</f>
        <v/>
      </c>
      <c r="F168" s="20"/>
      <c r="G168" s="21"/>
      <c r="H168" s="281"/>
      <c r="I168" s="8" t="str">
        <f>IF(ISNA(VLOOKUP(F168,Declarations!B$6:C$185,2,FALSE)),"",IF(VLOOKUP(F168,Declarations!B$6:C$185,2,FALSE)="","NOT DECLARED",VLOOKUP(F168,Declarations!B$6:C$185,2,FALSE)))</f>
        <v/>
      </c>
      <c r="J168" s="2">
        <f>IF(LOWER(LEFT(G168,1))="n",1,VLOOKUP(G168,ScoringTable!E$2:I$95,5))</f>
        <v>0</v>
      </c>
      <c r="K168" s="112" t="str">
        <f>IF(OR(E168="",G168=""),"",IF(RIGHT(E168,1)="G",_xlfn.XLOOKUP(G168,Data!$D$13:$L$13,Data!$D$9:$L$9,"",-1,1),_xlfn.XLOOKUP(G168,Data!$D$6:$L$6,Data!$D$2:$L$2,"",-1,1)))</f>
        <v/>
      </c>
      <c r="L168" s="160" t="str" cm="1">
        <f t="array" ref="L168">IFERROR(_xlfn.IFNA(
                      _xlfn.IFS(
                      F168="", "",
                      AND(E168="U12B",G168&gt;=Data!$M$6), "U12 Boys record",
                      AND(E168="U12G",G168&gt;=Data!$M$13), "U12 Girls record"
                       ),""), "")</f>
        <v/>
      </c>
      <c r="M168" s="18" cm="1">
        <f t="array" ref="M168">_xlfn.IFS($G168="",0,AND(NOT(ISNUMBER($G168)),LOWER(LEFT($G168,1))&lt;&gt;"n"),"Not a valid distance",OR(LOWER(LEFT($G168,1))="n",$G168&lt;ScoringTable!$P$161),1,RIGHT($E168,1)="B",_xlfn.XLOOKUP($G168,ScoringTable!$P$2:$P$161,ScoringTable!$L$2:$L$161,,-1),TRUE,_xlfn.XLOOKUP($G168,ScoringTable!$V$2:$V$161,ScoringTable!$R$2:$R$161,,-1))</f>
        <v>0</v>
      </c>
    </row>
    <row r="169" spans="1:13" ht="16.05" customHeight="1">
      <c r="A169" s="80" t="s">
        <v>104</v>
      </c>
      <c r="B169" s="79" t="str">
        <f>IF(ISNA(VLOOKUP($F169,Declarations!B$6:C$185,2,FALSE)),"",IF(VLOOKUP($F169,Declarations!B$6:C$185,2,FALSE)="","NOT DECLARED",IF(ISNA(_xlfn.TEXTBEFORE(VLOOKUP($F169,Declarations!B$6:C$185,2,FALSE)," ")),VLOOKUP($F169,Declarations!B$6:C$185,2,FALSE),_xlfn.TEXTBEFORE(VLOOKUP($F169,Declarations!B$6:C$185,2,FALSE)," "))))</f>
        <v/>
      </c>
      <c r="C169" s="79" t="str">
        <f>IF(ISNA(VLOOKUP($F169,Declarations!B$6:C$185,2,FALSE)),"",IF(VLOOKUP($F169,Declarations!B$6:C$185,2,FALSE)="","NOT DECLARED",IF(ISNA(_xlfn.TEXTAFTER(VLOOKUP($F169,Declarations!B$6:C$185,2,FALSE)," ")),VLOOKUP($F169,Declarations!B$6:C$185,2,FALSE),_xlfn.TEXTAFTER(VLOOKUP($F169,Declarations!B$6:C$185,2,FALSE)," "))))</f>
        <v/>
      </c>
      <c r="D169" s="79" t="str">
        <f>IF(ISNA(VLOOKUP($F169,Declarations!$B$6:$F$185,5,FALSE)),"",IF(VLOOKUP($F169,Declarations!$B$6:$F$185,5,FALSE)="","NOT DECLARED",VLOOKUP($F169,Declarations!$B$6:$F$185,5,FALSE)))</f>
        <v/>
      </c>
      <c r="E169" s="112" t="str">
        <f>IF(ISNA(VLOOKUP($F169,Declarations!$B$6:$D$185,3,FALSE)),"",IF(VLOOKUP($F169,Declarations!$B$6:$D$185,3,FALSE)="","NOT DECLARED",VLOOKUP($F169,Declarations!$B$6:$D$185,3,FALSE)&amp;LEFT(VLOOKUP($F169,Declarations!$B$6:$E$185,4,FALSE))))</f>
        <v/>
      </c>
      <c r="F169" s="20"/>
      <c r="G169" s="21"/>
      <c r="H169" s="281"/>
      <c r="I169" s="8" t="str">
        <f>IF(ISNA(VLOOKUP(F169,Declarations!B$6:C$185,2,FALSE)),"",IF(VLOOKUP(F169,Declarations!B$6:C$185,2,FALSE)="","NOT DECLARED",VLOOKUP(F169,Declarations!B$6:C$185,2,FALSE)))</f>
        <v/>
      </c>
      <c r="J169" s="2">
        <f>IF(LOWER(LEFT(G169,1))="n",1,VLOOKUP(G169,ScoringTable!E$2:I$95,5))</f>
        <v>0</v>
      </c>
      <c r="K169" s="112" t="str">
        <f>IF(OR(E169="",G169=""),"",IF(RIGHT(E169,1)="G",_xlfn.XLOOKUP(G169,Data!$D$13:$L$13,Data!$D$9:$L$9,"",-1,1),_xlfn.XLOOKUP(G169,Data!$D$6:$L$6,Data!$D$2:$L$2,"",-1,1)))</f>
        <v/>
      </c>
      <c r="L169" s="160" t="str" cm="1">
        <f t="array" ref="L169">IFERROR(_xlfn.IFNA(
                      _xlfn.IFS(
                      F169="", "",
                      AND(E169="U12B",G169&gt;=Data!$M$6), "U12 Boys record",
                      AND(E169="U12G",G169&gt;=Data!$M$13), "U12 Girls record"
                       ),""), "")</f>
        <v/>
      </c>
      <c r="M169" s="18" cm="1">
        <f t="array" ref="M169">_xlfn.IFS($G169="",0,AND(NOT(ISNUMBER($G169)),LOWER(LEFT($G169,1))&lt;&gt;"n"),"Not a valid distance",OR(LOWER(LEFT($G169,1))="n",$G169&lt;ScoringTable!$P$161),1,RIGHT($E169,1)="B",_xlfn.XLOOKUP($G169,ScoringTable!$P$2:$P$161,ScoringTable!$L$2:$L$161,,-1),TRUE,_xlfn.XLOOKUP($G169,ScoringTable!$V$2:$V$161,ScoringTable!$R$2:$R$161,,-1))</f>
        <v>0</v>
      </c>
    </row>
    <row r="170" spans="1:13" ht="16.05" customHeight="1">
      <c r="A170" s="80" t="s">
        <v>104</v>
      </c>
      <c r="B170" s="79" t="str">
        <f>IF(ISNA(VLOOKUP($F170,Declarations!B$6:C$185,2,FALSE)),"",IF(VLOOKUP($F170,Declarations!B$6:C$185,2,FALSE)="","NOT DECLARED",IF(ISNA(_xlfn.TEXTBEFORE(VLOOKUP($F170,Declarations!B$6:C$185,2,FALSE)," ")),VLOOKUP($F170,Declarations!B$6:C$185,2,FALSE),_xlfn.TEXTBEFORE(VLOOKUP($F170,Declarations!B$6:C$185,2,FALSE)," "))))</f>
        <v/>
      </c>
      <c r="C170" s="79" t="str">
        <f>IF(ISNA(VLOOKUP($F170,Declarations!B$6:C$185,2,FALSE)),"",IF(VLOOKUP($F170,Declarations!B$6:C$185,2,FALSE)="","NOT DECLARED",IF(ISNA(_xlfn.TEXTAFTER(VLOOKUP($F170,Declarations!B$6:C$185,2,FALSE)," ")),VLOOKUP($F170,Declarations!B$6:C$185,2,FALSE),_xlfn.TEXTAFTER(VLOOKUP($F170,Declarations!B$6:C$185,2,FALSE)," "))))</f>
        <v/>
      </c>
      <c r="D170" s="79" t="str">
        <f>IF(ISNA(VLOOKUP($F170,Declarations!$B$6:$F$185,5,FALSE)),"",IF(VLOOKUP($F170,Declarations!$B$6:$F$185,5,FALSE)="","NOT DECLARED",VLOOKUP($F170,Declarations!$B$6:$F$185,5,FALSE)))</f>
        <v/>
      </c>
      <c r="E170" s="112" t="str">
        <f>IF(ISNA(VLOOKUP($F170,Declarations!$B$6:$D$185,3,FALSE)),"",IF(VLOOKUP($F170,Declarations!$B$6:$D$185,3,FALSE)="","NOT DECLARED",VLOOKUP($F170,Declarations!$B$6:$D$185,3,FALSE)&amp;LEFT(VLOOKUP($F170,Declarations!$B$6:$E$185,4,FALSE))))</f>
        <v/>
      </c>
      <c r="F170" s="20"/>
      <c r="G170" s="21"/>
      <c r="H170" s="281"/>
      <c r="I170" s="8" t="str">
        <f>IF(ISNA(VLOOKUP(F170,Declarations!B$6:C$185,2,FALSE)),"",IF(VLOOKUP(F170,Declarations!B$6:C$185,2,FALSE)="","NOT DECLARED",VLOOKUP(F170,Declarations!B$6:C$185,2,FALSE)))</f>
        <v/>
      </c>
      <c r="J170" s="2">
        <f>IF(LOWER(LEFT(G170,1))="n",1,VLOOKUP(G170,ScoringTable!E$2:I$95,5))</f>
        <v>0</v>
      </c>
      <c r="K170" s="112" t="str">
        <f>IF(OR(E170="",G170=""),"",IF(RIGHT(E170,1)="G",_xlfn.XLOOKUP(G170,Data!$D$13:$L$13,Data!$D$9:$L$9,"",-1,1),_xlfn.XLOOKUP(G170,Data!$D$6:$L$6,Data!$D$2:$L$2,"",-1,1)))</f>
        <v/>
      </c>
      <c r="L170" s="160" t="str" cm="1">
        <f t="array" ref="L170">IFERROR(_xlfn.IFNA(
                      _xlfn.IFS(
                      F170="", "",
                      AND(E170="U12B",G170&gt;=Data!$M$6), "U12 Boys record",
                      AND(E170="U12G",G170&gt;=Data!$M$13), "U12 Girls record"
                       ),""), "")</f>
        <v/>
      </c>
      <c r="M170" s="18" cm="1">
        <f t="array" ref="M170">_xlfn.IFS($G170="",0,AND(NOT(ISNUMBER($G170)),LOWER(LEFT($G170,1))&lt;&gt;"n"),"Not a valid distance",OR(LOWER(LEFT($G170,1))="n",$G170&lt;ScoringTable!$P$161),1,RIGHT($E170,1)="B",_xlfn.XLOOKUP($G170,ScoringTable!$P$2:$P$161,ScoringTable!$L$2:$L$161,,-1),TRUE,_xlfn.XLOOKUP($G170,ScoringTable!$V$2:$V$161,ScoringTable!$R$2:$R$161,,-1))</f>
        <v>0</v>
      </c>
    </row>
    <row r="171" spans="1:13" ht="16.05" customHeight="1">
      <c r="A171" s="80" t="s">
        <v>104</v>
      </c>
      <c r="B171" s="79" t="str">
        <f>IF(ISNA(VLOOKUP($F171,Declarations!B$6:C$185,2,FALSE)),"",IF(VLOOKUP($F171,Declarations!B$6:C$185,2,FALSE)="","NOT DECLARED",IF(ISNA(_xlfn.TEXTBEFORE(VLOOKUP($F171,Declarations!B$6:C$185,2,FALSE)," ")),VLOOKUP($F171,Declarations!B$6:C$185,2,FALSE),_xlfn.TEXTBEFORE(VLOOKUP($F171,Declarations!B$6:C$185,2,FALSE)," "))))</f>
        <v/>
      </c>
      <c r="C171" s="79" t="str">
        <f>IF(ISNA(VLOOKUP($F171,Declarations!B$6:C$185,2,FALSE)),"",IF(VLOOKUP($F171,Declarations!B$6:C$185,2,FALSE)="","NOT DECLARED",IF(ISNA(_xlfn.TEXTAFTER(VLOOKUP($F171,Declarations!B$6:C$185,2,FALSE)," ")),VLOOKUP($F171,Declarations!B$6:C$185,2,FALSE),_xlfn.TEXTAFTER(VLOOKUP($F171,Declarations!B$6:C$185,2,FALSE)," "))))</f>
        <v/>
      </c>
      <c r="D171" s="79" t="str">
        <f>IF(ISNA(VLOOKUP($F171,Declarations!$B$6:$F$185,5,FALSE)),"",IF(VLOOKUP($F171,Declarations!$B$6:$F$185,5,FALSE)="","NOT DECLARED",VLOOKUP($F171,Declarations!$B$6:$F$185,5,FALSE)))</f>
        <v/>
      </c>
      <c r="E171" s="112" t="str">
        <f>IF(ISNA(VLOOKUP($F171,Declarations!$B$6:$D$185,3,FALSE)),"",IF(VLOOKUP($F171,Declarations!$B$6:$D$185,3,FALSE)="","NOT DECLARED",VLOOKUP($F171,Declarations!$B$6:$D$185,3,FALSE)&amp;LEFT(VLOOKUP($F171,Declarations!$B$6:$E$185,4,FALSE))))</f>
        <v/>
      </c>
      <c r="F171" s="20"/>
      <c r="G171" s="21"/>
      <c r="H171" s="281"/>
      <c r="I171" s="8" t="str">
        <f>IF(ISNA(VLOOKUP(F171,Declarations!B$6:C$185,2,FALSE)),"",IF(VLOOKUP(F171,Declarations!B$6:C$185,2,FALSE)="","NOT DECLARED",VLOOKUP(F171,Declarations!B$6:C$185,2,FALSE)))</f>
        <v/>
      </c>
      <c r="J171" s="2">
        <f>IF(LOWER(LEFT(G171,1))="n",1,VLOOKUP(G171,ScoringTable!E$2:I$95,5))</f>
        <v>0</v>
      </c>
      <c r="K171" s="112" t="str">
        <f>IF(OR(E171="",G171=""),"",IF(RIGHT(E171,1)="G",_xlfn.XLOOKUP(G171,Data!$D$13:$L$13,Data!$D$9:$L$9,"",-1,1),_xlfn.XLOOKUP(G171,Data!$D$6:$L$6,Data!$D$2:$L$2,"",-1,1)))</f>
        <v/>
      </c>
      <c r="L171" s="160" t="str" cm="1">
        <f t="array" ref="L171">IFERROR(_xlfn.IFNA(
                      _xlfn.IFS(
                      F171="", "",
                      AND(E171="U12B",G171&gt;=Data!$M$6), "U12 Boys record",
                      AND(E171="U12G",G171&gt;=Data!$M$13), "U12 Girls record"
                       ),""), "")</f>
        <v/>
      </c>
      <c r="M171" s="18" cm="1">
        <f t="array" ref="M171">_xlfn.IFS($G171="",0,AND(NOT(ISNUMBER($G171)),LOWER(LEFT($G171,1))&lt;&gt;"n"),"Not a valid distance",OR(LOWER(LEFT($G171,1))="n",$G171&lt;ScoringTable!$P$161),1,RIGHT($E171,1)="B",_xlfn.XLOOKUP($G171,ScoringTable!$P$2:$P$161,ScoringTable!$L$2:$L$161,,-1),TRUE,_xlfn.XLOOKUP($G171,ScoringTable!$V$2:$V$161,ScoringTable!$R$2:$R$161,,-1))</f>
        <v>0</v>
      </c>
    </row>
    <row r="172" spans="1:13" ht="16.05" customHeight="1">
      <c r="A172" s="80" t="s">
        <v>104</v>
      </c>
      <c r="B172" s="79" t="str">
        <f>IF(ISNA(VLOOKUP($F172,Declarations!B$6:C$185,2,FALSE)),"",IF(VLOOKUP($F172,Declarations!B$6:C$185,2,FALSE)="","NOT DECLARED",IF(ISNA(_xlfn.TEXTBEFORE(VLOOKUP($F172,Declarations!B$6:C$185,2,FALSE)," ")),VLOOKUP($F172,Declarations!B$6:C$185,2,FALSE),_xlfn.TEXTBEFORE(VLOOKUP($F172,Declarations!B$6:C$185,2,FALSE)," "))))</f>
        <v/>
      </c>
      <c r="C172" s="79" t="str">
        <f>IF(ISNA(VLOOKUP($F172,Declarations!B$6:C$185,2,FALSE)),"",IF(VLOOKUP($F172,Declarations!B$6:C$185,2,FALSE)="","NOT DECLARED",IF(ISNA(_xlfn.TEXTAFTER(VLOOKUP($F172,Declarations!B$6:C$185,2,FALSE)," ")),VLOOKUP($F172,Declarations!B$6:C$185,2,FALSE),_xlfn.TEXTAFTER(VLOOKUP($F172,Declarations!B$6:C$185,2,FALSE)," "))))</f>
        <v/>
      </c>
      <c r="D172" s="79" t="str">
        <f>IF(ISNA(VLOOKUP($F172,Declarations!$B$6:$F$185,5,FALSE)),"",IF(VLOOKUP($F172,Declarations!$B$6:$F$185,5,FALSE)="","NOT DECLARED",VLOOKUP($F172,Declarations!$B$6:$F$185,5,FALSE)))</f>
        <v/>
      </c>
      <c r="E172" s="112" t="str">
        <f>IF(ISNA(VLOOKUP($F172,Declarations!$B$6:$D$185,3,FALSE)),"",IF(VLOOKUP($F172,Declarations!$B$6:$D$185,3,FALSE)="","NOT DECLARED",VLOOKUP($F172,Declarations!$B$6:$D$185,3,FALSE)&amp;LEFT(VLOOKUP($F172,Declarations!$B$6:$E$185,4,FALSE))))</f>
        <v/>
      </c>
      <c r="F172" s="20"/>
      <c r="G172" s="21"/>
      <c r="H172" s="281"/>
      <c r="I172" s="8" t="str">
        <f>IF(ISNA(VLOOKUP(F172,Declarations!B$6:C$185,2,FALSE)),"",IF(VLOOKUP(F172,Declarations!B$6:C$185,2,FALSE)="","NOT DECLARED",VLOOKUP(F172,Declarations!B$6:C$185,2,FALSE)))</f>
        <v/>
      </c>
      <c r="J172" s="2">
        <f>IF(LOWER(LEFT(G172,1))="n",1,VLOOKUP(G172,ScoringTable!E$2:I$95,5))</f>
        <v>0</v>
      </c>
      <c r="K172" s="112" t="str">
        <f>IF(OR(E172="",G172=""),"",IF(RIGHT(E172,1)="G",_xlfn.XLOOKUP(G172,Data!$D$13:$L$13,Data!$D$9:$L$9,"",-1,1),_xlfn.XLOOKUP(G172,Data!$D$6:$L$6,Data!$D$2:$L$2,"",-1,1)))</f>
        <v/>
      </c>
      <c r="L172" s="160" t="str" cm="1">
        <f t="array" ref="L172">IFERROR(_xlfn.IFNA(
                      _xlfn.IFS(
                      F172="", "",
                      AND(E172="U12B",G172&gt;=Data!$M$6), "U12 Boys record",
                      AND(E172="U12G",G172&gt;=Data!$M$13), "U12 Girls record"
                       ),""), "")</f>
        <v/>
      </c>
      <c r="M172" s="18" cm="1">
        <f t="array" ref="M172">_xlfn.IFS($G172="",0,AND(NOT(ISNUMBER($G172)),LOWER(LEFT($G172,1))&lt;&gt;"n"),"Not a valid distance",OR(LOWER(LEFT($G172,1))="n",$G172&lt;ScoringTable!$P$161),1,RIGHT($E172,1)="B",_xlfn.XLOOKUP($G172,ScoringTable!$P$2:$P$161,ScoringTable!$L$2:$L$161,,-1),TRUE,_xlfn.XLOOKUP($G172,ScoringTable!$V$2:$V$161,ScoringTable!$R$2:$R$161,,-1))</f>
        <v>0</v>
      </c>
    </row>
    <row r="173" spans="1:13" ht="16.05" customHeight="1">
      <c r="A173" s="80" t="s">
        <v>104</v>
      </c>
      <c r="B173" s="79" t="str">
        <f>IF(ISNA(VLOOKUP($F173,Declarations!B$6:C$185,2,FALSE)),"",IF(VLOOKUP($F173,Declarations!B$6:C$185,2,FALSE)="","NOT DECLARED",IF(ISNA(_xlfn.TEXTBEFORE(VLOOKUP($F173,Declarations!B$6:C$185,2,FALSE)," ")),VLOOKUP($F173,Declarations!B$6:C$185,2,FALSE),_xlfn.TEXTBEFORE(VLOOKUP($F173,Declarations!B$6:C$185,2,FALSE)," "))))</f>
        <v/>
      </c>
      <c r="C173" s="79" t="str">
        <f>IF(ISNA(VLOOKUP($F173,Declarations!B$6:C$185,2,FALSE)),"",IF(VLOOKUP($F173,Declarations!B$6:C$185,2,FALSE)="","NOT DECLARED",IF(ISNA(_xlfn.TEXTAFTER(VLOOKUP($F173,Declarations!B$6:C$185,2,FALSE)," ")),VLOOKUP($F173,Declarations!B$6:C$185,2,FALSE),_xlfn.TEXTAFTER(VLOOKUP($F173,Declarations!B$6:C$185,2,FALSE)," "))))</f>
        <v/>
      </c>
      <c r="D173" s="79" t="str">
        <f>IF(ISNA(VLOOKUP($F173,Declarations!$B$6:$F$185,5,FALSE)),"",IF(VLOOKUP($F173,Declarations!$B$6:$F$185,5,FALSE)="","NOT DECLARED",VLOOKUP($F173,Declarations!$B$6:$F$185,5,FALSE)))</f>
        <v/>
      </c>
      <c r="E173" s="112" t="str">
        <f>IF(ISNA(VLOOKUP($F173,Declarations!$B$6:$D$185,3,FALSE)),"",IF(VLOOKUP($F173,Declarations!$B$6:$D$185,3,FALSE)="","NOT DECLARED",VLOOKUP($F173,Declarations!$B$6:$D$185,3,FALSE)&amp;LEFT(VLOOKUP($F173,Declarations!$B$6:$E$185,4,FALSE))))</f>
        <v/>
      </c>
      <c r="F173" s="20"/>
      <c r="G173" s="21"/>
      <c r="H173" s="281"/>
      <c r="I173" s="8" t="str">
        <f>IF(ISNA(VLOOKUP(F173,Declarations!B$6:C$185,2,FALSE)),"",IF(VLOOKUP(F173,Declarations!B$6:C$185,2,FALSE)="","NOT DECLARED",VLOOKUP(F173,Declarations!B$6:C$185,2,FALSE)))</f>
        <v/>
      </c>
      <c r="J173" s="2">
        <f>IF(LOWER(LEFT(G173,1))="n",1,VLOOKUP(G173,ScoringTable!E$2:I$95,5))</f>
        <v>0</v>
      </c>
      <c r="K173" s="112" t="str">
        <f>IF(OR(E173="",G173=""),"",IF(RIGHT(E173,1)="G",_xlfn.XLOOKUP(G173,Data!$D$13:$L$13,Data!$D$9:$L$9,"",-1,1),_xlfn.XLOOKUP(G173,Data!$D$6:$L$6,Data!$D$2:$L$2,"",-1,1)))</f>
        <v/>
      </c>
      <c r="L173" s="160" t="str" cm="1">
        <f t="array" ref="L173">IFERROR(_xlfn.IFNA(
                      _xlfn.IFS(
                      F173="", "",
                      AND(E173="U12B",G173&gt;=Data!$M$6), "U12 Boys record",
                      AND(E173="U12G",G173&gt;=Data!$M$13), "U12 Girls record"
                       ),""), "")</f>
        <v/>
      </c>
      <c r="M173" s="18" cm="1">
        <f t="array" ref="M173">_xlfn.IFS($G173="",0,AND(NOT(ISNUMBER($G173)),LOWER(LEFT($G173,1))&lt;&gt;"n"),"Not a valid distance",OR(LOWER(LEFT($G173,1))="n",$G173&lt;ScoringTable!$P$161),1,RIGHT($E173,1)="B",_xlfn.XLOOKUP($G173,ScoringTable!$P$2:$P$161,ScoringTable!$L$2:$L$161,,-1),TRUE,_xlfn.XLOOKUP($G173,ScoringTable!$V$2:$V$161,ScoringTable!$R$2:$R$161,,-1))</f>
        <v>0</v>
      </c>
    </row>
    <row r="174" spans="1:13" ht="16.05" customHeight="1">
      <c r="A174" s="80" t="s">
        <v>104</v>
      </c>
      <c r="B174" s="79" t="str">
        <f>IF(ISNA(VLOOKUP($F174,Declarations!B$6:C$185,2,FALSE)),"",IF(VLOOKUP($F174,Declarations!B$6:C$185,2,FALSE)="","NOT DECLARED",IF(ISNA(_xlfn.TEXTBEFORE(VLOOKUP($F174,Declarations!B$6:C$185,2,FALSE)," ")),VLOOKUP($F174,Declarations!B$6:C$185,2,FALSE),_xlfn.TEXTBEFORE(VLOOKUP($F174,Declarations!B$6:C$185,2,FALSE)," "))))</f>
        <v/>
      </c>
      <c r="C174" s="79" t="str">
        <f>IF(ISNA(VLOOKUP($F174,Declarations!B$6:C$185,2,FALSE)),"",IF(VLOOKUP($F174,Declarations!B$6:C$185,2,FALSE)="","NOT DECLARED",IF(ISNA(_xlfn.TEXTAFTER(VLOOKUP($F174,Declarations!B$6:C$185,2,FALSE)," ")),VLOOKUP($F174,Declarations!B$6:C$185,2,FALSE),_xlfn.TEXTAFTER(VLOOKUP($F174,Declarations!B$6:C$185,2,FALSE)," "))))</f>
        <v/>
      </c>
      <c r="D174" s="79" t="str">
        <f>IF(ISNA(VLOOKUP($F174,Declarations!$B$6:$F$185,5,FALSE)),"",IF(VLOOKUP($F174,Declarations!$B$6:$F$185,5,FALSE)="","NOT DECLARED",VLOOKUP($F174,Declarations!$B$6:$F$185,5,FALSE)))</f>
        <v/>
      </c>
      <c r="E174" s="112" t="str">
        <f>IF(ISNA(VLOOKUP($F174,Declarations!$B$6:$D$185,3,FALSE)),"",IF(VLOOKUP($F174,Declarations!$B$6:$D$185,3,FALSE)="","NOT DECLARED",VLOOKUP($F174,Declarations!$B$6:$D$185,3,FALSE)&amp;LEFT(VLOOKUP($F174,Declarations!$B$6:$E$185,4,FALSE))))</f>
        <v/>
      </c>
      <c r="F174" s="20"/>
      <c r="G174" s="21"/>
      <c r="H174" s="281"/>
      <c r="I174" s="8" t="str">
        <f>IF(ISNA(VLOOKUP(F174,Declarations!B$6:C$185,2,FALSE)),"",IF(VLOOKUP(F174,Declarations!B$6:C$185,2,FALSE)="","NOT DECLARED",VLOOKUP(F174,Declarations!B$6:C$185,2,FALSE)))</f>
        <v/>
      </c>
      <c r="J174" s="2">
        <f>IF(LOWER(LEFT(G174,1))="n",1,VLOOKUP(G174,ScoringTable!E$2:I$95,5))</f>
        <v>0</v>
      </c>
      <c r="K174" s="112" t="str">
        <f>IF(OR(E174="",G174=""),"",IF(RIGHT(E174,1)="G",_xlfn.XLOOKUP(G174,Data!$D$13:$L$13,Data!$D$9:$L$9,"",-1,1),_xlfn.XLOOKUP(G174,Data!$D$6:$L$6,Data!$D$2:$L$2,"",-1,1)))</f>
        <v/>
      </c>
      <c r="L174" s="160" t="str" cm="1">
        <f t="array" ref="L174">IFERROR(_xlfn.IFNA(
                      _xlfn.IFS(
                      F174="", "",
                      AND(E174="U12B",G174&gt;=Data!$M$6), "U12 Boys record",
                      AND(E174="U12G",G174&gt;=Data!$M$13), "U12 Girls record"
                       ),""), "")</f>
        <v/>
      </c>
      <c r="M174" s="18" cm="1">
        <f t="array" ref="M174">_xlfn.IFS($G174="",0,AND(NOT(ISNUMBER($G174)),LOWER(LEFT($G174,1))&lt;&gt;"n"),"Not a valid distance",OR(LOWER(LEFT($G174,1))="n",$G174&lt;ScoringTable!$P$161),1,RIGHT($E174,1)="B",_xlfn.XLOOKUP($G174,ScoringTable!$P$2:$P$161,ScoringTable!$L$2:$L$161,,-1),TRUE,_xlfn.XLOOKUP($G174,ScoringTable!$V$2:$V$161,ScoringTable!$R$2:$R$161,,-1))</f>
        <v>0</v>
      </c>
    </row>
    <row r="175" spans="1:13" ht="16.05" customHeight="1">
      <c r="A175" s="80" t="s">
        <v>104</v>
      </c>
      <c r="B175" s="79" t="str">
        <f>IF(ISNA(VLOOKUP($F175,Declarations!B$6:C$185,2,FALSE)),"",IF(VLOOKUP($F175,Declarations!B$6:C$185,2,FALSE)="","NOT DECLARED",IF(ISNA(_xlfn.TEXTBEFORE(VLOOKUP($F175,Declarations!B$6:C$185,2,FALSE)," ")),VLOOKUP($F175,Declarations!B$6:C$185,2,FALSE),_xlfn.TEXTBEFORE(VLOOKUP($F175,Declarations!B$6:C$185,2,FALSE)," "))))</f>
        <v/>
      </c>
      <c r="C175" s="79" t="str">
        <f>IF(ISNA(VLOOKUP($F175,Declarations!B$6:C$185,2,FALSE)),"",IF(VLOOKUP($F175,Declarations!B$6:C$185,2,FALSE)="","NOT DECLARED",IF(ISNA(_xlfn.TEXTAFTER(VLOOKUP($F175,Declarations!B$6:C$185,2,FALSE)," ")),VLOOKUP($F175,Declarations!B$6:C$185,2,FALSE),_xlfn.TEXTAFTER(VLOOKUP($F175,Declarations!B$6:C$185,2,FALSE)," "))))</f>
        <v/>
      </c>
      <c r="D175" s="79" t="str">
        <f>IF(ISNA(VLOOKUP($F175,Declarations!$B$6:$F$185,5,FALSE)),"",IF(VLOOKUP($F175,Declarations!$B$6:$F$185,5,FALSE)="","NOT DECLARED",VLOOKUP($F175,Declarations!$B$6:$F$185,5,FALSE)))</f>
        <v/>
      </c>
      <c r="E175" s="112" t="str">
        <f>IF(ISNA(VLOOKUP($F175,Declarations!$B$6:$D$185,3,FALSE)),"",IF(VLOOKUP($F175,Declarations!$B$6:$D$185,3,FALSE)="","NOT DECLARED",VLOOKUP($F175,Declarations!$B$6:$D$185,3,FALSE)&amp;LEFT(VLOOKUP($F175,Declarations!$B$6:$E$185,4,FALSE))))</f>
        <v/>
      </c>
      <c r="F175" s="20"/>
      <c r="G175" s="21"/>
      <c r="H175" s="281"/>
      <c r="I175" s="8" t="str">
        <f>IF(ISNA(VLOOKUP(F175,Declarations!B$6:C$185,2,FALSE)),"",IF(VLOOKUP(F175,Declarations!B$6:C$185,2,FALSE)="","NOT DECLARED",VLOOKUP(F175,Declarations!B$6:C$185,2,FALSE)))</f>
        <v/>
      </c>
      <c r="J175" s="2">
        <f>IF(LOWER(LEFT(G175,1))="n",1,VLOOKUP(G175,ScoringTable!E$2:I$95,5))</f>
        <v>0</v>
      </c>
      <c r="K175" s="112" t="str">
        <f>IF(OR(E175="",G175=""),"",IF(RIGHT(E175,1)="G",_xlfn.XLOOKUP(G175,Data!$D$13:$L$13,Data!$D$9:$L$9,"",-1,1),_xlfn.XLOOKUP(G175,Data!$D$6:$L$6,Data!$D$2:$L$2,"",-1,1)))</f>
        <v/>
      </c>
      <c r="L175" s="160" t="str" cm="1">
        <f t="array" ref="L175">IFERROR(_xlfn.IFNA(
                      _xlfn.IFS(
                      F175="", "",
                      AND(E175="U12B",G175&gt;=Data!$M$6), "U12 Boys record",
                      AND(E175="U12G",G175&gt;=Data!$M$13), "U12 Girls record"
                       ),""), "")</f>
        <v/>
      </c>
      <c r="M175" s="18" cm="1">
        <f t="array" ref="M175">_xlfn.IFS($G175="",0,AND(NOT(ISNUMBER($G175)),LOWER(LEFT($G175,1))&lt;&gt;"n"),"Not a valid distance",OR(LOWER(LEFT($G175,1))="n",$G175&lt;ScoringTable!$P$161),1,RIGHT($E175,1)="B",_xlfn.XLOOKUP($G175,ScoringTable!$P$2:$P$161,ScoringTable!$L$2:$L$161,,-1),TRUE,_xlfn.XLOOKUP($G175,ScoringTable!$V$2:$V$161,ScoringTable!$R$2:$R$161,,-1))</f>
        <v>0</v>
      </c>
    </row>
    <row r="176" spans="1:13" ht="16.05" customHeight="1">
      <c r="A176" s="80" t="s">
        <v>104</v>
      </c>
      <c r="B176" s="79" t="str">
        <f>IF(ISNA(VLOOKUP($F176,Declarations!B$6:C$185,2,FALSE)),"",IF(VLOOKUP($F176,Declarations!B$6:C$185,2,FALSE)="","NOT DECLARED",IF(ISNA(_xlfn.TEXTBEFORE(VLOOKUP($F176,Declarations!B$6:C$185,2,FALSE)," ")),VLOOKUP($F176,Declarations!B$6:C$185,2,FALSE),_xlfn.TEXTBEFORE(VLOOKUP($F176,Declarations!B$6:C$185,2,FALSE)," "))))</f>
        <v/>
      </c>
      <c r="C176" s="79" t="str">
        <f>IF(ISNA(VLOOKUP($F176,Declarations!B$6:C$185,2,FALSE)),"",IF(VLOOKUP($F176,Declarations!B$6:C$185,2,FALSE)="","NOT DECLARED",IF(ISNA(_xlfn.TEXTAFTER(VLOOKUP($F176,Declarations!B$6:C$185,2,FALSE)," ")),VLOOKUP($F176,Declarations!B$6:C$185,2,FALSE),_xlfn.TEXTAFTER(VLOOKUP($F176,Declarations!B$6:C$185,2,FALSE)," "))))</f>
        <v/>
      </c>
      <c r="D176" s="79" t="str">
        <f>IF(ISNA(VLOOKUP($F176,Declarations!$B$6:$F$185,5,FALSE)),"",IF(VLOOKUP($F176,Declarations!$B$6:$F$185,5,FALSE)="","NOT DECLARED",VLOOKUP($F176,Declarations!$B$6:$F$185,5,FALSE)))</f>
        <v/>
      </c>
      <c r="E176" s="112" t="str">
        <f>IF(ISNA(VLOOKUP($F176,Declarations!$B$6:$D$185,3,FALSE)),"",IF(VLOOKUP($F176,Declarations!$B$6:$D$185,3,FALSE)="","NOT DECLARED",VLOOKUP($F176,Declarations!$B$6:$D$185,3,FALSE)&amp;LEFT(VLOOKUP($F176,Declarations!$B$6:$E$185,4,FALSE))))</f>
        <v/>
      </c>
      <c r="F176" s="20"/>
      <c r="G176" s="21"/>
      <c r="H176" s="281"/>
      <c r="I176" s="8" t="str">
        <f>IF(ISNA(VLOOKUP(F176,Declarations!B$6:C$185,2,FALSE)),"",IF(VLOOKUP(F176,Declarations!B$6:C$185,2,FALSE)="","NOT DECLARED",VLOOKUP(F176,Declarations!B$6:C$185,2,FALSE)))</f>
        <v/>
      </c>
      <c r="J176" s="2">
        <f>IF(LOWER(LEFT(G176,1))="n",1,VLOOKUP(G176,ScoringTable!E$2:I$95,5))</f>
        <v>0</v>
      </c>
      <c r="K176" s="112" t="str">
        <f>IF(OR(E176="",G176=""),"",IF(RIGHT(E176,1)="G",_xlfn.XLOOKUP(G176,Data!$D$13:$L$13,Data!$D$9:$L$9,"",-1,1),_xlfn.XLOOKUP(G176,Data!$D$6:$L$6,Data!$D$2:$L$2,"",-1,1)))</f>
        <v/>
      </c>
      <c r="L176" s="160" t="str" cm="1">
        <f t="array" ref="L176">IFERROR(_xlfn.IFNA(
                      _xlfn.IFS(
                      F176="", "",
                      AND(E176="U12B",G176&gt;=Data!$M$6), "U12 Boys record",
                      AND(E176="U12G",G176&gt;=Data!$M$13), "U12 Girls record"
                       ),""), "")</f>
        <v/>
      </c>
      <c r="M176" s="18" cm="1">
        <f t="array" ref="M176">_xlfn.IFS($G176="",0,AND(NOT(ISNUMBER($G176)),LOWER(LEFT($G176,1))&lt;&gt;"n"),"Not a valid distance",OR(LOWER(LEFT($G176,1))="n",$G176&lt;ScoringTable!$P$161),1,RIGHT($E176,1)="B",_xlfn.XLOOKUP($G176,ScoringTable!$P$2:$P$161,ScoringTable!$L$2:$L$161,,-1),TRUE,_xlfn.XLOOKUP($G176,ScoringTable!$V$2:$V$161,ScoringTable!$R$2:$R$161,,-1))</f>
        <v>0</v>
      </c>
    </row>
    <row r="177" spans="1:13" ht="16.05" customHeight="1">
      <c r="A177" s="80" t="s">
        <v>104</v>
      </c>
      <c r="B177" s="79" t="str">
        <f>IF(ISNA(VLOOKUP($F177,Declarations!B$6:C$185,2,FALSE)),"",IF(VLOOKUP($F177,Declarations!B$6:C$185,2,FALSE)="","NOT DECLARED",IF(ISNA(_xlfn.TEXTBEFORE(VLOOKUP($F177,Declarations!B$6:C$185,2,FALSE)," ")),VLOOKUP($F177,Declarations!B$6:C$185,2,FALSE),_xlfn.TEXTBEFORE(VLOOKUP($F177,Declarations!B$6:C$185,2,FALSE)," "))))</f>
        <v/>
      </c>
      <c r="C177" s="79" t="str">
        <f>IF(ISNA(VLOOKUP($F177,Declarations!B$6:C$185,2,FALSE)),"",IF(VLOOKUP($F177,Declarations!B$6:C$185,2,FALSE)="","NOT DECLARED",IF(ISNA(_xlfn.TEXTAFTER(VLOOKUP($F177,Declarations!B$6:C$185,2,FALSE)," ")),VLOOKUP($F177,Declarations!B$6:C$185,2,FALSE),_xlfn.TEXTAFTER(VLOOKUP($F177,Declarations!B$6:C$185,2,FALSE)," "))))</f>
        <v/>
      </c>
      <c r="D177" s="79" t="str">
        <f>IF(ISNA(VLOOKUP($F177,Declarations!$B$6:$F$185,5,FALSE)),"",IF(VLOOKUP($F177,Declarations!$B$6:$F$185,5,FALSE)="","NOT DECLARED",VLOOKUP($F177,Declarations!$B$6:$F$185,5,FALSE)))</f>
        <v/>
      </c>
      <c r="E177" s="112" t="str">
        <f>IF(ISNA(VLOOKUP($F177,Declarations!$B$6:$D$185,3,FALSE)),"",IF(VLOOKUP($F177,Declarations!$B$6:$D$185,3,FALSE)="","NOT DECLARED",VLOOKUP($F177,Declarations!$B$6:$D$185,3,FALSE)&amp;LEFT(VLOOKUP($F177,Declarations!$B$6:$E$185,4,FALSE))))</f>
        <v/>
      </c>
      <c r="F177" s="20"/>
      <c r="G177" s="21"/>
      <c r="H177" s="281"/>
      <c r="I177" s="8" t="str">
        <f>IF(ISNA(VLOOKUP(F177,Declarations!B$6:C$185,2,FALSE)),"",IF(VLOOKUP(F177,Declarations!B$6:C$185,2,FALSE)="","NOT DECLARED",VLOOKUP(F177,Declarations!B$6:C$185,2,FALSE)))</f>
        <v/>
      </c>
      <c r="J177" s="2">
        <f>IF(LOWER(LEFT(G177,1))="n",1,VLOOKUP(G177,ScoringTable!E$2:I$95,5))</f>
        <v>0</v>
      </c>
      <c r="K177" s="112" t="str">
        <f>IF(OR(E177="",G177=""),"",IF(RIGHT(E177,1)="G",_xlfn.XLOOKUP(G177,Data!$D$13:$L$13,Data!$D$9:$L$9,"",-1,1),_xlfn.XLOOKUP(G177,Data!$D$6:$L$6,Data!$D$2:$L$2,"",-1,1)))</f>
        <v/>
      </c>
      <c r="L177" s="160" t="str" cm="1">
        <f t="array" ref="L177">IFERROR(_xlfn.IFNA(
                      _xlfn.IFS(
                      F177="", "",
                      AND(E177="U12B",G177&gt;=Data!$M$6), "U12 Boys record",
                      AND(E177="U12G",G177&gt;=Data!$M$13), "U12 Girls record"
                       ),""), "")</f>
        <v/>
      </c>
      <c r="M177" s="18" cm="1">
        <f t="array" ref="M177">_xlfn.IFS($G177="",0,AND(NOT(ISNUMBER($G177)),LOWER(LEFT($G177,1))&lt;&gt;"n"),"Not a valid distance",OR(LOWER(LEFT($G177,1))="n",$G177&lt;ScoringTable!$P$161),1,RIGHT($E177,1)="B",_xlfn.XLOOKUP($G177,ScoringTable!$P$2:$P$161,ScoringTable!$L$2:$L$161,,-1),TRUE,_xlfn.XLOOKUP($G177,ScoringTable!$V$2:$V$161,ScoringTable!$R$2:$R$161,,-1))</f>
        <v>0</v>
      </c>
    </row>
    <row r="178" spans="1:13" ht="16.05" customHeight="1">
      <c r="A178" s="80" t="s">
        <v>104</v>
      </c>
      <c r="B178" s="79" t="str">
        <f>IF(ISNA(VLOOKUP($F178,Declarations!B$6:C$185,2,FALSE)),"",IF(VLOOKUP($F178,Declarations!B$6:C$185,2,FALSE)="","NOT DECLARED",IF(ISNA(_xlfn.TEXTBEFORE(VLOOKUP($F178,Declarations!B$6:C$185,2,FALSE)," ")),VLOOKUP($F178,Declarations!B$6:C$185,2,FALSE),_xlfn.TEXTBEFORE(VLOOKUP($F178,Declarations!B$6:C$185,2,FALSE)," "))))</f>
        <v/>
      </c>
      <c r="C178" s="79" t="str">
        <f>IF(ISNA(VLOOKUP($F178,Declarations!B$6:C$185,2,FALSE)),"",IF(VLOOKUP($F178,Declarations!B$6:C$185,2,FALSE)="","NOT DECLARED",IF(ISNA(_xlfn.TEXTAFTER(VLOOKUP($F178,Declarations!B$6:C$185,2,FALSE)," ")),VLOOKUP($F178,Declarations!B$6:C$185,2,FALSE),_xlfn.TEXTAFTER(VLOOKUP($F178,Declarations!B$6:C$185,2,FALSE)," "))))</f>
        <v/>
      </c>
      <c r="D178" s="79" t="str">
        <f>IF(ISNA(VLOOKUP($F178,Declarations!$B$6:$F$185,5,FALSE)),"",IF(VLOOKUP($F178,Declarations!$B$6:$F$185,5,FALSE)="","NOT DECLARED",VLOOKUP($F178,Declarations!$B$6:$F$185,5,FALSE)))</f>
        <v/>
      </c>
      <c r="E178" s="112" t="str">
        <f>IF(ISNA(VLOOKUP($F178,Declarations!$B$6:$D$185,3,FALSE)),"",IF(VLOOKUP($F178,Declarations!$B$6:$D$185,3,FALSE)="","NOT DECLARED",VLOOKUP($F178,Declarations!$B$6:$D$185,3,FALSE)&amp;LEFT(VLOOKUP($F178,Declarations!$B$6:$E$185,4,FALSE))))</f>
        <v/>
      </c>
      <c r="F178" s="20"/>
      <c r="G178" s="21"/>
      <c r="H178" s="281"/>
      <c r="I178" s="8" t="str">
        <f>IF(ISNA(VLOOKUP(F178,Declarations!B$6:C$185,2,FALSE)),"",IF(VLOOKUP(F178,Declarations!B$6:C$185,2,FALSE)="","NOT DECLARED",VLOOKUP(F178,Declarations!B$6:C$185,2,FALSE)))</f>
        <v/>
      </c>
      <c r="J178" s="2">
        <f>IF(LOWER(LEFT(G178,1))="n",1,VLOOKUP(G178,ScoringTable!E$2:I$95,5))</f>
        <v>0</v>
      </c>
      <c r="K178" s="112" t="str">
        <f>IF(OR(E178="",G178=""),"",IF(RIGHT(E178,1)="G",_xlfn.XLOOKUP(G178,Data!$D$13:$L$13,Data!$D$9:$L$9,"",-1,1),_xlfn.XLOOKUP(G178,Data!$D$6:$L$6,Data!$D$2:$L$2,"",-1,1)))</f>
        <v/>
      </c>
      <c r="L178" s="160" t="str" cm="1">
        <f t="array" ref="L178">IFERROR(_xlfn.IFNA(
                      _xlfn.IFS(
                      F178="", "",
                      AND(E178="U12B",G178&gt;=Data!$M$6), "U12 Boys record",
                      AND(E178="U12G",G178&gt;=Data!$M$13), "U12 Girls record"
                       ),""), "")</f>
        <v/>
      </c>
      <c r="M178" s="18" cm="1">
        <f t="array" ref="M178">_xlfn.IFS($G178="",0,AND(NOT(ISNUMBER($G178)),LOWER(LEFT($G178,1))&lt;&gt;"n"),"Not a valid distance",OR(LOWER(LEFT($G178,1))="n",$G178&lt;ScoringTable!$P$161),1,RIGHT($E178,1)="B",_xlfn.XLOOKUP($G178,ScoringTable!$P$2:$P$161,ScoringTable!$L$2:$L$161,,-1),TRUE,_xlfn.XLOOKUP($G178,ScoringTable!$V$2:$V$161,ScoringTable!$R$2:$R$161,,-1))</f>
        <v>0</v>
      </c>
    </row>
    <row r="179" spans="1:13" ht="16.05" customHeight="1">
      <c r="A179" s="80" t="s">
        <v>104</v>
      </c>
      <c r="B179" s="79" t="str">
        <f>IF(ISNA(VLOOKUP($F179,Declarations!B$6:C$185,2,FALSE)),"",IF(VLOOKUP($F179,Declarations!B$6:C$185,2,FALSE)="","NOT DECLARED",IF(ISNA(_xlfn.TEXTBEFORE(VLOOKUP($F179,Declarations!B$6:C$185,2,FALSE)," ")),VLOOKUP($F179,Declarations!B$6:C$185,2,FALSE),_xlfn.TEXTBEFORE(VLOOKUP($F179,Declarations!B$6:C$185,2,FALSE)," "))))</f>
        <v/>
      </c>
      <c r="C179" s="79" t="str">
        <f>IF(ISNA(VLOOKUP($F179,Declarations!B$6:C$185,2,FALSE)),"",IF(VLOOKUP($F179,Declarations!B$6:C$185,2,FALSE)="","NOT DECLARED",IF(ISNA(_xlfn.TEXTAFTER(VLOOKUP($F179,Declarations!B$6:C$185,2,FALSE)," ")),VLOOKUP($F179,Declarations!B$6:C$185,2,FALSE),_xlfn.TEXTAFTER(VLOOKUP($F179,Declarations!B$6:C$185,2,FALSE)," "))))</f>
        <v/>
      </c>
      <c r="D179" s="79" t="str">
        <f>IF(ISNA(VLOOKUP($F179,Declarations!$B$6:$F$185,5,FALSE)),"",IF(VLOOKUP($F179,Declarations!$B$6:$F$185,5,FALSE)="","NOT DECLARED",VLOOKUP($F179,Declarations!$B$6:$F$185,5,FALSE)))</f>
        <v/>
      </c>
      <c r="E179" s="112" t="str">
        <f>IF(ISNA(VLOOKUP($F179,Declarations!$B$6:$D$185,3,FALSE)),"",IF(VLOOKUP($F179,Declarations!$B$6:$D$185,3,FALSE)="","NOT DECLARED",VLOOKUP($F179,Declarations!$B$6:$D$185,3,FALSE)&amp;LEFT(VLOOKUP($F179,Declarations!$B$6:$E$185,4,FALSE))))</f>
        <v/>
      </c>
      <c r="F179" s="20"/>
      <c r="G179" s="21"/>
      <c r="H179" s="281"/>
      <c r="I179" s="8" t="str">
        <f>IF(ISNA(VLOOKUP(F179,Declarations!B$6:C$185,2,FALSE)),"",IF(VLOOKUP(F179,Declarations!B$6:C$185,2,FALSE)="","NOT DECLARED",VLOOKUP(F179,Declarations!B$6:C$185,2,FALSE)))</f>
        <v/>
      </c>
      <c r="J179" s="2">
        <f>IF(LOWER(LEFT(G179,1))="n",1,VLOOKUP(G179,ScoringTable!E$2:I$95,5))</f>
        <v>0</v>
      </c>
      <c r="K179" s="112" t="str">
        <f>IF(OR(E179="",G179=""),"",IF(RIGHT(E179,1)="G",_xlfn.XLOOKUP(G179,Data!$D$13:$L$13,Data!$D$9:$L$9,"",-1,1),_xlfn.XLOOKUP(G179,Data!$D$6:$L$6,Data!$D$2:$L$2,"",-1,1)))</f>
        <v/>
      </c>
      <c r="L179" s="160" t="str" cm="1">
        <f t="array" ref="L179">IFERROR(_xlfn.IFNA(
                      _xlfn.IFS(
                      F179="", "",
                      AND(E179="U12B",G179&gt;=Data!$M$6), "U12 Boys record",
                      AND(E179="U12G",G179&gt;=Data!$M$13), "U12 Girls record"
                       ),""), "")</f>
        <v/>
      </c>
      <c r="M179" s="18" cm="1">
        <f t="array" ref="M179">_xlfn.IFS($G179="",0,AND(NOT(ISNUMBER($G179)),LOWER(LEFT($G179,1))&lt;&gt;"n"),"Not a valid distance",OR(LOWER(LEFT($G179,1))="n",$G179&lt;ScoringTable!$P$161),1,RIGHT($E179,1)="B",_xlfn.XLOOKUP($G179,ScoringTable!$P$2:$P$161,ScoringTable!$L$2:$L$161,,-1),TRUE,_xlfn.XLOOKUP($G179,ScoringTable!$V$2:$V$161,ScoringTable!$R$2:$R$161,,-1))</f>
        <v>0</v>
      </c>
    </row>
    <row r="180" spans="1:13" ht="16.05" customHeight="1">
      <c r="A180" s="80" t="s">
        <v>104</v>
      </c>
      <c r="B180" s="79" t="str">
        <f>IF(ISNA(VLOOKUP($F180,Declarations!B$6:C$185,2,FALSE)),"",IF(VLOOKUP($F180,Declarations!B$6:C$185,2,FALSE)="","NOT DECLARED",IF(ISNA(_xlfn.TEXTBEFORE(VLOOKUP($F180,Declarations!B$6:C$185,2,FALSE)," ")),VLOOKUP($F180,Declarations!B$6:C$185,2,FALSE),_xlfn.TEXTBEFORE(VLOOKUP($F180,Declarations!B$6:C$185,2,FALSE)," "))))</f>
        <v/>
      </c>
      <c r="C180" s="79" t="str">
        <f>IF(ISNA(VLOOKUP($F180,Declarations!B$6:C$185,2,FALSE)),"",IF(VLOOKUP($F180,Declarations!B$6:C$185,2,FALSE)="","NOT DECLARED",IF(ISNA(_xlfn.TEXTAFTER(VLOOKUP($F180,Declarations!B$6:C$185,2,FALSE)," ")),VLOOKUP($F180,Declarations!B$6:C$185,2,FALSE),_xlfn.TEXTAFTER(VLOOKUP($F180,Declarations!B$6:C$185,2,FALSE)," "))))</f>
        <v/>
      </c>
      <c r="D180" s="79" t="str">
        <f>IF(ISNA(VLOOKUP($F180,Declarations!$B$6:$F$185,5,FALSE)),"",IF(VLOOKUP($F180,Declarations!$B$6:$F$185,5,FALSE)="","NOT DECLARED",VLOOKUP($F180,Declarations!$B$6:$F$185,5,FALSE)))</f>
        <v/>
      </c>
      <c r="E180" s="112" t="str">
        <f>IF(ISNA(VLOOKUP($F180,Declarations!$B$6:$D$185,3,FALSE)),"",IF(VLOOKUP($F180,Declarations!$B$6:$D$185,3,FALSE)="","NOT DECLARED",VLOOKUP($F180,Declarations!$B$6:$D$185,3,FALSE)&amp;LEFT(VLOOKUP($F180,Declarations!$B$6:$E$185,4,FALSE))))</f>
        <v/>
      </c>
      <c r="F180" s="20"/>
      <c r="G180" s="21"/>
      <c r="H180" s="281"/>
      <c r="I180" s="8" t="str">
        <f>IF(ISNA(VLOOKUP(F180,Declarations!B$6:C$185,2,FALSE)),"",IF(VLOOKUP(F180,Declarations!B$6:C$185,2,FALSE)="","NOT DECLARED",VLOOKUP(F180,Declarations!B$6:C$185,2,FALSE)))</f>
        <v/>
      </c>
      <c r="J180" s="2">
        <f>IF(LOWER(LEFT(G180,1))="n",1,VLOOKUP(G180,ScoringTable!E$2:I$95,5))</f>
        <v>0</v>
      </c>
      <c r="K180" s="112" t="str">
        <f>IF(OR(E180="",G180=""),"",IF(RIGHT(E180,1)="G",_xlfn.XLOOKUP(G180,Data!$D$13:$L$13,Data!$D$9:$L$9,"",-1,1),_xlfn.XLOOKUP(G180,Data!$D$6:$L$6,Data!$D$2:$L$2,"",-1,1)))</f>
        <v/>
      </c>
      <c r="L180" s="160" t="str" cm="1">
        <f t="array" ref="L180">IFERROR(_xlfn.IFNA(
                      _xlfn.IFS(
                      F180="", "",
                      AND(E180="U12B",G180&gt;=Data!$M$6), "U12 Boys record",
                      AND(E180="U12G",G180&gt;=Data!$M$13), "U12 Girls record"
                       ),""), "")</f>
        <v/>
      </c>
      <c r="M180" s="18" cm="1">
        <f t="array" ref="M180">_xlfn.IFS($G180="",0,AND(NOT(ISNUMBER($G180)),LOWER(LEFT($G180,1))&lt;&gt;"n"),"Not a valid distance",OR(LOWER(LEFT($G180,1))="n",$G180&lt;ScoringTable!$P$161),1,RIGHT($E180,1)="B",_xlfn.XLOOKUP($G180,ScoringTable!$P$2:$P$161,ScoringTable!$L$2:$L$161,,-1),TRUE,_xlfn.XLOOKUP($G180,ScoringTable!$V$2:$V$161,ScoringTable!$R$2:$R$161,,-1))</f>
        <v>0</v>
      </c>
    </row>
    <row r="181" spans="1:13" ht="16.05" customHeight="1">
      <c r="A181" s="80" t="s">
        <v>104</v>
      </c>
      <c r="B181" s="79" t="str">
        <f>IF(ISNA(VLOOKUP($F181,Declarations!B$6:C$185,2,FALSE)),"",IF(VLOOKUP($F181,Declarations!B$6:C$185,2,FALSE)="","NOT DECLARED",IF(ISNA(_xlfn.TEXTBEFORE(VLOOKUP($F181,Declarations!B$6:C$185,2,FALSE)," ")),VLOOKUP($F181,Declarations!B$6:C$185,2,FALSE),_xlfn.TEXTBEFORE(VLOOKUP($F181,Declarations!B$6:C$185,2,FALSE)," "))))</f>
        <v/>
      </c>
      <c r="C181" s="79" t="str">
        <f>IF(ISNA(VLOOKUP($F181,Declarations!B$6:C$185,2,FALSE)),"",IF(VLOOKUP($F181,Declarations!B$6:C$185,2,FALSE)="","NOT DECLARED",IF(ISNA(_xlfn.TEXTAFTER(VLOOKUP($F181,Declarations!B$6:C$185,2,FALSE)," ")),VLOOKUP($F181,Declarations!B$6:C$185,2,FALSE),_xlfn.TEXTAFTER(VLOOKUP($F181,Declarations!B$6:C$185,2,FALSE)," "))))</f>
        <v/>
      </c>
      <c r="D181" s="79" t="str">
        <f>IF(ISNA(VLOOKUP($F181,Declarations!$B$6:$F$185,5,FALSE)),"",IF(VLOOKUP($F181,Declarations!$B$6:$F$185,5,FALSE)="","NOT DECLARED",VLOOKUP($F181,Declarations!$B$6:$F$185,5,FALSE)))</f>
        <v/>
      </c>
      <c r="E181" s="112" t="str">
        <f>IF(ISNA(VLOOKUP($F181,Declarations!$B$6:$D$185,3,FALSE)),"",IF(VLOOKUP($F181,Declarations!$B$6:$D$185,3,FALSE)="","NOT DECLARED",VLOOKUP($F181,Declarations!$B$6:$D$185,3,FALSE)&amp;LEFT(VLOOKUP($F181,Declarations!$B$6:$E$185,4,FALSE))))</f>
        <v/>
      </c>
      <c r="F181" s="20"/>
      <c r="G181" s="21"/>
      <c r="H181" s="281"/>
      <c r="I181" s="8" t="str">
        <f>IF(ISNA(VLOOKUP(F181,Declarations!B$6:C$185,2,FALSE)),"",IF(VLOOKUP(F181,Declarations!B$6:C$185,2,FALSE)="","NOT DECLARED",VLOOKUP(F181,Declarations!B$6:C$185,2,FALSE)))</f>
        <v/>
      </c>
      <c r="J181" s="2">
        <f>IF(LOWER(LEFT(G181,1))="n",1,VLOOKUP(G181,ScoringTable!E$2:I$95,5))</f>
        <v>0</v>
      </c>
      <c r="K181" s="112" t="str">
        <f>IF(OR(E181="",G181=""),"",IF(RIGHT(E181,1)="G",_xlfn.XLOOKUP(G181,Data!$D$13:$L$13,Data!$D$9:$L$9,"",-1,1),_xlfn.XLOOKUP(G181,Data!$D$6:$L$6,Data!$D$2:$L$2,"",-1,1)))</f>
        <v/>
      </c>
      <c r="L181" s="160" t="str" cm="1">
        <f t="array" ref="L181">IFERROR(_xlfn.IFNA(
                      _xlfn.IFS(
                      F181="", "",
                      AND(E181="U12B",G181&gt;=Data!$M$6), "U12 Boys record",
                      AND(E181="U12G",G181&gt;=Data!$M$13), "U12 Girls record"
                       ),""), "")</f>
        <v/>
      </c>
      <c r="M181" s="18" cm="1">
        <f t="array" ref="M181">_xlfn.IFS($G181="",0,AND(NOT(ISNUMBER($G181)),LOWER(LEFT($G181,1))&lt;&gt;"n"),"Not a valid distance",OR(LOWER(LEFT($G181,1))="n",$G181&lt;ScoringTable!$P$161),1,RIGHT($E181,1)="B",_xlfn.XLOOKUP($G181,ScoringTable!$P$2:$P$161,ScoringTable!$L$2:$L$161,,-1),TRUE,_xlfn.XLOOKUP($G181,ScoringTable!$V$2:$V$161,ScoringTable!$R$2:$R$161,,-1))</f>
        <v>0</v>
      </c>
    </row>
    <row r="182" spans="1:13" ht="16.05" customHeight="1">
      <c r="A182" s="80" t="s">
        <v>104</v>
      </c>
      <c r="B182" s="79" t="str">
        <f>IF(ISNA(VLOOKUP($F182,Declarations!B$6:C$185,2,FALSE)),"",IF(VLOOKUP($F182,Declarations!B$6:C$185,2,FALSE)="","NOT DECLARED",IF(ISNA(_xlfn.TEXTBEFORE(VLOOKUP($F182,Declarations!B$6:C$185,2,FALSE)," ")),VLOOKUP($F182,Declarations!B$6:C$185,2,FALSE),_xlfn.TEXTBEFORE(VLOOKUP($F182,Declarations!B$6:C$185,2,FALSE)," "))))</f>
        <v/>
      </c>
      <c r="C182" s="79" t="str">
        <f>IF(ISNA(VLOOKUP($F182,Declarations!B$6:C$185,2,FALSE)),"",IF(VLOOKUP($F182,Declarations!B$6:C$185,2,FALSE)="","NOT DECLARED",IF(ISNA(_xlfn.TEXTAFTER(VLOOKUP($F182,Declarations!B$6:C$185,2,FALSE)," ")),VLOOKUP($F182,Declarations!B$6:C$185,2,FALSE),_xlfn.TEXTAFTER(VLOOKUP($F182,Declarations!B$6:C$185,2,FALSE)," "))))</f>
        <v/>
      </c>
      <c r="D182" s="79" t="str">
        <f>IF(ISNA(VLOOKUP($F182,Declarations!$B$6:$F$185,5,FALSE)),"",IF(VLOOKUP($F182,Declarations!$B$6:$F$185,5,FALSE)="","NOT DECLARED",VLOOKUP($F182,Declarations!$B$6:$F$185,5,FALSE)))</f>
        <v/>
      </c>
      <c r="E182" s="112" t="str">
        <f>IF(ISNA(VLOOKUP($F182,Declarations!$B$6:$D$185,3,FALSE)),"",IF(VLOOKUP($F182,Declarations!$B$6:$D$185,3,FALSE)="","NOT DECLARED",VLOOKUP($F182,Declarations!$B$6:$D$185,3,FALSE)&amp;LEFT(VLOOKUP($F182,Declarations!$B$6:$E$185,4,FALSE))))</f>
        <v/>
      </c>
      <c r="F182" s="20"/>
      <c r="G182" s="21"/>
      <c r="H182" s="281"/>
      <c r="I182" s="8" t="str">
        <f>IF(ISNA(VLOOKUP(F182,Declarations!B$6:C$185,2,FALSE)),"",IF(VLOOKUP(F182,Declarations!B$6:C$185,2,FALSE)="","NOT DECLARED",VLOOKUP(F182,Declarations!B$6:C$185,2,FALSE)))</f>
        <v/>
      </c>
      <c r="J182" s="2">
        <f>IF(LOWER(LEFT(G182,1))="n",1,VLOOKUP(G182,ScoringTable!E$2:I$95,5))</f>
        <v>0</v>
      </c>
      <c r="K182" s="112" t="str">
        <f>IF(OR(E182="",G182=""),"",IF(RIGHT(E182,1)="G",_xlfn.XLOOKUP(G182,Data!$D$13:$L$13,Data!$D$9:$L$9,"",-1,1),_xlfn.XLOOKUP(G182,Data!$D$6:$L$6,Data!$D$2:$L$2,"",-1,1)))</f>
        <v/>
      </c>
      <c r="L182" s="160" t="str" cm="1">
        <f t="array" ref="L182">IFERROR(_xlfn.IFNA(
                      _xlfn.IFS(
                      F182="", "",
                      AND(E182="U12B",G182&gt;=Data!$M$6), "U12 Boys record",
                      AND(E182="U12G",G182&gt;=Data!$M$13), "U12 Girls record"
                       ),""), "")</f>
        <v/>
      </c>
      <c r="M182" s="18" cm="1">
        <f t="array" ref="M182">_xlfn.IFS($G182="",0,AND(NOT(ISNUMBER($G182)),LOWER(LEFT($G182,1))&lt;&gt;"n"),"Not a valid distance",OR(LOWER(LEFT($G182,1))="n",$G182&lt;ScoringTable!$P$161),1,RIGHT($E182,1)="B",_xlfn.XLOOKUP($G182,ScoringTable!$P$2:$P$161,ScoringTable!$L$2:$L$161,,-1),TRUE,_xlfn.XLOOKUP($G182,ScoringTable!$V$2:$V$161,ScoringTable!$R$2:$R$161,,-1))</f>
        <v>0</v>
      </c>
    </row>
    <row r="183" spans="1:13" ht="16.05" customHeight="1">
      <c r="A183" s="80" t="s">
        <v>104</v>
      </c>
      <c r="B183" s="79" t="str">
        <f>IF(ISNA(VLOOKUP($F183,Declarations!B$6:C$185,2,FALSE)),"",IF(VLOOKUP($F183,Declarations!B$6:C$185,2,FALSE)="","NOT DECLARED",IF(ISNA(_xlfn.TEXTBEFORE(VLOOKUP($F183,Declarations!B$6:C$185,2,FALSE)," ")),VLOOKUP($F183,Declarations!B$6:C$185,2,FALSE),_xlfn.TEXTBEFORE(VLOOKUP($F183,Declarations!B$6:C$185,2,FALSE)," "))))</f>
        <v/>
      </c>
      <c r="C183" s="79" t="str">
        <f>IF(ISNA(VLOOKUP($F183,Declarations!B$6:C$185,2,FALSE)),"",IF(VLOOKUP($F183,Declarations!B$6:C$185,2,FALSE)="","NOT DECLARED",IF(ISNA(_xlfn.TEXTAFTER(VLOOKUP($F183,Declarations!B$6:C$185,2,FALSE)," ")),VLOOKUP($F183,Declarations!B$6:C$185,2,FALSE),_xlfn.TEXTAFTER(VLOOKUP($F183,Declarations!B$6:C$185,2,FALSE)," "))))</f>
        <v/>
      </c>
      <c r="D183" s="79" t="str">
        <f>IF(ISNA(VLOOKUP($F183,Declarations!$B$6:$F$185,5,FALSE)),"",IF(VLOOKUP($F183,Declarations!$B$6:$F$185,5,FALSE)="","NOT DECLARED",VLOOKUP($F183,Declarations!$B$6:$F$185,5,FALSE)))</f>
        <v/>
      </c>
      <c r="E183" s="112" t="str">
        <f>IF(ISNA(VLOOKUP($F183,Declarations!$B$6:$D$185,3,FALSE)),"",IF(VLOOKUP($F183,Declarations!$B$6:$D$185,3,FALSE)="","NOT DECLARED",VLOOKUP($F183,Declarations!$B$6:$D$185,3,FALSE)&amp;LEFT(VLOOKUP($F183,Declarations!$B$6:$E$185,4,FALSE))))</f>
        <v/>
      </c>
      <c r="F183" s="20"/>
      <c r="G183" s="21"/>
      <c r="H183" s="281"/>
      <c r="I183" s="8" t="str">
        <f>IF(ISNA(VLOOKUP(F183,Declarations!B$6:C$185,2,FALSE)),"",IF(VLOOKUP(F183,Declarations!B$6:C$185,2,FALSE)="","NOT DECLARED",VLOOKUP(F183,Declarations!B$6:C$185,2,FALSE)))</f>
        <v/>
      </c>
      <c r="J183" s="2">
        <f>IF(LOWER(LEFT(G183,1))="n",1,VLOOKUP(G183,ScoringTable!E$2:I$95,5))</f>
        <v>0</v>
      </c>
      <c r="K183" s="112" t="str">
        <f>IF(OR(E183="",G183=""),"",IF(RIGHT(E183,1)="G",_xlfn.XLOOKUP(G183,Data!$D$13:$L$13,Data!$D$9:$L$9,"",-1,1),_xlfn.XLOOKUP(G183,Data!$D$6:$L$6,Data!$D$2:$L$2,"",-1,1)))</f>
        <v/>
      </c>
      <c r="L183" s="160" t="str" cm="1">
        <f t="array" ref="L183">IFERROR(_xlfn.IFNA(
                      _xlfn.IFS(
                      F183="", "",
                      AND(E183="U12B",G183&gt;=Data!$M$6), "U12 Boys record",
                      AND(E183="U12G",G183&gt;=Data!$M$13), "U12 Girls record"
                       ),""), "")</f>
        <v/>
      </c>
      <c r="M183" s="18" cm="1">
        <f t="array" ref="M183">_xlfn.IFS($G183="",0,AND(NOT(ISNUMBER($G183)),LOWER(LEFT($G183,1))&lt;&gt;"n"),"Not a valid distance",OR(LOWER(LEFT($G183,1))="n",$G183&lt;ScoringTable!$P$161),1,RIGHT($E183,1)="B",_xlfn.XLOOKUP($G183,ScoringTable!$P$2:$P$161,ScoringTable!$L$2:$L$161,,-1),TRUE,_xlfn.XLOOKUP($G183,ScoringTable!$V$2:$V$161,ScoringTable!$R$2:$R$161,,-1))</f>
        <v>0</v>
      </c>
    </row>
    <row r="184" spans="1:13" ht="16.05" customHeight="1">
      <c r="A184" s="80" t="s">
        <v>104</v>
      </c>
      <c r="B184" s="79" t="str">
        <f>IF(ISNA(VLOOKUP($F184,Declarations!B$6:C$185,2,FALSE)),"",IF(VLOOKUP($F184,Declarations!B$6:C$185,2,FALSE)="","NOT DECLARED",IF(ISNA(_xlfn.TEXTBEFORE(VLOOKUP($F184,Declarations!B$6:C$185,2,FALSE)," ")),VLOOKUP($F184,Declarations!B$6:C$185,2,FALSE),_xlfn.TEXTBEFORE(VLOOKUP($F184,Declarations!B$6:C$185,2,FALSE)," "))))</f>
        <v/>
      </c>
      <c r="C184" s="79" t="str">
        <f>IF(ISNA(VLOOKUP($F184,Declarations!B$6:C$185,2,FALSE)),"",IF(VLOOKUP($F184,Declarations!B$6:C$185,2,FALSE)="","NOT DECLARED",IF(ISNA(_xlfn.TEXTAFTER(VLOOKUP($F184,Declarations!B$6:C$185,2,FALSE)," ")),VLOOKUP($F184,Declarations!B$6:C$185,2,FALSE),_xlfn.TEXTAFTER(VLOOKUP($F184,Declarations!B$6:C$185,2,FALSE)," "))))</f>
        <v/>
      </c>
      <c r="D184" s="79" t="str">
        <f>IF(ISNA(VLOOKUP($F184,Declarations!$B$6:$F$185,5,FALSE)),"",IF(VLOOKUP($F184,Declarations!$B$6:$F$185,5,FALSE)="","NOT DECLARED",VLOOKUP($F184,Declarations!$B$6:$F$185,5,FALSE)))</f>
        <v/>
      </c>
      <c r="E184" s="112" t="str">
        <f>IF(ISNA(VLOOKUP($F184,Declarations!$B$6:$D$185,3,FALSE)),"",IF(VLOOKUP($F184,Declarations!$B$6:$D$185,3,FALSE)="","NOT DECLARED",VLOOKUP($F184,Declarations!$B$6:$D$185,3,FALSE)&amp;LEFT(VLOOKUP($F184,Declarations!$B$6:$E$185,4,FALSE))))</f>
        <v/>
      </c>
      <c r="F184" s="20"/>
      <c r="G184" s="21"/>
      <c r="H184" s="281"/>
      <c r="I184" s="8" t="str">
        <f>IF(ISNA(VLOOKUP(F184,Declarations!B$6:C$185,2,FALSE)),"",IF(VLOOKUP(F184,Declarations!B$6:C$185,2,FALSE)="","NOT DECLARED",VLOOKUP(F184,Declarations!B$6:C$185,2,FALSE)))</f>
        <v/>
      </c>
      <c r="J184" s="2">
        <f>IF(LOWER(LEFT(G184,1))="n",1,VLOOKUP(G184,ScoringTable!E$2:I$95,5))</f>
        <v>0</v>
      </c>
      <c r="K184" s="112" t="str">
        <f>IF(OR(E184="",G184=""),"",IF(RIGHT(E184,1)="G",_xlfn.XLOOKUP(G184,Data!$D$13:$L$13,Data!$D$9:$L$9,"",-1,1),_xlfn.XLOOKUP(G184,Data!$D$6:$L$6,Data!$D$2:$L$2,"",-1,1)))</f>
        <v/>
      </c>
      <c r="L184" s="160" t="str" cm="1">
        <f t="array" ref="L184">IFERROR(_xlfn.IFNA(
                      _xlfn.IFS(
                      F184="", "",
                      AND(E184="U12B",G184&gt;=Data!$M$6), "U12 Boys record",
                      AND(E184="U12G",G184&gt;=Data!$M$13), "U12 Girls record"
                       ),""), "")</f>
        <v/>
      </c>
      <c r="M184" s="18" cm="1">
        <f t="array" ref="M184">_xlfn.IFS($G184="",0,AND(NOT(ISNUMBER($G184)),LOWER(LEFT($G184,1))&lt;&gt;"n"),"Not a valid distance",OR(LOWER(LEFT($G184,1))="n",$G184&lt;ScoringTable!$P$161),1,RIGHT($E184,1)="B",_xlfn.XLOOKUP($G184,ScoringTable!$P$2:$P$161,ScoringTable!$L$2:$L$161,,-1),TRUE,_xlfn.XLOOKUP($G184,ScoringTable!$V$2:$V$161,ScoringTable!$R$2:$R$161,,-1))</f>
        <v>0</v>
      </c>
    </row>
    <row r="185" spans="1:13" ht="16.05" customHeight="1">
      <c r="A185" s="80" t="s">
        <v>104</v>
      </c>
      <c r="B185" s="79" t="str">
        <f>IF(ISNA(VLOOKUP($F185,Declarations!B$6:C$185,2,FALSE)),"",IF(VLOOKUP($F185,Declarations!B$6:C$185,2,FALSE)="","NOT DECLARED",IF(ISNA(_xlfn.TEXTBEFORE(VLOOKUP($F185,Declarations!B$6:C$185,2,FALSE)," ")),VLOOKUP($F185,Declarations!B$6:C$185,2,FALSE),_xlfn.TEXTBEFORE(VLOOKUP($F185,Declarations!B$6:C$185,2,FALSE)," "))))</f>
        <v/>
      </c>
      <c r="C185" s="79" t="str">
        <f>IF(ISNA(VLOOKUP($F185,Declarations!B$6:C$185,2,FALSE)),"",IF(VLOOKUP($F185,Declarations!B$6:C$185,2,FALSE)="","NOT DECLARED",IF(ISNA(_xlfn.TEXTAFTER(VLOOKUP($F185,Declarations!B$6:C$185,2,FALSE)," ")),VLOOKUP($F185,Declarations!B$6:C$185,2,FALSE),_xlfn.TEXTAFTER(VLOOKUP($F185,Declarations!B$6:C$185,2,FALSE)," "))))</f>
        <v/>
      </c>
      <c r="D185" s="79" t="str">
        <f>IF(ISNA(VLOOKUP($F185,Declarations!$B$6:$F$185,5,FALSE)),"",IF(VLOOKUP($F185,Declarations!$B$6:$F$185,5,FALSE)="","NOT DECLARED",VLOOKUP($F185,Declarations!$B$6:$F$185,5,FALSE)))</f>
        <v/>
      </c>
      <c r="E185" s="112" t="str">
        <f>IF(ISNA(VLOOKUP($F185,Declarations!$B$6:$D$185,3,FALSE)),"",IF(VLOOKUP($F185,Declarations!$B$6:$D$185,3,FALSE)="","NOT DECLARED",VLOOKUP($F185,Declarations!$B$6:$D$185,3,FALSE)&amp;LEFT(VLOOKUP($F185,Declarations!$B$6:$E$185,4,FALSE))))</f>
        <v/>
      </c>
      <c r="F185" s="20"/>
      <c r="G185" s="21"/>
      <c r="H185" s="281"/>
      <c r="I185" s="8" t="str">
        <f>IF(ISNA(VLOOKUP(F185,Declarations!B$6:C$185,2,FALSE)),"",IF(VLOOKUP(F185,Declarations!B$6:C$185,2,FALSE)="","NOT DECLARED",VLOOKUP(F185,Declarations!B$6:C$185,2,FALSE)))</f>
        <v/>
      </c>
      <c r="J185" s="2">
        <f>IF(LOWER(LEFT(G185,1))="n",1,VLOOKUP(G185,ScoringTable!E$2:I$95,5))</f>
        <v>0</v>
      </c>
      <c r="K185" s="112" t="str">
        <f>IF(OR(E185="",G185=""),"",IF(RIGHT(E185,1)="G",_xlfn.XLOOKUP(G185,Data!$D$13:$L$13,Data!$D$9:$L$9,"",-1,1),_xlfn.XLOOKUP(G185,Data!$D$6:$L$6,Data!$D$2:$L$2,"",-1,1)))</f>
        <v/>
      </c>
      <c r="L185" s="160" t="str" cm="1">
        <f t="array" ref="L185">IFERROR(_xlfn.IFNA(
                      _xlfn.IFS(
                      F185="", "",
                      AND(E185="U12B",G185&gt;=Data!$M$6), "U12 Boys record",
                      AND(E185="U12G",G185&gt;=Data!$M$13), "U12 Girls record"
                       ),""), "")</f>
        <v/>
      </c>
      <c r="M185" s="18" cm="1">
        <f t="array" ref="M185">_xlfn.IFS($G185="",0,AND(NOT(ISNUMBER($G185)),LOWER(LEFT($G185,1))&lt;&gt;"n"),"Not a valid distance",OR(LOWER(LEFT($G185,1))="n",$G185&lt;ScoringTable!$P$161),1,RIGHT($E185,1)="B",_xlfn.XLOOKUP($G185,ScoringTable!$P$2:$P$161,ScoringTable!$L$2:$L$161,,-1),TRUE,_xlfn.XLOOKUP($G185,ScoringTable!$V$2:$V$161,ScoringTable!$R$2:$R$161,,-1))</f>
        <v>0</v>
      </c>
    </row>
    <row r="186" spans="1:13" ht="16.05" customHeight="1">
      <c r="A186" s="80" t="s">
        <v>104</v>
      </c>
      <c r="B186" s="79" t="str">
        <f>IF(ISNA(VLOOKUP($F186,Declarations!B$6:C$185,2,FALSE)),"",IF(VLOOKUP($F186,Declarations!B$6:C$185,2,FALSE)="","NOT DECLARED",IF(ISNA(_xlfn.TEXTBEFORE(VLOOKUP($F186,Declarations!B$6:C$185,2,FALSE)," ")),VLOOKUP($F186,Declarations!B$6:C$185,2,FALSE),_xlfn.TEXTBEFORE(VLOOKUP($F186,Declarations!B$6:C$185,2,FALSE)," "))))</f>
        <v/>
      </c>
      <c r="C186" s="79" t="str">
        <f>IF(ISNA(VLOOKUP($F186,Declarations!B$6:C$185,2,FALSE)),"",IF(VLOOKUP($F186,Declarations!B$6:C$185,2,FALSE)="","NOT DECLARED",IF(ISNA(_xlfn.TEXTAFTER(VLOOKUP($F186,Declarations!B$6:C$185,2,FALSE)," ")),VLOOKUP($F186,Declarations!B$6:C$185,2,FALSE),_xlfn.TEXTAFTER(VLOOKUP($F186,Declarations!B$6:C$185,2,FALSE)," "))))</f>
        <v/>
      </c>
      <c r="D186" s="79" t="str">
        <f>IF(ISNA(VLOOKUP($F186,Declarations!$B$6:$F$185,5,FALSE)),"",IF(VLOOKUP($F186,Declarations!$B$6:$F$185,5,FALSE)="","NOT DECLARED",VLOOKUP($F186,Declarations!$B$6:$F$185,5,FALSE)))</f>
        <v/>
      </c>
      <c r="E186" s="112" t="str">
        <f>IF(ISNA(VLOOKUP($F186,Declarations!$B$6:$D$185,3,FALSE)),"",IF(VLOOKUP($F186,Declarations!$B$6:$D$185,3,FALSE)="","NOT DECLARED",VLOOKUP($F186,Declarations!$B$6:$D$185,3,FALSE)&amp;LEFT(VLOOKUP($F186,Declarations!$B$6:$E$185,4,FALSE))))</f>
        <v/>
      </c>
      <c r="F186" s="20"/>
      <c r="G186" s="21"/>
      <c r="H186" s="281"/>
      <c r="I186" s="8" t="str">
        <f>IF(ISNA(VLOOKUP(F186,Declarations!B$6:C$185,2,FALSE)),"",IF(VLOOKUP(F186,Declarations!B$6:C$185,2,FALSE)="","NOT DECLARED",VLOOKUP(F186,Declarations!B$6:C$185,2,FALSE)))</f>
        <v/>
      </c>
      <c r="J186" s="2">
        <f>IF(LOWER(LEFT(G186,1))="n",1,VLOOKUP(G186,ScoringTable!E$2:I$95,5))</f>
        <v>0</v>
      </c>
      <c r="K186" s="112" t="str">
        <f>IF(OR(E186="",G186=""),"",IF(RIGHT(E186,1)="G",_xlfn.XLOOKUP(G186,Data!$D$13:$L$13,Data!$D$9:$L$9,"",-1,1),_xlfn.XLOOKUP(G186,Data!$D$6:$L$6,Data!$D$2:$L$2,"",-1,1)))</f>
        <v/>
      </c>
      <c r="L186" s="160" t="str" cm="1">
        <f t="array" ref="L186">IFERROR(_xlfn.IFNA(
                      _xlfn.IFS(
                      F186="", "",
                      AND(E186="U12B",G186&gt;=Data!$M$6), "U12 Boys record",
                      AND(E186="U12G",G186&gt;=Data!$M$13), "U12 Girls record"
                       ),""), "")</f>
        <v/>
      </c>
      <c r="M186" s="18" cm="1">
        <f t="array" ref="M186">_xlfn.IFS($G186="",0,AND(NOT(ISNUMBER($G186)),LOWER(LEFT($G186,1))&lt;&gt;"n"),"Not a valid distance",OR(LOWER(LEFT($G186,1))="n",$G186&lt;ScoringTable!$P$161),1,RIGHT($E186,1)="B",_xlfn.XLOOKUP($G186,ScoringTable!$P$2:$P$161,ScoringTable!$L$2:$L$161,,-1),TRUE,_xlfn.XLOOKUP($G186,ScoringTable!$V$2:$V$161,ScoringTable!$R$2:$R$161,,-1))</f>
        <v>0</v>
      </c>
    </row>
    <row r="187" spans="1:13" ht="16.05" customHeight="1">
      <c r="A187" s="80" t="s">
        <v>104</v>
      </c>
      <c r="B187" s="79" t="str">
        <f>IF(ISNA(VLOOKUP($F187,Declarations!B$6:C$185,2,FALSE)),"",IF(VLOOKUP($F187,Declarations!B$6:C$185,2,FALSE)="","NOT DECLARED",IF(ISNA(_xlfn.TEXTBEFORE(VLOOKUP($F187,Declarations!B$6:C$185,2,FALSE)," ")),VLOOKUP($F187,Declarations!B$6:C$185,2,FALSE),_xlfn.TEXTBEFORE(VLOOKUP($F187,Declarations!B$6:C$185,2,FALSE)," "))))</f>
        <v/>
      </c>
      <c r="C187" s="79" t="str">
        <f>IF(ISNA(VLOOKUP($F187,Declarations!B$6:C$185,2,FALSE)),"",IF(VLOOKUP($F187,Declarations!B$6:C$185,2,FALSE)="","NOT DECLARED",IF(ISNA(_xlfn.TEXTAFTER(VLOOKUP($F187,Declarations!B$6:C$185,2,FALSE)," ")),VLOOKUP($F187,Declarations!B$6:C$185,2,FALSE),_xlfn.TEXTAFTER(VLOOKUP($F187,Declarations!B$6:C$185,2,FALSE)," "))))</f>
        <v/>
      </c>
      <c r="D187" s="79" t="str">
        <f>IF(ISNA(VLOOKUP($F187,Declarations!$B$6:$F$185,5,FALSE)),"",IF(VLOOKUP($F187,Declarations!$B$6:$F$185,5,FALSE)="","NOT DECLARED",VLOOKUP($F187,Declarations!$B$6:$F$185,5,FALSE)))</f>
        <v/>
      </c>
      <c r="E187" s="112" t="str">
        <f>IF(ISNA(VLOOKUP($F187,Declarations!$B$6:$D$185,3,FALSE)),"",IF(VLOOKUP($F187,Declarations!$B$6:$D$185,3,FALSE)="","NOT DECLARED",VLOOKUP($F187,Declarations!$B$6:$D$185,3,FALSE)&amp;LEFT(VLOOKUP($F187,Declarations!$B$6:$E$185,4,FALSE))))</f>
        <v/>
      </c>
      <c r="F187" s="20"/>
      <c r="G187" s="21"/>
      <c r="H187" s="281"/>
      <c r="I187" s="8" t="str">
        <f>IF(ISNA(VLOOKUP(F187,Declarations!B$6:C$185,2,FALSE)),"",IF(VLOOKUP(F187,Declarations!B$6:C$185,2,FALSE)="","NOT DECLARED",VLOOKUP(F187,Declarations!B$6:C$185,2,FALSE)))</f>
        <v/>
      </c>
      <c r="J187" s="2">
        <f>IF(LOWER(LEFT(G187,1))="n",1,VLOOKUP(G187,ScoringTable!E$2:I$95,5))</f>
        <v>0</v>
      </c>
      <c r="K187" s="112" t="str">
        <f>IF(OR(E187="",G187=""),"",IF(RIGHT(E187,1)="G",_xlfn.XLOOKUP(G187,Data!$D$13:$L$13,Data!$D$9:$L$9,"",-1,1),_xlfn.XLOOKUP(G187,Data!$D$6:$L$6,Data!$D$2:$L$2,"",-1,1)))</f>
        <v/>
      </c>
      <c r="L187" s="160" t="str" cm="1">
        <f t="array" ref="L187">IFERROR(_xlfn.IFNA(
                      _xlfn.IFS(
                      F187="", "",
                      AND(E187="U12B",G187&gt;=Data!$M$6), "U12 Boys record",
                      AND(E187="U12G",G187&gt;=Data!$M$13), "U12 Girls record"
                       ),""), "")</f>
        <v/>
      </c>
      <c r="M187" s="18" cm="1">
        <f t="array" ref="M187">_xlfn.IFS($G187="",0,AND(NOT(ISNUMBER($G187)),LOWER(LEFT($G187,1))&lt;&gt;"n"),"Not a valid distance",OR(LOWER(LEFT($G187,1))="n",$G187&lt;ScoringTable!$P$161),1,RIGHT($E187,1)="B",_xlfn.XLOOKUP($G187,ScoringTable!$P$2:$P$161,ScoringTable!$L$2:$L$161,,-1),TRUE,_xlfn.XLOOKUP($G187,ScoringTable!$V$2:$V$161,ScoringTable!$R$2:$R$161,,-1))</f>
        <v>0</v>
      </c>
    </row>
    <row r="188" spans="1:13" ht="16.05" customHeight="1">
      <c r="A188" s="80" t="s">
        <v>104</v>
      </c>
      <c r="B188" s="79" t="str">
        <f>IF(ISNA(VLOOKUP($F188,Declarations!B$6:C$185,2,FALSE)),"",IF(VLOOKUP($F188,Declarations!B$6:C$185,2,FALSE)="","NOT DECLARED",IF(ISNA(_xlfn.TEXTBEFORE(VLOOKUP($F188,Declarations!B$6:C$185,2,FALSE)," ")),VLOOKUP($F188,Declarations!B$6:C$185,2,FALSE),_xlfn.TEXTBEFORE(VLOOKUP($F188,Declarations!B$6:C$185,2,FALSE)," "))))</f>
        <v/>
      </c>
      <c r="C188" s="79" t="str">
        <f>IF(ISNA(VLOOKUP($F188,Declarations!B$6:C$185,2,FALSE)),"",IF(VLOOKUP($F188,Declarations!B$6:C$185,2,FALSE)="","NOT DECLARED",IF(ISNA(_xlfn.TEXTAFTER(VLOOKUP($F188,Declarations!B$6:C$185,2,FALSE)," ")),VLOOKUP($F188,Declarations!B$6:C$185,2,FALSE),_xlfn.TEXTAFTER(VLOOKUP($F188,Declarations!B$6:C$185,2,FALSE)," "))))</f>
        <v/>
      </c>
      <c r="D188" s="79" t="str">
        <f>IF(ISNA(VLOOKUP($F188,Declarations!$B$6:$F$185,5,FALSE)),"",IF(VLOOKUP($F188,Declarations!$B$6:$F$185,5,FALSE)="","NOT DECLARED",VLOOKUP($F188,Declarations!$B$6:$F$185,5,FALSE)))</f>
        <v/>
      </c>
      <c r="E188" s="112" t="str">
        <f>IF(ISNA(VLOOKUP($F188,Declarations!$B$6:$D$185,3,FALSE)),"",IF(VLOOKUP($F188,Declarations!$B$6:$D$185,3,FALSE)="","NOT DECLARED",VLOOKUP($F188,Declarations!$B$6:$D$185,3,FALSE)&amp;LEFT(VLOOKUP($F188,Declarations!$B$6:$E$185,4,FALSE))))</f>
        <v/>
      </c>
      <c r="F188" s="20"/>
      <c r="G188" s="21"/>
      <c r="H188" s="281"/>
      <c r="I188" s="8" t="str">
        <f>IF(ISNA(VLOOKUP(F188,Declarations!B$6:C$185,2,FALSE)),"",IF(VLOOKUP(F188,Declarations!B$6:C$185,2,FALSE)="","NOT DECLARED",VLOOKUP(F188,Declarations!B$6:C$185,2,FALSE)))</f>
        <v/>
      </c>
      <c r="J188" s="2">
        <f>IF(LOWER(LEFT(G188,1))="n",1,VLOOKUP(G188,ScoringTable!E$2:I$95,5))</f>
        <v>0</v>
      </c>
      <c r="K188" s="112" t="str">
        <f>IF(OR(E188="",G188=""),"",IF(RIGHT(E188,1)="G",_xlfn.XLOOKUP(G188,Data!$D$13:$L$13,Data!$D$9:$L$9,"",-1,1),_xlfn.XLOOKUP(G188,Data!$D$6:$L$6,Data!$D$2:$L$2,"",-1,1)))</f>
        <v/>
      </c>
      <c r="L188" s="160" t="str" cm="1">
        <f t="array" ref="L188">IFERROR(_xlfn.IFNA(
                      _xlfn.IFS(
                      F188="", "",
                      AND(E188="U12B",G188&gt;=Data!$M$6), "U12 Boys record",
                      AND(E188="U12G",G188&gt;=Data!$M$13), "U12 Girls record"
                       ),""), "")</f>
        <v/>
      </c>
      <c r="M188" s="18" cm="1">
        <f t="array" ref="M188">_xlfn.IFS($G188="",0,AND(NOT(ISNUMBER($G188)),LOWER(LEFT($G188,1))&lt;&gt;"n"),"Not a valid distance",OR(LOWER(LEFT($G188,1))="n",$G188&lt;ScoringTable!$P$161),1,RIGHT($E188,1)="B",_xlfn.XLOOKUP($G188,ScoringTable!$P$2:$P$161,ScoringTable!$L$2:$L$161,,-1),TRUE,_xlfn.XLOOKUP($G188,ScoringTable!$V$2:$V$161,ScoringTable!$R$2:$R$161,,-1))</f>
        <v>0</v>
      </c>
    </row>
    <row r="189" spans="1:13" ht="16.05" customHeight="1">
      <c r="A189" s="80" t="s">
        <v>104</v>
      </c>
      <c r="B189" s="79" t="str">
        <f>IF(ISNA(VLOOKUP($F189,Declarations!B$6:C$185,2,FALSE)),"",IF(VLOOKUP($F189,Declarations!B$6:C$185,2,FALSE)="","NOT DECLARED",IF(ISNA(_xlfn.TEXTBEFORE(VLOOKUP($F189,Declarations!B$6:C$185,2,FALSE)," ")),VLOOKUP($F189,Declarations!B$6:C$185,2,FALSE),_xlfn.TEXTBEFORE(VLOOKUP($F189,Declarations!B$6:C$185,2,FALSE)," "))))</f>
        <v/>
      </c>
      <c r="C189" s="79" t="str">
        <f>IF(ISNA(VLOOKUP($F189,Declarations!B$6:C$185,2,FALSE)),"",IF(VLOOKUP($F189,Declarations!B$6:C$185,2,FALSE)="","NOT DECLARED",IF(ISNA(_xlfn.TEXTAFTER(VLOOKUP($F189,Declarations!B$6:C$185,2,FALSE)," ")),VLOOKUP($F189,Declarations!B$6:C$185,2,FALSE),_xlfn.TEXTAFTER(VLOOKUP($F189,Declarations!B$6:C$185,2,FALSE)," "))))</f>
        <v/>
      </c>
      <c r="D189" s="79" t="str">
        <f>IF(ISNA(VLOOKUP($F189,Declarations!$B$6:$F$185,5,FALSE)),"",IF(VLOOKUP($F189,Declarations!$B$6:$F$185,5,FALSE)="","NOT DECLARED",VLOOKUP($F189,Declarations!$B$6:$F$185,5,FALSE)))</f>
        <v/>
      </c>
      <c r="E189" s="112" t="str">
        <f>IF(ISNA(VLOOKUP($F189,Declarations!$B$6:$D$185,3,FALSE)),"",IF(VLOOKUP($F189,Declarations!$B$6:$D$185,3,FALSE)="","NOT DECLARED",VLOOKUP($F189,Declarations!$B$6:$D$185,3,FALSE)&amp;LEFT(VLOOKUP($F189,Declarations!$B$6:$E$185,4,FALSE))))</f>
        <v/>
      </c>
      <c r="F189" s="20"/>
      <c r="G189" s="21"/>
      <c r="H189" s="281"/>
      <c r="I189" s="8" t="str">
        <f>IF(ISNA(VLOOKUP(F189,Declarations!B$6:C$185,2,FALSE)),"",IF(VLOOKUP(F189,Declarations!B$6:C$185,2,FALSE)="","NOT DECLARED",VLOOKUP(F189,Declarations!B$6:C$185,2,FALSE)))</f>
        <v/>
      </c>
      <c r="J189" s="2">
        <f>IF(LOWER(LEFT(G189,1))="n",1,VLOOKUP(G189,ScoringTable!E$2:I$95,5))</f>
        <v>0</v>
      </c>
      <c r="K189" s="112" t="str">
        <f>IF(OR(E189="",G189=""),"",IF(RIGHT(E189,1)="G",_xlfn.XLOOKUP(G189,Data!$D$13:$L$13,Data!$D$9:$L$9,"",-1,1),_xlfn.XLOOKUP(G189,Data!$D$6:$L$6,Data!$D$2:$L$2,"",-1,1)))</f>
        <v/>
      </c>
      <c r="L189" s="160" t="str" cm="1">
        <f t="array" ref="L189">IFERROR(_xlfn.IFNA(
                      _xlfn.IFS(
                      F189="", "",
                      AND(E189="U12B",G189&gt;=Data!$M$6), "U12 Boys record",
                      AND(E189="U12G",G189&gt;=Data!$M$13), "U12 Girls record"
                       ),""), "")</f>
        <v/>
      </c>
      <c r="M189" s="18" cm="1">
        <f t="array" ref="M189">_xlfn.IFS($G189="",0,AND(NOT(ISNUMBER($G189)),LOWER(LEFT($G189,1))&lt;&gt;"n"),"Not a valid distance",OR(LOWER(LEFT($G189,1))="n",$G189&lt;ScoringTable!$P$161),1,RIGHT($E189,1)="B",_xlfn.XLOOKUP($G189,ScoringTable!$P$2:$P$161,ScoringTable!$L$2:$L$161,,-1),TRUE,_xlfn.XLOOKUP($G189,ScoringTable!$V$2:$V$161,ScoringTable!$R$2:$R$161,,-1))</f>
        <v>0</v>
      </c>
    </row>
    <row r="190" spans="1:13" ht="16.05" customHeight="1">
      <c r="A190" s="80" t="s">
        <v>104</v>
      </c>
      <c r="B190" s="79" t="str">
        <f>IF(ISNA(VLOOKUP($F190,Declarations!B$6:C$185,2,FALSE)),"",IF(VLOOKUP($F190,Declarations!B$6:C$185,2,FALSE)="","NOT DECLARED",IF(ISNA(_xlfn.TEXTBEFORE(VLOOKUP($F190,Declarations!B$6:C$185,2,FALSE)," ")),VLOOKUP($F190,Declarations!B$6:C$185,2,FALSE),_xlfn.TEXTBEFORE(VLOOKUP($F190,Declarations!B$6:C$185,2,FALSE)," "))))</f>
        <v/>
      </c>
      <c r="C190" s="79" t="str">
        <f>IF(ISNA(VLOOKUP($F190,Declarations!B$6:C$185,2,FALSE)),"",IF(VLOOKUP($F190,Declarations!B$6:C$185,2,FALSE)="","NOT DECLARED",IF(ISNA(_xlfn.TEXTAFTER(VLOOKUP($F190,Declarations!B$6:C$185,2,FALSE)," ")),VLOOKUP($F190,Declarations!B$6:C$185,2,FALSE),_xlfn.TEXTAFTER(VLOOKUP($F190,Declarations!B$6:C$185,2,FALSE)," "))))</f>
        <v/>
      </c>
      <c r="D190" s="79" t="str">
        <f>IF(ISNA(VLOOKUP($F190,Declarations!$B$6:$F$185,5,FALSE)),"",IF(VLOOKUP($F190,Declarations!$B$6:$F$185,5,FALSE)="","NOT DECLARED",VLOOKUP($F190,Declarations!$B$6:$F$185,5,FALSE)))</f>
        <v/>
      </c>
      <c r="E190" s="112" t="str">
        <f>IF(ISNA(VLOOKUP($F190,Declarations!$B$6:$D$185,3,FALSE)),"",IF(VLOOKUP($F190,Declarations!$B$6:$D$185,3,FALSE)="","NOT DECLARED",VLOOKUP($F190,Declarations!$B$6:$D$185,3,FALSE)&amp;LEFT(VLOOKUP($F190,Declarations!$B$6:$E$185,4,FALSE))))</f>
        <v/>
      </c>
      <c r="F190" s="20"/>
      <c r="G190" s="21"/>
      <c r="H190" s="281"/>
      <c r="I190" s="8" t="str">
        <f>IF(ISNA(VLOOKUP(F190,Declarations!B$6:C$185,2,FALSE)),"",IF(VLOOKUP(F190,Declarations!B$6:C$185,2,FALSE)="","NOT DECLARED",VLOOKUP(F190,Declarations!B$6:C$185,2,FALSE)))</f>
        <v/>
      </c>
      <c r="J190" s="2">
        <f>IF(LOWER(LEFT(G190,1))="n",1,VLOOKUP(G190,ScoringTable!E$2:I$95,5))</f>
        <v>0</v>
      </c>
      <c r="K190" s="112" t="str">
        <f>IF(OR(E190="",G190=""),"",IF(RIGHT(E190,1)="G",_xlfn.XLOOKUP(G190,Data!$D$13:$L$13,Data!$D$9:$L$9,"",-1,1),_xlfn.XLOOKUP(G190,Data!$D$6:$L$6,Data!$D$2:$L$2,"",-1,1)))</f>
        <v/>
      </c>
      <c r="L190" s="160" t="str" cm="1">
        <f t="array" ref="L190">IFERROR(_xlfn.IFNA(
                      _xlfn.IFS(
                      F190="", "",
                      AND(E190="U12B",G190&gt;=Data!$M$6), "U12 Boys record",
                      AND(E190="U12G",G190&gt;=Data!$M$13), "U12 Girls record"
                       ),""), "")</f>
        <v/>
      </c>
      <c r="M190" s="18" cm="1">
        <f t="array" ref="M190">_xlfn.IFS($G190="",0,AND(NOT(ISNUMBER($G190)),LOWER(LEFT($G190,1))&lt;&gt;"n"),"Not a valid distance",OR(LOWER(LEFT($G190,1))="n",$G190&lt;ScoringTable!$P$161),1,RIGHT($E190,1)="B",_xlfn.XLOOKUP($G190,ScoringTable!$P$2:$P$161,ScoringTable!$L$2:$L$161,,-1),TRUE,_xlfn.XLOOKUP($G190,ScoringTable!$V$2:$V$161,ScoringTable!$R$2:$R$161,,-1))</f>
        <v>0</v>
      </c>
    </row>
    <row r="191" spans="1:13" ht="16.05" customHeight="1">
      <c r="A191" s="80" t="s">
        <v>104</v>
      </c>
      <c r="B191" s="79" t="str">
        <f>IF(ISNA(VLOOKUP($F191,Declarations!B$6:C$185,2,FALSE)),"",IF(VLOOKUP($F191,Declarations!B$6:C$185,2,FALSE)="","NOT DECLARED",IF(ISNA(_xlfn.TEXTBEFORE(VLOOKUP($F191,Declarations!B$6:C$185,2,FALSE)," ")),VLOOKUP($F191,Declarations!B$6:C$185,2,FALSE),_xlfn.TEXTBEFORE(VLOOKUP($F191,Declarations!B$6:C$185,2,FALSE)," "))))</f>
        <v/>
      </c>
      <c r="C191" s="79" t="str">
        <f>IF(ISNA(VLOOKUP($F191,Declarations!B$6:C$185,2,FALSE)),"",IF(VLOOKUP($F191,Declarations!B$6:C$185,2,FALSE)="","NOT DECLARED",IF(ISNA(_xlfn.TEXTAFTER(VLOOKUP($F191,Declarations!B$6:C$185,2,FALSE)," ")),VLOOKUP($F191,Declarations!B$6:C$185,2,FALSE),_xlfn.TEXTAFTER(VLOOKUP($F191,Declarations!B$6:C$185,2,FALSE)," "))))</f>
        <v/>
      </c>
      <c r="D191" s="79" t="str">
        <f>IF(ISNA(VLOOKUP($F191,Declarations!$B$6:$F$185,5,FALSE)),"",IF(VLOOKUP($F191,Declarations!$B$6:$F$185,5,FALSE)="","NOT DECLARED",VLOOKUP($F191,Declarations!$B$6:$F$185,5,FALSE)))</f>
        <v/>
      </c>
      <c r="E191" s="112" t="str">
        <f>IF(ISNA(VLOOKUP($F191,Declarations!$B$6:$D$185,3,FALSE)),"",IF(VLOOKUP($F191,Declarations!$B$6:$D$185,3,FALSE)="","NOT DECLARED",VLOOKUP($F191,Declarations!$B$6:$D$185,3,FALSE)&amp;LEFT(VLOOKUP($F191,Declarations!$B$6:$E$185,4,FALSE))))</f>
        <v/>
      </c>
      <c r="F191" s="20"/>
      <c r="G191" s="21"/>
      <c r="H191" s="281"/>
      <c r="I191" s="8" t="str">
        <f>IF(ISNA(VLOOKUP(F191,Declarations!B$6:C$185,2,FALSE)),"",IF(VLOOKUP(F191,Declarations!B$6:C$185,2,FALSE)="","NOT DECLARED",VLOOKUP(F191,Declarations!B$6:C$185,2,FALSE)))</f>
        <v/>
      </c>
      <c r="J191" s="2">
        <f>IF(LOWER(LEFT(G191,1))="n",1,VLOOKUP(G191,ScoringTable!E$2:I$95,5))</f>
        <v>0</v>
      </c>
      <c r="K191" s="112" t="str">
        <f>IF(OR(E191="",G191=""),"",IF(RIGHT(E191,1)="G",_xlfn.XLOOKUP(G191,Data!$D$13:$L$13,Data!$D$9:$L$9,"",-1,1),_xlfn.XLOOKUP(G191,Data!$D$6:$L$6,Data!$D$2:$L$2,"",-1,1)))</f>
        <v/>
      </c>
      <c r="L191" s="160" t="str" cm="1">
        <f t="array" ref="L191">IFERROR(_xlfn.IFNA(
                      _xlfn.IFS(
                      F191="", "",
                      AND(E191="U12B",G191&gt;=Data!$M$6), "U12 Boys record",
                      AND(E191="U12G",G191&gt;=Data!$M$13), "U12 Girls record"
                       ),""), "")</f>
        <v/>
      </c>
      <c r="M191" s="18" cm="1">
        <f t="array" ref="M191">_xlfn.IFS($G191="",0,AND(NOT(ISNUMBER($G191)),LOWER(LEFT($G191,1))&lt;&gt;"n"),"Not a valid distance",OR(LOWER(LEFT($G191,1))="n",$G191&lt;ScoringTable!$P$161),1,RIGHT($E191,1)="B",_xlfn.XLOOKUP($G191,ScoringTable!$P$2:$P$161,ScoringTable!$L$2:$L$161,,-1),TRUE,_xlfn.XLOOKUP($G191,ScoringTable!$V$2:$V$161,ScoringTable!$R$2:$R$161,,-1))</f>
        <v>0</v>
      </c>
    </row>
    <row r="192" spans="1:13" ht="16.05" customHeight="1">
      <c r="A192" s="80" t="s">
        <v>104</v>
      </c>
      <c r="B192" s="79" t="str">
        <f>IF(ISNA(VLOOKUP($F192,Declarations!B$6:C$185,2,FALSE)),"",IF(VLOOKUP($F192,Declarations!B$6:C$185,2,FALSE)="","NOT DECLARED",IF(ISNA(_xlfn.TEXTBEFORE(VLOOKUP($F192,Declarations!B$6:C$185,2,FALSE)," ")),VLOOKUP($F192,Declarations!B$6:C$185,2,FALSE),_xlfn.TEXTBEFORE(VLOOKUP($F192,Declarations!B$6:C$185,2,FALSE)," "))))</f>
        <v/>
      </c>
      <c r="C192" s="79" t="str">
        <f>IF(ISNA(VLOOKUP($F192,Declarations!B$6:C$185,2,FALSE)),"",IF(VLOOKUP($F192,Declarations!B$6:C$185,2,FALSE)="","NOT DECLARED",IF(ISNA(_xlfn.TEXTAFTER(VLOOKUP($F192,Declarations!B$6:C$185,2,FALSE)," ")),VLOOKUP($F192,Declarations!B$6:C$185,2,FALSE),_xlfn.TEXTAFTER(VLOOKUP($F192,Declarations!B$6:C$185,2,FALSE)," "))))</f>
        <v/>
      </c>
      <c r="D192" s="79" t="str">
        <f>IF(ISNA(VLOOKUP($F192,Declarations!$B$6:$F$185,5,FALSE)),"",IF(VLOOKUP($F192,Declarations!$B$6:$F$185,5,FALSE)="","NOT DECLARED",VLOOKUP($F192,Declarations!$B$6:$F$185,5,FALSE)))</f>
        <v/>
      </c>
      <c r="E192" s="112" t="str">
        <f>IF(ISNA(VLOOKUP($F192,Declarations!$B$6:$D$185,3,FALSE)),"",IF(VLOOKUP($F192,Declarations!$B$6:$D$185,3,FALSE)="","NOT DECLARED",VLOOKUP($F192,Declarations!$B$6:$D$185,3,FALSE)&amp;LEFT(VLOOKUP($F192,Declarations!$B$6:$E$185,4,FALSE))))</f>
        <v/>
      </c>
      <c r="F192" s="20"/>
      <c r="G192" s="21"/>
      <c r="H192" s="281"/>
      <c r="I192" s="8" t="str">
        <f>IF(ISNA(VLOOKUP(F192,Declarations!B$6:C$185,2,FALSE)),"",IF(VLOOKUP(F192,Declarations!B$6:C$185,2,FALSE)="","NOT DECLARED",VLOOKUP(F192,Declarations!B$6:C$185,2,FALSE)))</f>
        <v/>
      </c>
      <c r="J192" s="2">
        <f>IF(LOWER(LEFT(G192,1))="n",1,VLOOKUP(G192,ScoringTable!E$2:I$95,5))</f>
        <v>0</v>
      </c>
      <c r="K192" s="112" t="str">
        <f>IF(OR(E192="",G192=""),"",IF(RIGHT(E192,1)="G",_xlfn.XLOOKUP(G192,Data!$D$13:$L$13,Data!$D$9:$L$9,"",-1,1),_xlfn.XLOOKUP(G192,Data!$D$6:$L$6,Data!$D$2:$L$2,"",-1,1)))</f>
        <v/>
      </c>
      <c r="L192" s="160" t="str" cm="1">
        <f t="array" ref="L192">IFERROR(_xlfn.IFNA(
                      _xlfn.IFS(
                      F192="", "",
                      AND(E192="U12B",G192&gt;=Data!$M$6), "U12 Boys record",
                      AND(E192="U12G",G192&gt;=Data!$M$13), "U12 Girls record"
                       ),""), "")</f>
        <v/>
      </c>
      <c r="M192" s="18" cm="1">
        <f t="array" ref="M192">_xlfn.IFS($G192="",0,AND(NOT(ISNUMBER($G192)),LOWER(LEFT($G192,1))&lt;&gt;"n"),"Not a valid distance",OR(LOWER(LEFT($G192,1))="n",$G192&lt;ScoringTable!$P$161),1,RIGHT($E192,1)="B",_xlfn.XLOOKUP($G192,ScoringTable!$P$2:$P$161,ScoringTable!$L$2:$L$161,,-1),TRUE,_xlfn.XLOOKUP($G192,ScoringTable!$V$2:$V$161,ScoringTable!$R$2:$R$161,,-1))</f>
        <v>0</v>
      </c>
    </row>
    <row r="193" spans="1:13" ht="16.05" customHeight="1">
      <c r="A193" s="80" t="s">
        <v>104</v>
      </c>
      <c r="B193" s="79" t="str">
        <f>IF(ISNA(VLOOKUP($F193,Declarations!B$6:C$185,2,FALSE)),"",IF(VLOOKUP($F193,Declarations!B$6:C$185,2,FALSE)="","NOT DECLARED",IF(ISNA(_xlfn.TEXTBEFORE(VLOOKUP($F193,Declarations!B$6:C$185,2,FALSE)," ")),VLOOKUP($F193,Declarations!B$6:C$185,2,FALSE),_xlfn.TEXTBEFORE(VLOOKUP($F193,Declarations!B$6:C$185,2,FALSE)," "))))</f>
        <v/>
      </c>
      <c r="C193" s="79" t="str">
        <f>IF(ISNA(VLOOKUP($F193,Declarations!B$6:C$185,2,FALSE)),"",IF(VLOOKUP($F193,Declarations!B$6:C$185,2,FALSE)="","NOT DECLARED",IF(ISNA(_xlfn.TEXTAFTER(VLOOKUP($F193,Declarations!B$6:C$185,2,FALSE)," ")),VLOOKUP($F193,Declarations!B$6:C$185,2,FALSE),_xlfn.TEXTAFTER(VLOOKUP($F193,Declarations!B$6:C$185,2,FALSE)," "))))</f>
        <v/>
      </c>
      <c r="D193" s="79" t="str">
        <f>IF(ISNA(VLOOKUP($F193,Declarations!$B$6:$F$185,5,FALSE)),"",IF(VLOOKUP($F193,Declarations!$B$6:$F$185,5,FALSE)="","NOT DECLARED",VLOOKUP($F193,Declarations!$B$6:$F$185,5,FALSE)))</f>
        <v/>
      </c>
      <c r="E193" s="112" t="str">
        <f>IF(ISNA(VLOOKUP($F193,Declarations!$B$6:$D$185,3,FALSE)),"",IF(VLOOKUP($F193,Declarations!$B$6:$D$185,3,FALSE)="","NOT DECLARED",VLOOKUP($F193,Declarations!$B$6:$D$185,3,FALSE)&amp;LEFT(VLOOKUP($F193,Declarations!$B$6:$E$185,4,FALSE))))</f>
        <v/>
      </c>
      <c r="F193" s="20"/>
      <c r="G193" s="21"/>
      <c r="H193" s="281"/>
      <c r="I193" s="8" t="str">
        <f>IF(ISNA(VLOOKUP(F193,Declarations!B$6:C$185,2,FALSE)),"",IF(VLOOKUP(F193,Declarations!B$6:C$185,2,FALSE)="","NOT DECLARED",VLOOKUP(F193,Declarations!B$6:C$185,2,FALSE)))</f>
        <v/>
      </c>
      <c r="J193" s="2">
        <f>IF(LOWER(LEFT(G193,1))="n",1,VLOOKUP(G193,ScoringTable!E$2:I$95,5))</f>
        <v>0</v>
      </c>
      <c r="K193" s="112" t="str">
        <f>IF(OR(E193="",G193=""),"",IF(RIGHT(E193,1)="G",_xlfn.XLOOKUP(G193,Data!$D$13:$L$13,Data!$D$9:$L$9,"",-1,1),_xlfn.XLOOKUP(G193,Data!$D$6:$L$6,Data!$D$2:$L$2,"",-1,1)))</f>
        <v/>
      </c>
      <c r="L193" s="160" t="str" cm="1">
        <f t="array" ref="L193">IFERROR(_xlfn.IFNA(
                      _xlfn.IFS(
                      F193="", "",
                      AND(E193="U12B",G193&gt;=Data!$M$6), "U12 Boys record",
                      AND(E193="U12G",G193&gt;=Data!$M$13), "U12 Girls record"
                       ),""), "")</f>
        <v/>
      </c>
      <c r="M193" s="18" cm="1">
        <f t="array" ref="M193">_xlfn.IFS($G193="",0,AND(NOT(ISNUMBER($G193)),LOWER(LEFT($G193,1))&lt;&gt;"n"),"Not a valid distance",OR(LOWER(LEFT($G193,1))="n",$G193&lt;ScoringTable!$P$161),1,RIGHT($E193,1)="B",_xlfn.XLOOKUP($G193,ScoringTable!$P$2:$P$161,ScoringTable!$L$2:$L$161,,-1),TRUE,_xlfn.XLOOKUP($G193,ScoringTable!$V$2:$V$161,ScoringTable!$R$2:$R$161,,-1))</f>
        <v>0</v>
      </c>
    </row>
    <row r="194" spans="1:13" ht="16.05" customHeight="1">
      <c r="A194" s="80" t="s">
        <v>104</v>
      </c>
      <c r="B194" s="79" t="str">
        <f>IF(ISNA(VLOOKUP($F194,Declarations!B$6:C$185,2,FALSE)),"",IF(VLOOKUP($F194,Declarations!B$6:C$185,2,FALSE)="","NOT DECLARED",IF(ISNA(_xlfn.TEXTBEFORE(VLOOKUP($F194,Declarations!B$6:C$185,2,FALSE)," ")),VLOOKUP($F194,Declarations!B$6:C$185,2,FALSE),_xlfn.TEXTBEFORE(VLOOKUP($F194,Declarations!B$6:C$185,2,FALSE)," "))))</f>
        <v/>
      </c>
      <c r="C194" s="79" t="str">
        <f>IF(ISNA(VLOOKUP($F194,Declarations!B$6:C$185,2,FALSE)),"",IF(VLOOKUP($F194,Declarations!B$6:C$185,2,FALSE)="","NOT DECLARED",IF(ISNA(_xlfn.TEXTAFTER(VLOOKUP($F194,Declarations!B$6:C$185,2,FALSE)," ")),VLOOKUP($F194,Declarations!B$6:C$185,2,FALSE),_xlfn.TEXTAFTER(VLOOKUP($F194,Declarations!B$6:C$185,2,FALSE)," "))))</f>
        <v/>
      </c>
      <c r="D194" s="79" t="str">
        <f>IF(ISNA(VLOOKUP($F194,Declarations!$B$6:$F$185,5,FALSE)),"",IF(VLOOKUP($F194,Declarations!$B$6:$F$185,5,FALSE)="","NOT DECLARED",VLOOKUP($F194,Declarations!$B$6:$F$185,5,FALSE)))</f>
        <v/>
      </c>
      <c r="E194" s="112" t="str">
        <f>IF(ISNA(VLOOKUP($F194,Declarations!$B$6:$D$185,3,FALSE)),"",IF(VLOOKUP($F194,Declarations!$B$6:$D$185,3,FALSE)="","NOT DECLARED",VLOOKUP($F194,Declarations!$B$6:$D$185,3,FALSE)&amp;LEFT(VLOOKUP($F194,Declarations!$B$6:$E$185,4,FALSE))))</f>
        <v/>
      </c>
      <c r="F194" s="20"/>
      <c r="G194" s="21"/>
      <c r="H194" s="281"/>
      <c r="I194" s="8" t="str">
        <f>IF(ISNA(VLOOKUP(F194,Declarations!B$6:C$185,2,FALSE)),"",IF(VLOOKUP(F194,Declarations!B$6:C$185,2,FALSE)="","NOT DECLARED",VLOOKUP(F194,Declarations!B$6:C$185,2,FALSE)))</f>
        <v/>
      </c>
      <c r="J194" s="2">
        <f>IF(LOWER(LEFT(G194,1))="n",1,VLOOKUP(G194,ScoringTable!E$2:I$95,5))</f>
        <v>0</v>
      </c>
      <c r="K194" s="112" t="str">
        <f>IF(OR(E194="",G194=""),"",IF(RIGHT(E194,1)="G",_xlfn.XLOOKUP(G194,Data!$D$13:$L$13,Data!$D$9:$L$9,"",-1,1),_xlfn.XLOOKUP(G194,Data!$D$6:$L$6,Data!$D$2:$L$2,"",-1,1)))</f>
        <v/>
      </c>
      <c r="L194" s="160" t="str" cm="1">
        <f t="array" ref="L194">IFERROR(_xlfn.IFNA(
                      _xlfn.IFS(
                      F194="", "",
                      AND(E194="U12B",G194&gt;=Data!$M$6), "U12 Boys record",
                      AND(E194="U12G",G194&gt;=Data!$M$13), "U12 Girls record"
                       ),""), "")</f>
        <v/>
      </c>
      <c r="M194" s="18" cm="1">
        <f t="array" ref="M194">_xlfn.IFS($G194="",0,AND(NOT(ISNUMBER($G194)),LOWER(LEFT($G194,1))&lt;&gt;"n"),"Not a valid distance",OR(LOWER(LEFT($G194,1))="n",$G194&lt;ScoringTable!$P$161),1,RIGHT($E194,1)="B",_xlfn.XLOOKUP($G194,ScoringTable!$P$2:$P$161,ScoringTable!$L$2:$L$161,,-1),TRUE,_xlfn.XLOOKUP($G194,ScoringTable!$V$2:$V$161,ScoringTable!$R$2:$R$161,,-1))</f>
        <v>0</v>
      </c>
    </row>
    <row r="195" spans="1:13" ht="16.05" customHeight="1">
      <c r="A195" s="80" t="s">
        <v>104</v>
      </c>
      <c r="B195" s="79" t="str">
        <f>IF(ISNA(VLOOKUP($F195,Declarations!B$6:C$185,2,FALSE)),"",IF(VLOOKUP($F195,Declarations!B$6:C$185,2,FALSE)="","NOT DECLARED",IF(ISNA(_xlfn.TEXTBEFORE(VLOOKUP($F195,Declarations!B$6:C$185,2,FALSE)," ")),VLOOKUP($F195,Declarations!B$6:C$185,2,FALSE),_xlfn.TEXTBEFORE(VLOOKUP($F195,Declarations!B$6:C$185,2,FALSE)," "))))</f>
        <v/>
      </c>
      <c r="C195" s="79" t="str">
        <f>IF(ISNA(VLOOKUP($F195,Declarations!B$6:C$185,2,FALSE)),"",IF(VLOOKUP($F195,Declarations!B$6:C$185,2,FALSE)="","NOT DECLARED",IF(ISNA(_xlfn.TEXTAFTER(VLOOKUP($F195,Declarations!B$6:C$185,2,FALSE)," ")),VLOOKUP($F195,Declarations!B$6:C$185,2,FALSE),_xlfn.TEXTAFTER(VLOOKUP($F195,Declarations!B$6:C$185,2,FALSE)," "))))</f>
        <v/>
      </c>
      <c r="D195" s="79" t="str">
        <f>IF(ISNA(VLOOKUP($F195,Declarations!$B$6:$F$185,5,FALSE)),"",IF(VLOOKUP($F195,Declarations!$B$6:$F$185,5,FALSE)="","NOT DECLARED",VLOOKUP($F195,Declarations!$B$6:$F$185,5,FALSE)))</f>
        <v/>
      </c>
      <c r="E195" s="112" t="str">
        <f>IF(ISNA(VLOOKUP($F195,Declarations!$B$6:$D$185,3,FALSE)),"",IF(VLOOKUP($F195,Declarations!$B$6:$D$185,3,FALSE)="","NOT DECLARED",VLOOKUP($F195,Declarations!$B$6:$D$185,3,FALSE)&amp;LEFT(VLOOKUP($F195,Declarations!$B$6:$E$185,4,FALSE))))</f>
        <v/>
      </c>
      <c r="F195" s="20"/>
      <c r="G195" s="21"/>
      <c r="H195" s="281"/>
      <c r="I195" s="8" t="str">
        <f>IF(ISNA(VLOOKUP(F195,Declarations!B$6:C$185,2,FALSE)),"",IF(VLOOKUP(F195,Declarations!B$6:C$185,2,FALSE)="","NOT DECLARED",VLOOKUP(F195,Declarations!B$6:C$185,2,FALSE)))</f>
        <v/>
      </c>
      <c r="J195" s="2">
        <f>IF(LOWER(LEFT(G195,1))="n",1,VLOOKUP(G195,ScoringTable!E$2:I$95,5))</f>
        <v>0</v>
      </c>
      <c r="K195" s="112" t="str">
        <f>IF(OR(E195="",G195=""),"",IF(RIGHT(E195,1)="G",_xlfn.XLOOKUP(G195,Data!$D$13:$L$13,Data!$D$9:$L$9,"",-1,1),_xlfn.XLOOKUP(G195,Data!$D$6:$L$6,Data!$D$2:$L$2,"",-1,1)))</f>
        <v/>
      </c>
      <c r="L195" s="160" t="str" cm="1">
        <f t="array" ref="L195">IFERROR(_xlfn.IFNA(
                      _xlfn.IFS(
                      F195="", "",
                      AND(E195="U12B",G195&gt;=Data!$M$6), "U12 Boys record",
                      AND(E195="U12G",G195&gt;=Data!$M$13), "U12 Girls record"
                       ),""), "")</f>
        <v/>
      </c>
      <c r="M195" s="18" cm="1">
        <f t="array" ref="M195">_xlfn.IFS($G195="",0,AND(NOT(ISNUMBER($G195)),LOWER(LEFT($G195,1))&lt;&gt;"n"),"Not a valid distance",OR(LOWER(LEFT($G195,1))="n",$G195&lt;ScoringTable!$P$161),1,RIGHT($E195,1)="B",_xlfn.XLOOKUP($G195,ScoringTable!$P$2:$P$161,ScoringTable!$L$2:$L$161,,-1),TRUE,_xlfn.XLOOKUP($G195,ScoringTable!$V$2:$V$161,ScoringTable!$R$2:$R$161,,-1))</f>
        <v>0</v>
      </c>
    </row>
    <row r="196" spans="1:13" ht="16.05" customHeight="1">
      <c r="A196" s="80" t="s">
        <v>104</v>
      </c>
      <c r="B196" s="79" t="str">
        <f>IF(ISNA(VLOOKUP($F196,Declarations!B$6:C$185,2,FALSE)),"",IF(VLOOKUP($F196,Declarations!B$6:C$185,2,FALSE)="","NOT DECLARED",IF(ISNA(_xlfn.TEXTBEFORE(VLOOKUP($F196,Declarations!B$6:C$185,2,FALSE)," ")),VLOOKUP($F196,Declarations!B$6:C$185,2,FALSE),_xlfn.TEXTBEFORE(VLOOKUP($F196,Declarations!B$6:C$185,2,FALSE)," "))))</f>
        <v/>
      </c>
      <c r="C196" s="79" t="str">
        <f>IF(ISNA(VLOOKUP($F196,Declarations!B$6:C$185,2,FALSE)),"",IF(VLOOKUP($F196,Declarations!B$6:C$185,2,FALSE)="","NOT DECLARED",IF(ISNA(_xlfn.TEXTAFTER(VLOOKUP($F196,Declarations!B$6:C$185,2,FALSE)," ")),VLOOKUP($F196,Declarations!B$6:C$185,2,FALSE),_xlfn.TEXTAFTER(VLOOKUP($F196,Declarations!B$6:C$185,2,FALSE)," "))))</f>
        <v/>
      </c>
      <c r="D196" s="79" t="str">
        <f>IF(ISNA(VLOOKUP($F196,Declarations!$B$6:$F$185,5,FALSE)),"",IF(VLOOKUP($F196,Declarations!$B$6:$F$185,5,FALSE)="","NOT DECLARED",VLOOKUP($F196,Declarations!$B$6:$F$185,5,FALSE)))</f>
        <v/>
      </c>
      <c r="E196" s="112" t="str">
        <f>IF(ISNA(VLOOKUP($F196,Declarations!$B$6:$D$185,3,FALSE)),"",IF(VLOOKUP($F196,Declarations!$B$6:$D$185,3,FALSE)="","NOT DECLARED",VLOOKUP($F196,Declarations!$B$6:$D$185,3,FALSE)&amp;LEFT(VLOOKUP($F196,Declarations!$B$6:$E$185,4,FALSE))))</f>
        <v/>
      </c>
      <c r="F196" s="20"/>
      <c r="G196" s="21"/>
      <c r="H196" s="281"/>
      <c r="I196" s="8" t="str">
        <f>IF(ISNA(VLOOKUP(F196,Declarations!B$6:C$185,2,FALSE)),"",IF(VLOOKUP(F196,Declarations!B$6:C$185,2,FALSE)="","NOT DECLARED",VLOOKUP(F196,Declarations!B$6:C$185,2,FALSE)))</f>
        <v/>
      </c>
      <c r="J196" s="2">
        <f>IF(LOWER(LEFT(G196,1))="n",1,VLOOKUP(G196,ScoringTable!E$2:I$95,5))</f>
        <v>0</v>
      </c>
      <c r="K196" s="112" t="str">
        <f>IF(OR(E196="",G196=""),"",IF(RIGHT(E196,1)="G",_xlfn.XLOOKUP(G196,Data!$D$13:$L$13,Data!$D$9:$L$9,"",-1,1),_xlfn.XLOOKUP(G196,Data!$D$6:$L$6,Data!$D$2:$L$2,"",-1,1)))</f>
        <v/>
      </c>
      <c r="L196" s="160" t="str" cm="1">
        <f t="array" ref="L196">IFERROR(_xlfn.IFNA(
                      _xlfn.IFS(
                      F196="", "",
                      AND(E196="U12B",G196&gt;=Data!$M$6), "U12 Boys record",
                      AND(E196="U12G",G196&gt;=Data!$M$13), "U12 Girls record"
                       ),""), "")</f>
        <v/>
      </c>
      <c r="M196" s="18" cm="1">
        <f t="array" ref="M196">_xlfn.IFS($G196="",0,AND(NOT(ISNUMBER($G196)),LOWER(LEFT($G196,1))&lt;&gt;"n"),"Not a valid distance",OR(LOWER(LEFT($G196,1))="n",$G196&lt;ScoringTable!$P$161),1,RIGHT($E196,1)="B",_xlfn.XLOOKUP($G196,ScoringTable!$P$2:$P$161,ScoringTable!$L$2:$L$161,,-1),TRUE,_xlfn.XLOOKUP($G196,ScoringTable!$V$2:$V$161,ScoringTable!$R$2:$R$161,,-1))</f>
        <v>0</v>
      </c>
    </row>
    <row r="197" spans="1:13" ht="16.05" customHeight="1">
      <c r="A197" s="80" t="s">
        <v>104</v>
      </c>
      <c r="B197" s="79" t="str">
        <f>IF(ISNA(VLOOKUP($F197,Declarations!B$6:C$185,2,FALSE)),"",IF(VLOOKUP($F197,Declarations!B$6:C$185,2,FALSE)="","NOT DECLARED",IF(ISNA(_xlfn.TEXTBEFORE(VLOOKUP($F197,Declarations!B$6:C$185,2,FALSE)," ")),VLOOKUP($F197,Declarations!B$6:C$185,2,FALSE),_xlfn.TEXTBEFORE(VLOOKUP($F197,Declarations!B$6:C$185,2,FALSE)," "))))</f>
        <v/>
      </c>
      <c r="C197" s="79" t="str">
        <f>IF(ISNA(VLOOKUP($F197,Declarations!B$6:C$185,2,FALSE)),"",IF(VLOOKUP($F197,Declarations!B$6:C$185,2,FALSE)="","NOT DECLARED",IF(ISNA(_xlfn.TEXTAFTER(VLOOKUP($F197,Declarations!B$6:C$185,2,FALSE)," ")),VLOOKUP($F197,Declarations!B$6:C$185,2,FALSE),_xlfn.TEXTAFTER(VLOOKUP($F197,Declarations!B$6:C$185,2,FALSE)," "))))</f>
        <v/>
      </c>
      <c r="D197" s="79" t="str">
        <f>IF(ISNA(VLOOKUP($F197,Declarations!$B$6:$F$185,5,FALSE)),"",IF(VLOOKUP($F197,Declarations!$B$6:$F$185,5,FALSE)="","NOT DECLARED",VLOOKUP($F197,Declarations!$B$6:$F$185,5,FALSE)))</f>
        <v/>
      </c>
      <c r="E197" s="112" t="str">
        <f>IF(ISNA(VLOOKUP($F197,Declarations!$B$6:$D$185,3,FALSE)),"",IF(VLOOKUP($F197,Declarations!$B$6:$D$185,3,FALSE)="","NOT DECLARED",VLOOKUP($F197,Declarations!$B$6:$D$185,3,FALSE)&amp;LEFT(VLOOKUP($F197,Declarations!$B$6:$E$185,4,FALSE))))</f>
        <v/>
      </c>
      <c r="F197" s="20"/>
      <c r="G197" s="21"/>
      <c r="H197" s="281"/>
      <c r="I197" s="8" t="str">
        <f>IF(ISNA(VLOOKUP(F197,Declarations!B$6:C$185,2,FALSE)),"",IF(VLOOKUP(F197,Declarations!B$6:C$185,2,FALSE)="","NOT DECLARED",VLOOKUP(F197,Declarations!B$6:C$185,2,FALSE)))</f>
        <v/>
      </c>
      <c r="J197" s="2">
        <f>IF(LOWER(LEFT(G197,1))="n",1,VLOOKUP(G197,ScoringTable!E$2:I$95,5))</f>
        <v>0</v>
      </c>
      <c r="K197" s="112" t="str">
        <f>IF(OR(E197="",G197=""),"",IF(RIGHT(E197,1)="G",_xlfn.XLOOKUP(G197,Data!$D$13:$L$13,Data!$D$9:$L$9,"",-1,1),_xlfn.XLOOKUP(G197,Data!$D$6:$L$6,Data!$D$2:$L$2,"",-1,1)))</f>
        <v/>
      </c>
      <c r="L197" s="160" t="str" cm="1">
        <f t="array" ref="L197">IFERROR(_xlfn.IFNA(
                      _xlfn.IFS(
                      F197="", "",
                      AND(E197="U12B",G197&gt;=Data!$M$6), "U12 Boys record",
                      AND(E197="U12G",G197&gt;=Data!$M$13), "U12 Girls record"
                       ),""), "")</f>
        <v/>
      </c>
      <c r="M197" s="18" cm="1">
        <f t="array" ref="M197">_xlfn.IFS($G197="",0,AND(NOT(ISNUMBER($G197)),LOWER(LEFT($G197,1))&lt;&gt;"n"),"Not a valid distance",OR(LOWER(LEFT($G197,1))="n",$G197&lt;ScoringTable!$P$161),1,RIGHT($E197,1)="B",_xlfn.XLOOKUP($G197,ScoringTable!$P$2:$P$161,ScoringTable!$L$2:$L$161,,-1),TRUE,_xlfn.XLOOKUP($G197,ScoringTable!$V$2:$V$161,ScoringTable!$R$2:$R$161,,-1))</f>
        <v>0</v>
      </c>
    </row>
    <row r="198" spans="1:13" ht="16.05" customHeight="1">
      <c r="A198" s="80" t="s">
        <v>104</v>
      </c>
      <c r="B198" s="79" t="str">
        <f>IF(ISNA(VLOOKUP($F198,Declarations!B$6:C$185,2,FALSE)),"",IF(VLOOKUP($F198,Declarations!B$6:C$185,2,FALSE)="","NOT DECLARED",IF(ISNA(_xlfn.TEXTBEFORE(VLOOKUP($F198,Declarations!B$6:C$185,2,FALSE)," ")),VLOOKUP($F198,Declarations!B$6:C$185,2,FALSE),_xlfn.TEXTBEFORE(VLOOKUP($F198,Declarations!B$6:C$185,2,FALSE)," "))))</f>
        <v/>
      </c>
      <c r="C198" s="79" t="str">
        <f>IF(ISNA(VLOOKUP($F198,Declarations!B$6:C$185,2,FALSE)),"",IF(VLOOKUP($F198,Declarations!B$6:C$185,2,FALSE)="","NOT DECLARED",IF(ISNA(_xlfn.TEXTAFTER(VLOOKUP($F198,Declarations!B$6:C$185,2,FALSE)," ")),VLOOKUP($F198,Declarations!B$6:C$185,2,FALSE),_xlfn.TEXTAFTER(VLOOKUP($F198,Declarations!B$6:C$185,2,FALSE)," "))))</f>
        <v/>
      </c>
      <c r="D198" s="79" t="str">
        <f>IF(ISNA(VLOOKUP($F198,Declarations!$B$6:$F$185,5,FALSE)),"",IF(VLOOKUP($F198,Declarations!$B$6:$F$185,5,FALSE)="","NOT DECLARED",VLOOKUP($F198,Declarations!$B$6:$F$185,5,FALSE)))</f>
        <v/>
      </c>
      <c r="E198" s="112" t="str">
        <f>IF(ISNA(VLOOKUP($F198,Declarations!$B$6:$D$185,3,FALSE)),"",IF(VLOOKUP($F198,Declarations!$B$6:$D$185,3,FALSE)="","NOT DECLARED",VLOOKUP($F198,Declarations!$B$6:$D$185,3,FALSE)&amp;LEFT(VLOOKUP($F198,Declarations!$B$6:$E$185,4,FALSE))))</f>
        <v/>
      </c>
      <c r="F198" s="20"/>
      <c r="G198" s="21"/>
      <c r="H198" s="281"/>
      <c r="I198" s="8" t="str">
        <f>IF(ISNA(VLOOKUP(F198,Declarations!B$6:C$185,2,FALSE)),"",IF(VLOOKUP(F198,Declarations!B$6:C$185,2,FALSE)="","NOT DECLARED",VLOOKUP(F198,Declarations!B$6:C$185,2,FALSE)))</f>
        <v/>
      </c>
      <c r="J198" s="2">
        <f>IF(LOWER(LEFT(G198,1))="n",1,VLOOKUP(G198,ScoringTable!E$2:I$95,5))</f>
        <v>0</v>
      </c>
      <c r="K198" s="112" t="str">
        <f>IF(OR(E198="",G198=""),"",IF(RIGHT(E198,1)="G",_xlfn.XLOOKUP(G198,Data!$D$13:$L$13,Data!$D$9:$L$9,"",-1,1),_xlfn.XLOOKUP(G198,Data!$D$6:$L$6,Data!$D$2:$L$2,"",-1,1)))</f>
        <v/>
      </c>
      <c r="L198" s="160" t="str" cm="1">
        <f t="array" ref="L198">IFERROR(_xlfn.IFNA(
                      _xlfn.IFS(
                      F198="", "",
                      AND(E198="U12B",G198&gt;=Data!$M$6), "U12 Boys record",
                      AND(E198="U12G",G198&gt;=Data!$M$13), "U12 Girls record"
                       ),""), "")</f>
        <v/>
      </c>
      <c r="M198" s="18" cm="1">
        <f t="array" ref="M198">_xlfn.IFS($G198="",0,AND(NOT(ISNUMBER($G198)),LOWER(LEFT($G198,1))&lt;&gt;"n"),"Not a valid distance",OR(LOWER(LEFT($G198,1))="n",$G198&lt;ScoringTable!$P$161),1,RIGHT($E198,1)="B",_xlfn.XLOOKUP($G198,ScoringTable!$P$2:$P$161,ScoringTable!$L$2:$L$161,,-1),TRUE,_xlfn.XLOOKUP($G198,ScoringTable!$V$2:$V$161,ScoringTable!$R$2:$R$161,,-1))</f>
        <v>0</v>
      </c>
    </row>
    <row r="199" spans="1:13" ht="16.05" customHeight="1">
      <c r="A199" s="80" t="s">
        <v>104</v>
      </c>
      <c r="B199" s="79" t="str">
        <f>IF(ISNA(VLOOKUP($F199,Declarations!B$6:C$185,2,FALSE)),"",IF(VLOOKUP($F199,Declarations!B$6:C$185,2,FALSE)="","NOT DECLARED",IF(ISNA(_xlfn.TEXTBEFORE(VLOOKUP($F199,Declarations!B$6:C$185,2,FALSE)," ")),VLOOKUP($F199,Declarations!B$6:C$185,2,FALSE),_xlfn.TEXTBEFORE(VLOOKUP($F199,Declarations!B$6:C$185,2,FALSE)," "))))</f>
        <v/>
      </c>
      <c r="C199" s="79" t="str">
        <f>IF(ISNA(VLOOKUP($F199,Declarations!B$6:C$185,2,FALSE)),"",IF(VLOOKUP($F199,Declarations!B$6:C$185,2,FALSE)="","NOT DECLARED",IF(ISNA(_xlfn.TEXTAFTER(VLOOKUP($F199,Declarations!B$6:C$185,2,FALSE)," ")),VLOOKUP($F199,Declarations!B$6:C$185,2,FALSE),_xlfn.TEXTAFTER(VLOOKUP($F199,Declarations!B$6:C$185,2,FALSE)," "))))</f>
        <v/>
      </c>
      <c r="D199" s="79" t="str">
        <f>IF(ISNA(VLOOKUP($F199,Declarations!$B$6:$F$185,5,FALSE)),"",IF(VLOOKUP($F199,Declarations!$B$6:$F$185,5,FALSE)="","NOT DECLARED",VLOOKUP($F199,Declarations!$B$6:$F$185,5,FALSE)))</f>
        <v/>
      </c>
      <c r="E199" s="112" t="str">
        <f>IF(ISNA(VLOOKUP($F199,Declarations!$B$6:$D$185,3,FALSE)),"",IF(VLOOKUP($F199,Declarations!$B$6:$D$185,3,FALSE)="","NOT DECLARED",VLOOKUP($F199,Declarations!$B$6:$D$185,3,FALSE)&amp;LEFT(VLOOKUP($F199,Declarations!$B$6:$E$185,4,FALSE))))</f>
        <v/>
      </c>
      <c r="F199" s="20"/>
      <c r="G199" s="21"/>
      <c r="H199" s="281"/>
      <c r="I199" s="8" t="str">
        <f>IF(ISNA(VLOOKUP(F199,Declarations!B$6:C$185,2,FALSE)),"",IF(VLOOKUP(F199,Declarations!B$6:C$185,2,FALSE)="","NOT DECLARED",VLOOKUP(F199,Declarations!B$6:C$185,2,FALSE)))</f>
        <v/>
      </c>
      <c r="J199" s="2">
        <f>IF(LOWER(LEFT(G199,1))="n",1,VLOOKUP(G199,ScoringTable!E$2:I$95,5))</f>
        <v>0</v>
      </c>
      <c r="K199" s="112" t="str">
        <f>IF(OR(E199="",G199=""),"",IF(RIGHT(E199,1)="G",_xlfn.XLOOKUP(G199,Data!$D$13:$L$13,Data!$D$9:$L$9,"",-1,1),_xlfn.XLOOKUP(G199,Data!$D$6:$L$6,Data!$D$2:$L$2,"",-1,1)))</f>
        <v/>
      </c>
      <c r="L199" s="160" t="str" cm="1">
        <f t="array" ref="L199">IFERROR(_xlfn.IFNA(
                      _xlfn.IFS(
                      F199="", "",
                      AND(E199="U12B",G199&gt;=Data!$M$6), "U12 Boys record",
                      AND(E199="U12G",G199&gt;=Data!$M$13), "U12 Girls record"
                       ),""), "")</f>
        <v/>
      </c>
      <c r="M199" s="18" cm="1">
        <f t="array" ref="M199">_xlfn.IFS($G199="",0,AND(NOT(ISNUMBER($G199)),LOWER(LEFT($G199,1))&lt;&gt;"n"),"Not a valid distance",OR(LOWER(LEFT($G199,1))="n",$G199&lt;ScoringTable!$P$161),1,RIGHT($E199,1)="B",_xlfn.XLOOKUP($G199,ScoringTable!$P$2:$P$161,ScoringTable!$L$2:$L$161,,-1),TRUE,_xlfn.XLOOKUP($G199,ScoringTable!$V$2:$V$161,ScoringTable!$R$2:$R$161,,-1))</f>
        <v>0</v>
      </c>
    </row>
    <row r="200" spans="1:13" ht="16.05" customHeight="1">
      <c r="A200" s="80" t="s">
        <v>104</v>
      </c>
      <c r="B200" s="79" t="str">
        <f>IF(ISNA(VLOOKUP($F200,Declarations!B$6:C$185,2,FALSE)),"",IF(VLOOKUP($F200,Declarations!B$6:C$185,2,FALSE)="","NOT DECLARED",IF(ISNA(_xlfn.TEXTBEFORE(VLOOKUP($F200,Declarations!B$6:C$185,2,FALSE)," ")),VLOOKUP($F200,Declarations!B$6:C$185,2,FALSE),_xlfn.TEXTBEFORE(VLOOKUP($F200,Declarations!B$6:C$185,2,FALSE)," "))))</f>
        <v/>
      </c>
      <c r="C200" s="79" t="str">
        <f>IF(ISNA(VLOOKUP($F200,Declarations!B$6:C$185,2,FALSE)),"",IF(VLOOKUP($F200,Declarations!B$6:C$185,2,FALSE)="","NOT DECLARED",IF(ISNA(_xlfn.TEXTAFTER(VLOOKUP($F200,Declarations!B$6:C$185,2,FALSE)," ")),VLOOKUP($F200,Declarations!B$6:C$185,2,FALSE),_xlfn.TEXTAFTER(VLOOKUP($F200,Declarations!B$6:C$185,2,FALSE)," "))))</f>
        <v/>
      </c>
      <c r="D200" s="79" t="str">
        <f>IF(ISNA(VLOOKUP($F200,Declarations!$B$6:$F$185,5,FALSE)),"",IF(VLOOKUP($F200,Declarations!$B$6:$F$185,5,FALSE)="","NOT DECLARED",VLOOKUP($F200,Declarations!$B$6:$F$185,5,FALSE)))</f>
        <v/>
      </c>
      <c r="E200" s="112" t="str">
        <f>IF(ISNA(VLOOKUP($F200,Declarations!$B$6:$D$185,3,FALSE)),"",IF(VLOOKUP($F200,Declarations!$B$6:$D$185,3,FALSE)="","NOT DECLARED",VLOOKUP($F200,Declarations!$B$6:$D$185,3,FALSE)&amp;LEFT(VLOOKUP($F200,Declarations!$B$6:$E$185,4,FALSE))))</f>
        <v/>
      </c>
      <c r="F200" s="20"/>
      <c r="G200" s="21"/>
      <c r="H200" s="281"/>
      <c r="I200" s="8" t="str">
        <f>IF(ISNA(VLOOKUP(F200,Declarations!B$6:C$185,2,FALSE)),"",IF(VLOOKUP(F200,Declarations!B$6:C$185,2,FALSE)="","NOT DECLARED",VLOOKUP(F200,Declarations!B$6:C$185,2,FALSE)))</f>
        <v/>
      </c>
      <c r="J200" s="2">
        <f>IF(LOWER(LEFT(G200,1))="n",1,VLOOKUP(G200,ScoringTable!E$2:I$95,5))</f>
        <v>0</v>
      </c>
      <c r="K200" s="112" t="str">
        <f>IF(OR(E200="",G200=""),"",IF(RIGHT(E200,1)="G",_xlfn.XLOOKUP(G200,Data!$D$13:$L$13,Data!$D$9:$L$9,"",-1,1),_xlfn.XLOOKUP(G200,Data!$D$6:$L$6,Data!$D$2:$L$2,"",-1,1)))</f>
        <v/>
      </c>
      <c r="L200" s="160" t="str" cm="1">
        <f t="array" ref="L200">IFERROR(_xlfn.IFNA(
                      _xlfn.IFS(
                      F200="", "",
                      AND(E200="U12B",G200&gt;=Data!$M$6), "U12 Boys record",
                      AND(E200="U12G",G200&gt;=Data!$M$13), "U12 Girls record"
                       ),""), "")</f>
        <v/>
      </c>
      <c r="M200" s="18" cm="1">
        <f t="array" ref="M200">_xlfn.IFS($G200="",0,AND(NOT(ISNUMBER($G200)),LOWER(LEFT($G200,1))&lt;&gt;"n"),"Not a valid distance",OR(LOWER(LEFT($G200,1))="n",$G200&lt;ScoringTable!$P$161),1,RIGHT($E200,1)="B",_xlfn.XLOOKUP($G200,ScoringTable!$P$2:$P$161,ScoringTable!$L$2:$L$161,,-1),TRUE,_xlfn.XLOOKUP($G200,ScoringTable!$V$2:$V$161,ScoringTable!$R$2:$R$161,,-1))</f>
        <v>0</v>
      </c>
    </row>
    <row r="201" spans="1:13" ht="16.05" customHeight="1">
      <c r="A201" s="80" t="s">
        <v>104</v>
      </c>
      <c r="B201" s="79" t="str">
        <f>IF(ISNA(VLOOKUP($F201,Declarations!B$6:C$185,2,FALSE)),"",IF(VLOOKUP($F201,Declarations!B$6:C$185,2,FALSE)="","NOT DECLARED",IF(ISNA(_xlfn.TEXTBEFORE(VLOOKUP($F201,Declarations!B$6:C$185,2,FALSE)," ")),VLOOKUP($F201,Declarations!B$6:C$185,2,FALSE),_xlfn.TEXTBEFORE(VLOOKUP($F201,Declarations!B$6:C$185,2,FALSE)," "))))</f>
        <v/>
      </c>
      <c r="C201" s="79" t="str">
        <f>IF(ISNA(VLOOKUP($F201,Declarations!B$6:C$185,2,FALSE)),"",IF(VLOOKUP($F201,Declarations!B$6:C$185,2,FALSE)="","NOT DECLARED",IF(ISNA(_xlfn.TEXTAFTER(VLOOKUP($F201,Declarations!B$6:C$185,2,FALSE)," ")),VLOOKUP($F201,Declarations!B$6:C$185,2,FALSE),_xlfn.TEXTAFTER(VLOOKUP($F201,Declarations!B$6:C$185,2,FALSE)," "))))</f>
        <v/>
      </c>
      <c r="D201" s="79" t="str">
        <f>IF(ISNA(VLOOKUP($F201,Declarations!$B$6:$F$185,5,FALSE)),"",IF(VLOOKUP($F201,Declarations!$B$6:$F$185,5,FALSE)="","NOT DECLARED",VLOOKUP($F201,Declarations!$B$6:$F$185,5,FALSE)))</f>
        <v/>
      </c>
      <c r="E201" s="112" t="str">
        <f>IF(ISNA(VLOOKUP($F201,Declarations!$B$6:$D$185,3,FALSE)),"",IF(VLOOKUP($F201,Declarations!$B$6:$D$185,3,FALSE)="","NOT DECLARED",VLOOKUP($F201,Declarations!$B$6:$D$185,3,FALSE)&amp;LEFT(VLOOKUP($F201,Declarations!$B$6:$E$185,4,FALSE))))</f>
        <v/>
      </c>
      <c r="F201" s="20"/>
      <c r="G201" s="21"/>
      <c r="H201" s="281"/>
      <c r="I201" s="8" t="str">
        <f>IF(ISNA(VLOOKUP(F201,Declarations!B$6:C$185,2,FALSE)),"",IF(VLOOKUP(F201,Declarations!B$6:C$185,2,FALSE)="","NOT DECLARED",VLOOKUP(F201,Declarations!B$6:C$185,2,FALSE)))</f>
        <v/>
      </c>
      <c r="J201" s="2">
        <f>IF(LOWER(LEFT(G201,1))="n",1,VLOOKUP(G201,ScoringTable!E$2:I$95,5))</f>
        <v>0</v>
      </c>
      <c r="K201" s="112" t="str">
        <f>IF(OR(E201="",G201=""),"",IF(RIGHT(E201,1)="G",_xlfn.XLOOKUP(G201,Data!$D$13:$L$13,Data!$D$9:$L$9,"",-1,1),_xlfn.XLOOKUP(G201,Data!$D$6:$L$6,Data!$D$2:$L$2,"",-1,1)))</f>
        <v/>
      </c>
      <c r="L201" s="160" t="str" cm="1">
        <f t="array" ref="L201">IFERROR(_xlfn.IFNA(
                      _xlfn.IFS(
                      F201="", "",
                      AND(E201="U12B",G201&gt;=Data!$M$6), "U12 Boys record",
                      AND(E201="U12G",G201&gt;=Data!$M$13), "U12 Girls record"
                       ),""), "")</f>
        <v/>
      </c>
      <c r="M201" s="18" cm="1">
        <f t="array" ref="M201">_xlfn.IFS($G201="",0,AND(NOT(ISNUMBER($G201)),LOWER(LEFT($G201,1))&lt;&gt;"n"),"Not a valid distance",OR(LOWER(LEFT($G201,1))="n",$G201&lt;ScoringTable!$P$161),1,RIGHT($E201,1)="B",_xlfn.XLOOKUP($G201,ScoringTable!$P$2:$P$161,ScoringTable!$L$2:$L$161,,-1),TRUE,_xlfn.XLOOKUP($G201,ScoringTable!$V$2:$V$161,ScoringTable!$R$2:$R$161,,-1))</f>
        <v>0</v>
      </c>
    </row>
    <row r="202" spans="1:13" ht="16.05" customHeight="1">
      <c r="A202" s="80" t="s">
        <v>104</v>
      </c>
      <c r="B202" s="79" t="str">
        <f>IF(ISNA(VLOOKUP($F202,Declarations!B$6:C$185,2,FALSE)),"",IF(VLOOKUP($F202,Declarations!B$6:C$185,2,FALSE)="","NOT DECLARED",IF(ISNA(_xlfn.TEXTBEFORE(VLOOKUP($F202,Declarations!B$6:C$185,2,FALSE)," ")),VLOOKUP($F202,Declarations!B$6:C$185,2,FALSE),_xlfn.TEXTBEFORE(VLOOKUP($F202,Declarations!B$6:C$185,2,FALSE)," "))))</f>
        <v/>
      </c>
      <c r="C202" s="79" t="str">
        <f>IF(ISNA(VLOOKUP($F202,Declarations!B$6:C$185,2,FALSE)),"",IF(VLOOKUP($F202,Declarations!B$6:C$185,2,FALSE)="","NOT DECLARED",IF(ISNA(_xlfn.TEXTAFTER(VLOOKUP($F202,Declarations!B$6:C$185,2,FALSE)," ")),VLOOKUP($F202,Declarations!B$6:C$185,2,FALSE),_xlfn.TEXTAFTER(VLOOKUP($F202,Declarations!B$6:C$185,2,FALSE)," "))))</f>
        <v/>
      </c>
      <c r="D202" s="79" t="str">
        <f>IF(ISNA(VLOOKUP($F202,Declarations!$B$6:$F$185,5,FALSE)),"",IF(VLOOKUP($F202,Declarations!$B$6:$F$185,5,FALSE)="","NOT DECLARED",VLOOKUP($F202,Declarations!$B$6:$F$185,5,FALSE)))</f>
        <v/>
      </c>
      <c r="E202" s="112" t="str">
        <f>IF(ISNA(VLOOKUP($F202,Declarations!$B$6:$D$185,3,FALSE)),"",IF(VLOOKUP($F202,Declarations!$B$6:$D$185,3,FALSE)="","NOT DECLARED",VLOOKUP($F202,Declarations!$B$6:$D$185,3,FALSE)&amp;LEFT(VLOOKUP($F202,Declarations!$B$6:$E$185,4,FALSE))))</f>
        <v/>
      </c>
      <c r="F202" s="20"/>
      <c r="G202" s="21"/>
      <c r="H202" s="281"/>
      <c r="I202" s="8" t="str">
        <f>IF(ISNA(VLOOKUP(F202,Declarations!B$6:C$185,2,FALSE)),"",IF(VLOOKUP(F202,Declarations!B$6:C$185,2,FALSE)="","NOT DECLARED",VLOOKUP(F202,Declarations!B$6:C$185,2,FALSE)))</f>
        <v/>
      </c>
      <c r="J202" s="2">
        <f>IF(LOWER(LEFT(G202,1))="n",1,VLOOKUP(G202,ScoringTable!E$2:I$95,5))</f>
        <v>0</v>
      </c>
      <c r="K202" s="112" t="str">
        <f>IF(OR(E202="",G202=""),"",IF(RIGHT(E202,1)="G",_xlfn.XLOOKUP(G202,Data!$D$13:$L$13,Data!$D$9:$L$9,"",-1,1),_xlfn.XLOOKUP(G202,Data!$D$6:$L$6,Data!$D$2:$L$2,"",-1,1)))</f>
        <v/>
      </c>
      <c r="L202" s="160" t="str" cm="1">
        <f t="array" ref="L202">IFERROR(_xlfn.IFNA(
                      _xlfn.IFS(
                      F202="", "",
                      AND(E202="U12B",G202&gt;=Data!$M$6), "U12 Boys record",
                      AND(E202="U12G",G202&gt;=Data!$M$13), "U12 Girls record"
                       ),""), "")</f>
        <v/>
      </c>
      <c r="M202" s="18" cm="1">
        <f t="array" ref="M202">_xlfn.IFS($G202="",0,AND(NOT(ISNUMBER($G202)),LOWER(LEFT($G202,1))&lt;&gt;"n"),"Not a valid distance",OR(LOWER(LEFT($G202,1))="n",$G202&lt;ScoringTable!$P$161),1,RIGHT($E202,1)="B",_xlfn.XLOOKUP($G202,ScoringTable!$P$2:$P$161,ScoringTable!$L$2:$L$161,,-1),TRUE,_xlfn.XLOOKUP($G202,ScoringTable!$V$2:$V$161,ScoringTable!$R$2:$R$161,,-1))</f>
        <v>0</v>
      </c>
    </row>
    <row r="203" spans="1:13" ht="16.05" customHeight="1">
      <c r="A203" s="80" t="s">
        <v>104</v>
      </c>
      <c r="B203" s="79" t="str">
        <f>IF(ISNA(VLOOKUP($F203,Declarations!B$6:C$185,2,FALSE)),"",IF(VLOOKUP($F203,Declarations!B$6:C$185,2,FALSE)="","NOT DECLARED",IF(ISNA(_xlfn.TEXTBEFORE(VLOOKUP($F203,Declarations!B$6:C$185,2,FALSE)," ")),VLOOKUP($F203,Declarations!B$6:C$185,2,FALSE),_xlfn.TEXTBEFORE(VLOOKUP($F203,Declarations!B$6:C$185,2,FALSE)," "))))</f>
        <v/>
      </c>
      <c r="C203" s="79" t="str">
        <f>IF(ISNA(VLOOKUP($F203,Declarations!B$6:C$185,2,FALSE)),"",IF(VLOOKUP($F203,Declarations!B$6:C$185,2,FALSE)="","NOT DECLARED",IF(ISNA(_xlfn.TEXTAFTER(VLOOKUP($F203,Declarations!B$6:C$185,2,FALSE)," ")),VLOOKUP($F203,Declarations!B$6:C$185,2,FALSE),_xlfn.TEXTAFTER(VLOOKUP($F203,Declarations!B$6:C$185,2,FALSE)," "))))</f>
        <v/>
      </c>
      <c r="D203" s="79" t="str">
        <f>IF(ISNA(VLOOKUP($F203,Declarations!$B$6:$F$185,5,FALSE)),"",IF(VLOOKUP($F203,Declarations!$B$6:$F$185,5,FALSE)="","NOT DECLARED",VLOOKUP($F203,Declarations!$B$6:$F$185,5,FALSE)))</f>
        <v/>
      </c>
      <c r="E203" s="112" t="str">
        <f>IF(ISNA(VLOOKUP($F203,Declarations!$B$6:$D$185,3,FALSE)),"",IF(VLOOKUP($F203,Declarations!$B$6:$D$185,3,FALSE)="","NOT DECLARED",VLOOKUP($F203,Declarations!$B$6:$D$185,3,FALSE)&amp;LEFT(VLOOKUP($F203,Declarations!$B$6:$E$185,4,FALSE))))</f>
        <v/>
      </c>
      <c r="F203" s="20"/>
      <c r="G203" s="21"/>
      <c r="H203" s="281"/>
      <c r="I203" s="8" t="str">
        <f>IF(ISNA(VLOOKUP(F203,Declarations!B$6:C$185,2,FALSE)),"",IF(VLOOKUP(F203,Declarations!B$6:C$185,2,FALSE)="","NOT DECLARED",VLOOKUP(F203,Declarations!B$6:C$185,2,FALSE)))</f>
        <v/>
      </c>
      <c r="J203" s="2">
        <f>IF(LOWER(LEFT(G203,1))="n",1,VLOOKUP(G203,ScoringTable!E$2:I$95,5))</f>
        <v>0</v>
      </c>
      <c r="K203" s="112" t="str">
        <f>IF(OR(E203="",G203=""),"",IF(RIGHT(E203,1)="G",_xlfn.XLOOKUP(G203,Data!$D$13:$L$13,Data!$D$9:$L$9,"",-1,1),_xlfn.XLOOKUP(G203,Data!$D$6:$L$6,Data!$D$2:$L$2,"",-1,1)))</f>
        <v/>
      </c>
      <c r="L203" s="160" t="str" cm="1">
        <f t="array" ref="L203">IFERROR(_xlfn.IFNA(
                      _xlfn.IFS(
                      F203="", "",
                      AND(E203="U12B",G203&gt;=Data!$M$6), "U12 Boys record",
                      AND(E203="U12G",G203&gt;=Data!$M$13), "U12 Girls record"
                       ),""), "")</f>
        <v/>
      </c>
      <c r="M203" s="18" cm="1">
        <f t="array" ref="M203">_xlfn.IFS($G203="",0,AND(NOT(ISNUMBER($G203)),LOWER(LEFT($G203,1))&lt;&gt;"n"),"Not a valid distance",OR(LOWER(LEFT($G203,1))="n",$G203&lt;ScoringTable!$P$161),1,RIGHT($E203,1)="B",_xlfn.XLOOKUP($G203,ScoringTable!$P$2:$P$161,ScoringTable!$L$2:$L$161,,-1),TRUE,_xlfn.XLOOKUP($G203,ScoringTable!$V$2:$V$161,ScoringTable!$R$2:$R$161,,-1))</f>
        <v>0</v>
      </c>
    </row>
    <row r="204" spans="1:13" ht="16.05" customHeight="1">
      <c r="A204" s="80" t="s">
        <v>104</v>
      </c>
      <c r="B204" s="79" t="str">
        <f>IF(ISNA(VLOOKUP($F204,Declarations!B$6:C$185,2,FALSE)),"",IF(VLOOKUP($F204,Declarations!B$6:C$185,2,FALSE)="","NOT DECLARED",IF(ISNA(_xlfn.TEXTBEFORE(VLOOKUP($F204,Declarations!B$6:C$185,2,FALSE)," ")),VLOOKUP($F204,Declarations!B$6:C$185,2,FALSE),_xlfn.TEXTBEFORE(VLOOKUP($F204,Declarations!B$6:C$185,2,FALSE)," "))))</f>
        <v/>
      </c>
      <c r="C204" s="79" t="str">
        <f>IF(ISNA(VLOOKUP($F204,Declarations!B$6:C$185,2,FALSE)),"",IF(VLOOKUP($F204,Declarations!B$6:C$185,2,FALSE)="","NOT DECLARED",IF(ISNA(_xlfn.TEXTAFTER(VLOOKUP($F204,Declarations!B$6:C$185,2,FALSE)," ")),VLOOKUP($F204,Declarations!B$6:C$185,2,FALSE),_xlfn.TEXTAFTER(VLOOKUP($F204,Declarations!B$6:C$185,2,FALSE)," "))))</f>
        <v/>
      </c>
      <c r="D204" s="79" t="str">
        <f>IF(ISNA(VLOOKUP($F204,Declarations!$B$6:$F$185,5,FALSE)),"",IF(VLOOKUP($F204,Declarations!$B$6:$F$185,5,FALSE)="","NOT DECLARED",VLOOKUP($F204,Declarations!$B$6:$F$185,5,FALSE)))</f>
        <v/>
      </c>
      <c r="E204" s="112" t="str">
        <f>IF(ISNA(VLOOKUP($F204,Declarations!$B$6:$D$185,3,FALSE)),"",IF(VLOOKUP($F204,Declarations!$B$6:$D$185,3,FALSE)="","NOT DECLARED",VLOOKUP($F204,Declarations!$B$6:$D$185,3,FALSE)&amp;LEFT(VLOOKUP($F204,Declarations!$B$6:$E$185,4,FALSE))))</f>
        <v/>
      </c>
      <c r="F204" s="20"/>
      <c r="G204" s="21"/>
      <c r="H204" s="281"/>
      <c r="I204" s="8" t="str">
        <f>IF(ISNA(VLOOKUP(F204,Declarations!B$6:C$185,2,FALSE)),"",IF(VLOOKUP(F204,Declarations!B$6:C$185,2,FALSE)="","NOT DECLARED",VLOOKUP(F204,Declarations!B$6:C$185,2,FALSE)))</f>
        <v/>
      </c>
      <c r="J204" s="2">
        <f>IF(LOWER(LEFT(G204,1))="n",1,VLOOKUP(G204,ScoringTable!E$2:I$95,5))</f>
        <v>0</v>
      </c>
      <c r="K204" s="112" t="str">
        <f>IF(OR(E204="",G204=""),"",IF(RIGHT(E204,1)="G",_xlfn.XLOOKUP(G204,Data!$D$13:$L$13,Data!$D$9:$L$9,"",-1,1),_xlfn.XLOOKUP(G204,Data!$D$6:$L$6,Data!$D$2:$L$2,"",-1,1)))</f>
        <v/>
      </c>
      <c r="L204" s="160" t="str" cm="1">
        <f t="array" ref="L204">IFERROR(_xlfn.IFNA(
                      _xlfn.IFS(
                      F204="", "",
                      AND(E204="U12B",G204&gt;=Data!$M$6), "U12 Boys record",
                      AND(E204="U12G",G204&gt;=Data!$M$13), "U12 Girls record"
                       ),""), "")</f>
        <v/>
      </c>
      <c r="M204" s="18" cm="1">
        <f t="array" ref="M204">_xlfn.IFS($G204="",0,AND(NOT(ISNUMBER($G204)),LOWER(LEFT($G204,1))&lt;&gt;"n"),"Not a valid distance",OR(LOWER(LEFT($G204,1))="n",$G204&lt;ScoringTable!$P$161),1,RIGHT($E204,1)="B",_xlfn.XLOOKUP($G204,ScoringTable!$P$2:$P$161,ScoringTable!$L$2:$L$161,,-1),TRUE,_xlfn.XLOOKUP($G204,ScoringTable!$V$2:$V$161,ScoringTable!$R$2:$R$161,,-1))</f>
        <v>0</v>
      </c>
    </row>
    <row r="205" spans="1:13" ht="16.05" customHeight="1">
      <c r="A205" s="80" t="s">
        <v>104</v>
      </c>
      <c r="B205" s="79" t="str">
        <f>IF(ISNA(VLOOKUP($F205,Declarations!B$6:C$185,2,FALSE)),"",IF(VLOOKUP($F205,Declarations!B$6:C$185,2,FALSE)="","NOT DECLARED",IF(ISNA(_xlfn.TEXTBEFORE(VLOOKUP($F205,Declarations!B$6:C$185,2,FALSE)," ")),VLOOKUP($F205,Declarations!B$6:C$185,2,FALSE),_xlfn.TEXTBEFORE(VLOOKUP($F205,Declarations!B$6:C$185,2,FALSE)," "))))</f>
        <v/>
      </c>
      <c r="C205" s="79" t="str">
        <f>IF(ISNA(VLOOKUP($F205,Declarations!B$6:C$185,2,FALSE)),"",IF(VLOOKUP($F205,Declarations!B$6:C$185,2,FALSE)="","NOT DECLARED",IF(ISNA(_xlfn.TEXTAFTER(VLOOKUP($F205,Declarations!B$6:C$185,2,FALSE)," ")),VLOOKUP($F205,Declarations!B$6:C$185,2,FALSE),_xlfn.TEXTAFTER(VLOOKUP($F205,Declarations!B$6:C$185,2,FALSE)," "))))</f>
        <v/>
      </c>
      <c r="D205" s="79" t="str">
        <f>IF(ISNA(VLOOKUP($F205,Declarations!$B$6:$F$185,5,FALSE)),"",IF(VLOOKUP($F205,Declarations!$B$6:$F$185,5,FALSE)="","NOT DECLARED",VLOOKUP($F205,Declarations!$B$6:$F$185,5,FALSE)))</f>
        <v/>
      </c>
      <c r="E205" s="112" t="str">
        <f>IF(ISNA(VLOOKUP($F205,Declarations!$B$6:$D$185,3,FALSE)),"",IF(VLOOKUP($F205,Declarations!$B$6:$D$185,3,FALSE)="","NOT DECLARED",VLOOKUP($F205,Declarations!$B$6:$D$185,3,FALSE)&amp;LEFT(VLOOKUP($F205,Declarations!$B$6:$E$185,4,FALSE))))</f>
        <v/>
      </c>
      <c r="F205" s="20"/>
      <c r="G205" s="21"/>
      <c r="H205" s="281"/>
      <c r="I205" s="8" t="str">
        <f>IF(ISNA(VLOOKUP(F205,Declarations!B$6:C$185,2,FALSE)),"",IF(VLOOKUP(F205,Declarations!B$6:C$185,2,FALSE)="","NOT DECLARED",VLOOKUP(F205,Declarations!B$6:C$185,2,FALSE)))</f>
        <v/>
      </c>
      <c r="J205" s="2">
        <f>IF(LOWER(LEFT(G205,1))="n",1,VLOOKUP(G205,ScoringTable!E$2:I$95,5))</f>
        <v>0</v>
      </c>
      <c r="K205" s="112" t="str">
        <f>IF(OR(E205="",G205=""),"",IF(RIGHT(E205,1)="G",_xlfn.XLOOKUP(G205,Data!$D$13:$L$13,Data!$D$9:$L$9,"",-1,1),_xlfn.XLOOKUP(G205,Data!$D$6:$L$6,Data!$D$2:$L$2,"",-1,1)))</f>
        <v/>
      </c>
      <c r="L205" s="160" t="str" cm="1">
        <f t="array" ref="L205">IFERROR(_xlfn.IFNA(
                      _xlfn.IFS(
                      F205="", "",
                      AND(E205="U12B",G205&gt;=Data!$M$6), "U12 Boys record",
                      AND(E205="U12G",G205&gt;=Data!$M$13), "U12 Girls record"
                       ),""), "")</f>
        <v/>
      </c>
      <c r="M205" s="18" cm="1">
        <f t="array" ref="M205">_xlfn.IFS($G205="",0,AND(NOT(ISNUMBER($G205)),LOWER(LEFT($G205,1))&lt;&gt;"n"),"Not a valid distance",OR(LOWER(LEFT($G205,1))="n",$G205&lt;ScoringTable!$P$161),1,RIGHT($E205,1)="B",_xlfn.XLOOKUP($G205,ScoringTable!$P$2:$P$161,ScoringTable!$L$2:$L$161,,-1),TRUE,_xlfn.XLOOKUP($G205,ScoringTable!$V$2:$V$161,ScoringTable!$R$2:$R$161,,-1))</f>
        <v>0</v>
      </c>
    </row>
    <row r="206" spans="1:13" ht="16.05" customHeight="1">
      <c r="A206" s="80" t="s">
        <v>104</v>
      </c>
      <c r="B206" s="79" t="str">
        <f>IF(ISNA(VLOOKUP($F206,Declarations!B$6:C$185,2,FALSE)),"",IF(VLOOKUP($F206,Declarations!B$6:C$185,2,FALSE)="","NOT DECLARED",IF(ISNA(_xlfn.TEXTBEFORE(VLOOKUP($F206,Declarations!B$6:C$185,2,FALSE)," ")),VLOOKUP($F206,Declarations!B$6:C$185,2,FALSE),_xlfn.TEXTBEFORE(VLOOKUP($F206,Declarations!B$6:C$185,2,FALSE)," "))))</f>
        <v/>
      </c>
      <c r="C206" s="79" t="str">
        <f>IF(ISNA(VLOOKUP($F206,Declarations!B$6:C$185,2,FALSE)),"",IF(VLOOKUP($F206,Declarations!B$6:C$185,2,FALSE)="","NOT DECLARED",IF(ISNA(_xlfn.TEXTAFTER(VLOOKUP($F206,Declarations!B$6:C$185,2,FALSE)," ")),VLOOKUP($F206,Declarations!B$6:C$185,2,FALSE),_xlfn.TEXTAFTER(VLOOKUP($F206,Declarations!B$6:C$185,2,FALSE)," "))))</f>
        <v/>
      </c>
      <c r="D206" s="79" t="str">
        <f>IF(ISNA(VLOOKUP($F206,Declarations!$B$6:$F$185,5,FALSE)),"",IF(VLOOKUP($F206,Declarations!$B$6:$F$185,5,FALSE)="","NOT DECLARED",VLOOKUP($F206,Declarations!$B$6:$F$185,5,FALSE)))</f>
        <v/>
      </c>
      <c r="E206" s="112" t="str">
        <f>IF(ISNA(VLOOKUP($F206,Declarations!$B$6:$D$185,3,FALSE)),"",IF(VLOOKUP($F206,Declarations!$B$6:$D$185,3,FALSE)="","NOT DECLARED",VLOOKUP($F206,Declarations!$B$6:$D$185,3,FALSE)&amp;LEFT(VLOOKUP($F206,Declarations!$B$6:$E$185,4,FALSE))))</f>
        <v/>
      </c>
      <c r="F206" s="20"/>
      <c r="G206" s="21"/>
      <c r="H206" s="281"/>
      <c r="I206" s="8" t="str">
        <f>IF(ISNA(VLOOKUP(F206,Declarations!B$6:C$185,2,FALSE)),"",IF(VLOOKUP(F206,Declarations!B$6:C$185,2,FALSE)="","NOT DECLARED",VLOOKUP(F206,Declarations!B$6:C$185,2,FALSE)))</f>
        <v/>
      </c>
      <c r="J206" s="2">
        <f>IF(LOWER(LEFT(G206,1))="n",1,VLOOKUP(G206,ScoringTable!E$2:I$95,5))</f>
        <v>0</v>
      </c>
      <c r="K206" s="112" t="str">
        <f>IF(OR(E206="",G206=""),"",IF(RIGHT(E206,1)="G",_xlfn.XLOOKUP(G206,Data!$D$13:$L$13,Data!$D$9:$L$9,"",-1,1),_xlfn.XLOOKUP(G206,Data!$D$6:$L$6,Data!$D$2:$L$2,"",-1,1)))</f>
        <v/>
      </c>
      <c r="L206" s="160" t="str" cm="1">
        <f t="array" ref="L206">IFERROR(_xlfn.IFNA(
                      _xlfn.IFS(
                      F206="", "",
                      AND(E206="U12B",G206&gt;=Data!$M$6), "U12 Boys record",
                      AND(E206="U12G",G206&gt;=Data!$M$13), "U12 Girls record"
                       ),""), "")</f>
        <v/>
      </c>
      <c r="M206" s="18" cm="1">
        <f t="array" ref="M206">_xlfn.IFS($G206="",0,AND(NOT(ISNUMBER($G206)),LOWER(LEFT($G206,1))&lt;&gt;"n"),"Not a valid distance",OR(LOWER(LEFT($G206,1))="n",$G206&lt;ScoringTable!$P$161),1,RIGHT($E206,1)="B",_xlfn.XLOOKUP($G206,ScoringTable!$P$2:$P$161,ScoringTable!$L$2:$L$161,,-1),TRUE,_xlfn.XLOOKUP($G206,ScoringTable!$V$2:$V$161,ScoringTable!$R$2:$R$161,,-1))</f>
        <v>0</v>
      </c>
    </row>
    <row r="207" spans="1:13" ht="16.05" customHeight="1">
      <c r="A207" s="80" t="s">
        <v>104</v>
      </c>
      <c r="B207" s="79" t="str">
        <f>IF(ISNA(VLOOKUP($F207,Declarations!B$6:C$185,2,FALSE)),"",IF(VLOOKUP($F207,Declarations!B$6:C$185,2,FALSE)="","NOT DECLARED",IF(ISNA(_xlfn.TEXTBEFORE(VLOOKUP($F207,Declarations!B$6:C$185,2,FALSE)," ")),VLOOKUP($F207,Declarations!B$6:C$185,2,FALSE),_xlfn.TEXTBEFORE(VLOOKUP($F207,Declarations!B$6:C$185,2,FALSE)," "))))</f>
        <v/>
      </c>
      <c r="C207" s="79" t="str">
        <f>IF(ISNA(VLOOKUP($F207,Declarations!B$6:C$185,2,FALSE)),"",IF(VLOOKUP($F207,Declarations!B$6:C$185,2,FALSE)="","NOT DECLARED",IF(ISNA(_xlfn.TEXTAFTER(VLOOKUP($F207,Declarations!B$6:C$185,2,FALSE)," ")),VLOOKUP($F207,Declarations!B$6:C$185,2,FALSE),_xlfn.TEXTAFTER(VLOOKUP($F207,Declarations!B$6:C$185,2,FALSE)," "))))</f>
        <v/>
      </c>
      <c r="D207" s="79" t="str">
        <f>IF(ISNA(VLOOKUP($F207,Declarations!$B$6:$F$185,5,FALSE)),"",IF(VLOOKUP($F207,Declarations!$B$6:$F$185,5,FALSE)="","NOT DECLARED",VLOOKUP($F207,Declarations!$B$6:$F$185,5,FALSE)))</f>
        <v/>
      </c>
      <c r="E207" s="112" t="str">
        <f>IF(ISNA(VLOOKUP($F207,Declarations!$B$6:$D$185,3,FALSE)),"",IF(VLOOKUP($F207,Declarations!$B$6:$D$185,3,FALSE)="","NOT DECLARED",VLOOKUP($F207,Declarations!$B$6:$D$185,3,FALSE)&amp;LEFT(VLOOKUP($F207,Declarations!$B$6:$E$185,4,FALSE))))</f>
        <v/>
      </c>
      <c r="F207" s="20"/>
      <c r="G207" s="21"/>
      <c r="H207" s="281"/>
      <c r="I207" s="8" t="str">
        <f>IF(ISNA(VLOOKUP(F207,Declarations!B$6:C$185,2,FALSE)),"",IF(VLOOKUP(F207,Declarations!B$6:C$185,2,FALSE)="","NOT DECLARED",VLOOKUP(F207,Declarations!B$6:C$185,2,FALSE)))</f>
        <v/>
      </c>
      <c r="J207" s="2">
        <f>IF(LOWER(LEFT(G207,1))="n",1,VLOOKUP(G207,ScoringTable!E$2:I$95,5))</f>
        <v>0</v>
      </c>
      <c r="K207" s="112" t="str">
        <f>IF(OR(E207="",G207=""),"",IF(RIGHT(E207,1)="G",_xlfn.XLOOKUP(G207,Data!$D$13:$L$13,Data!$D$9:$L$9,"",-1,1),_xlfn.XLOOKUP(G207,Data!$D$6:$L$6,Data!$D$2:$L$2,"",-1,1)))</f>
        <v/>
      </c>
      <c r="L207" s="160" t="str" cm="1">
        <f t="array" ref="L207">IFERROR(_xlfn.IFNA(
                      _xlfn.IFS(
                      F207="", "",
                      AND(E207="U12B",G207&gt;=Data!$M$6), "U12 Boys record",
                      AND(E207="U12G",G207&gt;=Data!$M$13), "U12 Girls record"
                       ),""), "")</f>
        <v/>
      </c>
      <c r="M207" s="18" cm="1">
        <f t="array" ref="M207">_xlfn.IFS($G207="",0,AND(NOT(ISNUMBER($G207)),LOWER(LEFT($G207,1))&lt;&gt;"n"),"Not a valid distance",OR(LOWER(LEFT($G207,1))="n",$G207&lt;ScoringTable!$P$161),1,RIGHT($E207,1)="B",_xlfn.XLOOKUP($G207,ScoringTable!$P$2:$P$161,ScoringTable!$L$2:$L$161,,-1),TRUE,_xlfn.XLOOKUP($G207,ScoringTable!$V$2:$V$161,ScoringTable!$R$2:$R$161,,-1))</f>
        <v>0</v>
      </c>
    </row>
    <row r="208" spans="1:13" ht="16.05" customHeight="1">
      <c r="A208" s="80" t="s">
        <v>104</v>
      </c>
      <c r="B208" s="79" t="str">
        <f>IF(ISNA(VLOOKUP($F208,Declarations!B$6:C$185,2,FALSE)),"",IF(VLOOKUP($F208,Declarations!B$6:C$185,2,FALSE)="","NOT DECLARED",IF(ISNA(_xlfn.TEXTBEFORE(VLOOKUP($F208,Declarations!B$6:C$185,2,FALSE)," ")),VLOOKUP($F208,Declarations!B$6:C$185,2,FALSE),_xlfn.TEXTBEFORE(VLOOKUP($F208,Declarations!B$6:C$185,2,FALSE)," "))))</f>
        <v/>
      </c>
      <c r="C208" s="79" t="str">
        <f>IF(ISNA(VLOOKUP($F208,Declarations!B$6:C$185,2,FALSE)),"",IF(VLOOKUP($F208,Declarations!B$6:C$185,2,FALSE)="","NOT DECLARED",IF(ISNA(_xlfn.TEXTAFTER(VLOOKUP($F208,Declarations!B$6:C$185,2,FALSE)," ")),VLOOKUP($F208,Declarations!B$6:C$185,2,FALSE),_xlfn.TEXTAFTER(VLOOKUP($F208,Declarations!B$6:C$185,2,FALSE)," "))))</f>
        <v/>
      </c>
      <c r="D208" s="79" t="str">
        <f>IF(ISNA(VLOOKUP($F208,Declarations!$B$6:$F$185,5,FALSE)),"",IF(VLOOKUP($F208,Declarations!$B$6:$F$185,5,FALSE)="","NOT DECLARED",VLOOKUP($F208,Declarations!$B$6:$F$185,5,FALSE)))</f>
        <v/>
      </c>
      <c r="E208" s="112" t="str">
        <f>IF(ISNA(VLOOKUP($F208,Declarations!$B$6:$D$185,3,FALSE)),"",IF(VLOOKUP($F208,Declarations!$B$6:$D$185,3,FALSE)="","NOT DECLARED",VLOOKUP($F208,Declarations!$B$6:$D$185,3,FALSE)&amp;LEFT(VLOOKUP($F208,Declarations!$B$6:$E$185,4,FALSE))))</f>
        <v/>
      </c>
      <c r="F208" s="20"/>
      <c r="G208" s="21"/>
      <c r="H208" s="281"/>
      <c r="I208" s="8" t="str">
        <f>IF(ISNA(VLOOKUP(F208,Declarations!B$6:C$185,2,FALSE)),"",IF(VLOOKUP(F208,Declarations!B$6:C$185,2,FALSE)="","NOT DECLARED",VLOOKUP(F208,Declarations!B$6:C$185,2,FALSE)))</f>
        <v/>
      </c>
      <c r="J208" s="2">
        <f>IF(LOWER(LEFT(G208,1))="n",1,VLOOKUP(G208,ScoringTable!E$2:I$95,5))</f>
        <v>0</v>
      </c>
      <c r="K208" s="112" t="str">
        <f>IF(OR(E208="",G208=""),"",IF(RIGHT(E208,1)="G",_xlfn.XLOOKUP(G208,Data!$D$13:$L$13,Data!$D$9:$L$9,"",-1,1),_xlfn.XLOOKUP(G208,Data!$D$6:$L$6,Data!$D$2:$L$2,"",-1,1)))</f>
        <v/>
      </c>
      <c r="L208" s="160" t="str" cm="1">
        <f t="array" ref="L208">IFERROR(_xlfn.IFNA(
                      _xlfn.IFS(
                      F208="", "",
                      AND(E208="U12B",G208&gt;=Data!$M$6), "U12 Boys record",
                      AND(E208="U12G",G208&gt;=Data!$M$13), "U12 Girls record"
                       ),""), "")</f>
        <v/>
      </c>
      <c r="M208" s="18" cm="1">
        <f t="array" ref="M208">_xlfn.IFS($G208="",0,AND(NOT(ISNUMBER($G208)),LOWER(LEFT($G208,1))&lt;&gt;"n"),"Not a valid distance",OR(LOWER(LEFT($G208,1))="n",$G208&lt;ScoringTable!$P$161),1,RIGHT($E208,1)="B",_xlfn.XLOOKUP($G208,ScoringTable!$P$2:$P$161,ScoringTable!$L$2:$L$161,,-1),TRUE,_xlfn.XLOOKUP($G208,ScoringTable!$V$2:$V$161,ScoringTable!$R$2:$R$161,,-1))</f>
        <v>0</v>
      </c>
    </row>
    <row r="209" spans="1:13" ht="16.05" customHeight="1">
      <c r="A209" s="80" t="s">
        <v>104</v>
      </c>
      <c r="B209" s="79" t="str">
        <f>IF(ISNA(VLOOKUP($F209,Declarations!B$6:C$185,2,FALSE)),"",IF(VLOOKUP($F209,Declarations!B$6:C$185,2,FALSE)="","NOT DECLARED",IF(ISNA(_xlfn.TEXTBEFORE(VLOOKUP($F209,Declarations!B$6:C$185,2,FALSE)," ")),VLOOKUP($F209,Declarations!B$6:C$185,2,FALSE),_xlfn.TEXTBEFORE(VLOOKUP($F209,Declarations!B$6:C$185,2,FALSE)," "))))</f>
        <v/>
      </c>
      <c r="C209" s="79" t="str">
        <f>IF(ISNA(VLOOKUP($F209,Declarations!B$6:C$185,2,FALSE)),"",IF(VLOOKUP($F209,Declarations!B$6:C$185,2,FALSE)="","NOT DECLARED",IF(ISNA(_xlfn.TEXTAFTER(VLOOKUP($F209,Declarations!B$6:C$185,2,FALSE)," ")),VLOOKUP($F209,Declarations!B$6:C$185,2,FALSE),_xlfn.TEXTAFTER(VLOOKUP($F209,Declarations!B$6:C$185,2,FALSE)," "))))</f>
        <v/>
      </c>
      <c r="D209" s="79" t="str">
        <f>IF(ISNA(VLOOKUP($F209,Declarations!$B$6:$F$185,5,FALSE)),"",IF(VLOOKUP($F209,Declarations!$B$6:$F$185,5,FALSE)="","NOT DECLARED",VLOOKUP($F209,Declarations!$B$6:$F$185,5,FALSE)))</f>
        <v/>
      </c>
      <c r="E209" s="112" t="str">
        <f>IF(ISNA(VLOOKUP($F209,Declarations!$B$6:$D$185,3,FALSE)),"",IF(VLOOKUP($F209,Declarations!$B$6:$D$185,3,FALSE)="","NOT DECLARED",VLOOKUP($F209,Declarations!$B$6:$D$185,3,FALSE)&amp;LEFT(VLOOKUP($F209,Declarations!$B$6:$E$185,4,FALSE))))</f>
        <v/>
      </c>
      <c r="F209" s="20"/>
      <c r="G209" s="21"/>
      <c r="H209" s="281"/>
      <c r="I209" s="8" t="str">
        <f>IF(ISNA(VLOOKUP(F209,Declarations!B$6:C$185,2,FALSE)),"",IF(VLOOKUP(F209,Declarations!B$6:C$185,2,FALSE)="","NOT DECLARED",VLOOKUP(F209,Declarations!B$6:C$185,2,FALSE)))</f>
        <v/>
      </c>
      <c r="J209" s="2">
        <f>IF(LOWER(LEFT(G209,1))="n",1,VLOOKUP(G209,ScoringTable!E$2:I$95,5))</f>
        <v>0</v>
      </c>
      <c r="K209" s="112" t="str">
        <f>IF(OR(E209="",G209=""),"",IF(RIGHT(E209,1)="G",_xlfn.XLOOKUP(G209,Data!$D$13:$L$13,Data!$D$9:$L$9,"",-1,1),_xlfn.XLOOKUP(G209,Data!$D$6:$L$6,Data!$D$2:$L$2,"",-1,1)))</f>
        <v/>
      </c>
      <c r="L209" s="160" t="str" cm="1">
        <f t="array" ref="L209">IFERROR(_xlfn.IFNA(
                      _xlfn.IFS(
                      F209="", "",
                      AND(E209="U12B",G209&gt;=Data!$M$6), "U12 Boys record",
                      AND(E209="U12G",G209&gt;=Data!$M$13), "U12 Girls record"
                       ),""), "")</f>
        <v/>
      </c>
      <c r="M209" s="18" cm="1">
        <f t="array" ref="M209">_xlfn.IFS($G209="",0,AND(NOT(ISNUMBER($G209)),LOWER(LEFT($G209,1))&lt;&gt;"n"),"Not a valid distance",OR(LOWER(LEFT($G209,1))="n",$G209&lt;ScoringTable!$P$161),1,RIGHT($E209,1)="B",_xlfn.XLOOKUP($G209,ScoringTable!$P$2:$P$161,ScoringTable!$L$2:$L$161,,-1),TRUE,_xlfn.XLOOKUP($G209,ScoringTable!$V$2:$V$161,ScoringTable!$R$2:$R$161,,-1))</f>
        <v>0</v>
      </c>
    </row>
    <row r="210" spans="1:13" ht="16.05" customHeight="1">
      <c r="A210" s="80" t="s">
        <v>104</v>
      </c>
      <c r="B210" s="79" t="str">
        <f>IF(ISNA(VLOOKUP($F210,Declarations!B$6:C$185,2,FALSE)),"",IF(VLOOKUP($F210,Declarations!B$6:C$185,2,FALSE)="","NOT DECLARED",IF(ISNA(_xlfn.TEXTBEFORE(VLOOKUP($F210,Declarations!B$6:C$185,2,FALSE)," ")),VLOOKUP($F210,Declarations!B$6:C$185,2,FALSE),_xlfn.TEXTBEFORE(VLOOKUP($F210,Declarations!B$6:C$185,2,FALSE)," "))))</f>
        <v/>
      </c>
      <c r="C210" s="79" t="str">
        <f>IF(ISNA(VLOOKUP($F210,Declarations!B$6:C$185,2,FALSE)),"",IF(VLOOKUP($F210,Declarations!B$6:C$185,2,FALSE)="","NOT DECLARED",IF(ISNA(_xlfn.TEXTAFTER(VLOOKUP($F210,Declarations!B$6:C$185,2,FALSE)," ")),VLOOKUP($F210,Declarations!B$6:C$185,2,FALSE),_xlfn.TEXTAFTER(VLOOKUP($F210,Declarations!B$6:C$185,2,FALSE)," "))))</f>
        <v/>
      </c>
      <c r="D210" s="79" t="str">
        <f>IF(ISNA(VLOOKUP($F210,Declarations!$B$6:$F$185,5,FALSE)),"",IF(VLOOKUP($F210,Declarations!$B$6:$F$185,5,FALSE)="","NOT DECLARED",VLOOKUP($F210,Declarations!$B$6:$F$185,5,FALSE)))</f>
        <v/>
      </c>
      <c r="E210" s="112" t="str">
        <f>IF(ISNA(VLOOKUP($F210,Declarations!$B$6:$D$185,3,FALSE)),"",IF(VLOOKUP($F210,Declarations!$B$6:$D$185,3,FALSE)="","NOT DECLARED",VLOOKUP($F210,Declarations!$B$6:$D$185,3,FALSE)&amp;LEFT(VLOOKUP($F210,Declarations!$B$6:$E$185,4,FALSE))))</f>
        <v/>
      </c>
      <c r="F210" s="20"/>
      <c r="G210" s="21"/>
      <c r="H210" s="281"/>
      <c r="I210" s="8" t="str">
        <f>IF(ISNA(VLOOKUP(F210,Declarations!B$6:C$185,2,FALSE)),"",IF(VLOOKUP(F210,Declarations!B$6:C$185,2,FALSE)="","NOT DECLARED",VLOOKUP(F210,Declarations!B$6:C$185,2,FALSE)))</f>
        <v/>
      </c>
      <c r="J210" s="2">
        <f>IF(LOWER(LEFT(G210,1))="n",1,VLOOKUP(G210,ScoringTable!E$2:I$95,5))</f>
        <v>0</v>
      </c>
      <c r="K210" s="112" t="str">
        <f>IF(OR(E210="",G210=""),"",IF(RIGHT(E210,1)="G",_xlfn.XLOOKUP(G210,Data!$D$13:$L$13,Data!$D$9:$L$9,"",-1,1),_xlfn.XLOOKUP(G210,Data!$D$6:$L$6,Data!$D$2:$L$2,"",-1,1)))</f>
        <v/>
      </c>
      <c r="L210" s="160" t="str" cm="1">
        <f t="array" ref="L210">IFERROR(_xlfn.IFNA(
                      _xlfn.IFS(
                      F210="", "",
                      AND(E210="U12B",G210&gt;=Data!$M$6), "U12 Boys record",
                      AND(E210="U12G",G210&gt;=Data!$M$13), "U12 Girls record"
                       ),""), "")</f>
        <v/>
      </c>
      <c r="M210" s="18" cm="1">
        <f t="array" ref="M210">_xlfn.IFS($G210="",0,AND(NOT(ISNUMBER($G210)),LOWER(LEFT($G210,1))&lt;&gt;"n"),"Not a valid distance",OR(LOWER(LEFT($G210,1))="n",$G210&lt;ScoringTable!$P$161),1,RIGHT($E210,1)="B",_xlfn.XLOOKUP($G210,ScoringTable!$P$2:$P$161,ScoringTable!$L$2:$L$161,,-1),TRUE,_xlfn.XLOOKUP($G210,ScoringTable!$V$2:$V$161,ScoringTable!$R$2:$R$161,,-1))</f>
        <v>0</v>
      </c>
    </row>
    <row r="211" spans="1:13" ht="16.05" customHeight="1">
      <c r="A211" s="80" t="s">
        <v>104</v>
      </c>
      <c r="B211" s="79" t="str">
        <f>IF(ISNA(VLOOKUP($F211,Declarations!B$6:C$185,2,FALSE)),"",IF(VLOOKUP($F211,Declarations!B$6:C$185,2,FALSE)="","NOT DECLARED",IF(ISNA(_xlfn.TEXTBEFORE(VLOOKUP($F211,Declarations!B$6:C$185,2,FALSE)," ")),VLOOKUP($F211,Declarations!B$6:C$185,2,FALSE),_xlfn.TEXTBEFORE(VLOOKUP($F211,Declarations!B$6:C$185,2,FALSE)," "))))</f>
        <v/>
      </c>
      <c r="C211" s="79" t="str">
        <f>IF(ISNA(VLOOKUP($F211,Declarations!B$6:C$185,2,FALSE)),"",IF(VLOOKUP($F211,Declarations!B$6:C$185,2,FALSE)="","NOT DECLARED",IF(ISNA(_xlfn.TEXTAFTER(VLOOKUP($F211,Declarations!B$6:C$185,2,FALSE)," ")),VLOOKUP($F211,Declarations!B$6:C$185,2,FALSE),_xlfn.TEXTAFTER(VLOOKUP($F211,Declarations!B$6:C$185,2,FALSE)," "))))</f>
        <v/>
      </c>
      <c r="D211" s="79" t="str">
        <f>IF(ISNA(VLOOKUP($F211,Declarations!$B$6:$F$185,5,FALSE)),"",IF(VLOOKUP($F211,Declarations!$B$6:$F$185,5,FALSE)="","NOT DECLARED",VLOOKUP($F211,Declarations!$B$6:$F$185,5,FALSE)))</f>
        <v/>
      </c>
      <c r="E211" s="112" t="str">
        <f>IF(ISNA(VLOOKUP($F211,Declarations!$B$6:$D$185,3,FALSE)),"",IF(VLOOKUP($F211,Declarations!$B$6:$D$185,3,FALSE)="","NOT DECLARED",VLOOKUP($F211,Declarations!$B$6:$D$185,3,FALSE)&amp;LEFT(VLOOKUP($F211,Declarations!$B$6:$E$185,4,FALSE))))</f>
        <v/>
      </c>
      <c r="F211" s="20"/>
      <c r="G211" s="21"/>
      <c r="H211" s="281"/>
      <c r="I211" s="8" t="str">
        <f>IF(ISNA(VLOOKUP(F211,Declarations!B$6:C$185,2,FALSE)),"",IF(VLOOKUP(F211,Declarations!B$6:C$185,2,FALSE)="","NOT DECLARED",VLOOKUP(F211,Declarations!B$6:C$185,2,FALSE)))</f>
        <v/>
      </c>
      <c r="J211" s="2">
        <f>IF(LOWER(LEFT(G211,1))="n",1,VLOOKUP(G211,ScoringTable!E$2:I$95,5))</f>
        <v>0</v>
      </c>
      <c r="K211" s="112" t="str">
        <f>IF(OR(E211="",G211=""),"",IF(RIGHT(E211,1)="G",_xlfn.XLOOKUP(G211,Data!$D$13:$L$13,Data!$D$9:$L$9,"",-1,1),_xlfn.XLOOKUP(G211,Data!$D$6:$L$6,Data!$D$2:$L$2,"",-1,1)))</f>
        <v/>
      </c>
      <c r="L211" s="160" t="str" cm="1">
        <f t="array" ref="L211">IFERROR(_xlfn.IFNA(
                      _xlfn.IFS(
                      F211="", "",
                      AND(E211="U12B",G211&gt;=Data!$M$6), "U12 Boys record",
                      AND(E211="U12G",G211&gt;=Data!$M$13), "U12 Girls record"
                       ),""), "")</f>
        <v/>
      </c>
      <c r="M211" s="18" cm="1">
        <f t="array" ref="M211">_xlfn.IFS($G211="",0,AND(NOT(ISNUMBER($G211)),LOWER(LEFT($G211,1))&lt;&gt;"n"),"Not a valid distance",OR(LOWER(LEFT($G211,1))="n",$G211&lt;ScoringTable!$P$161),1,RIGHT($E211,1)="B",_xlfn.XLOOKUP($G211,ScoringTable!$P$2:$P$161,ScoringTable!$L$2:$L$161,,-1),TRUE,_xlfn.XLOOKUP($G211,ScoringTable!$V$2:$V$161,ScoringTable!$R$2:$R$161,,-1))</f>
        <v>0</v>
      </c>
    </row>
    <row r="212" spans="1:13" ht="16.05" customHeight="1">
      <c r="A212" s="80" t="s">
        <v>104</v>
      </c>
      <c r="B212" s="79" t="str">
        <f>IF(ISNA(VLOOKUP($F212,Declarations!B$6:C$185,2,FALSE)),"",IF(VLOOKUP($F212,Declarations!B$6:C$185,2,FALSE)="","NOT DECLARED",IF(ISNA(_xlfn.TEXTBEFORE(VLOOKUP($F212,Declarations!B$6:C$185,2,FALSE)," ")),VLOOKUP($F212,Declarations!B$6:C$185,2,FALSE),_xlfn.TEXTBEFORE(VLOOKUP($F212,Declarations!B$6:C$185,2,FALSE)," "))))</f>
        <v/>
      </c>
      <c r="C212" s="79" t="str">
        <f>IF(ISNA(VLOOKUP($F212,Declarations!B$6:C$185,2,FALSE)),"",IF(VLOOKUP($F212,Declarations!B$6:C$185,2,FALSE)="","NOT DECLARED",IF(ISNA(_xlfn.TEXTAFTER(VLOOKUP($F212,Declarations!B$6:C$185,2,FALSE)," ")),VLOOKUP($F212,Declarations!B$6:C$185,2,FALSE),_xlfn.TEXTAFTER(VLOOKUP($F212,Declarations!B$6:C$185,2,FALSE)," "))))</f>
        <v/>
      </c>
      <c r="D212" s="79" t="str">
        <f>IF(ISNA(VLOOKUP($F212,Declarations!$B$6:$F$185,5,FALSE)),"",IF(VLOOKUP($F212,Declarations!$B$6:$F$185,5,FALSE)="","NOT DECLARED",VLOOKUP($F212,Declarations!$B$6:$F$185,5,FALSE)))</f>
        <v/>
      </c>
      <c r="E212" s="112" t="str">
        <f>IF(ISNA(VLOOKUP($F212,Declarations!$B$6:$D$185,3,FALSE)),"",IF(VLOOKUP($F212,Declarations!$B$6:$D$185,3,FALSE)="","NOT DECLARED",VLOOKUP($F212,Declarations!$B$6:$D$185,3,FALSE)&amp;LEFT(VLOOKUP($F212,Declarations!$B$6:$E$185,4,FALSE))))</f>
        <v/>
      </c>
      <c r="F212" s="20"/>
      <c r="G212" s="21"/>
      <c r="H212" s="281"/>
      <c r="I212" s="8" t="str">
        <f>IF(ISNA(VLOOKUP(F212,Declarations!B$6:C$185,2,FALSE)),"",IF(VLOOKUP(F212,Declarations!B$6:C$185,2,FALSE)="","NOT DECLARED",VLOOKUP(F212,Declarations!B$6:C$185,2,FALSE)))</f>
        <v/>
      </c>
      <c r="J212" s="2">
        <f>IF(LOWER(LEFT(G212,1))="n",1,VLOOKUP(G212,ScoringTable!E$2:I$95,5))</f>
        <v>0</v>
      </c>
      <c r="K212" s="112" t="str">
        <f>IF(OR(E212="",G212=""),"",IF(RIGHT(E212,1)="G",_xlfn.XLOOKUP(G212,Data!$D$13:$L$13,Data!$D$9:$L$9,"",-1,1),_xlfn.XLOOKUP(G212,Data!$D$6:$L$6,Data!$D$2:$L$2,"",-1,1)))</f>
        <v/>
      </c>
      <c r="L212" s="160" t="str" cm="1">
        <f t="array" ref="L212">IFERROR(_xlfn.IFNA(
                      _xlfn.IFS(
                      F212="", "",
                      AND(E212="U12B",G212&gt;=Data!$M$6), "U12 Boys record",
                      AND(E212="U12G",G212&gt;=Data!$M$13), "U12 Girls record"
                       ),""), "")</f>
        <v/>
      </c>
      <c r="M212" s="18" cm="1">
        <f t="array" ref="M212">_xlfn.IFS($G212="",0,AND(NOT(ISNUMBER($G212)),LOWER(LEFT($G212,1))&lt;&gt;"n"),"Not a valid distance",OR(LOWER(LEFT($G212,1))="n",$G212&lt;ScoringTable!$P$161),1,RIGHT($E212,1)="B",_xlfn.XLOOKUP($G212,ScoringTable!$P$2:$P$161,ScoringTable!$L$2:$L$161,,-1),TRUE,_xlfn.XLOOKUP($G212,ScoringTable!$V$2:$V$161,ScoringTable!$R$2:$R$161,,-1))</f>
        <v>0</v>
      </c>
    </row>
    <row r="213" spans="1:13" ht="16.05" customHeight="1">
      <c r="A213" s="80" t="s">
        <v>104</v>
      </c>
      <c r="B213" s="79" t="str">
        <f>IF(ISNA(VLOOKUP($F213,Declarations!B$6:C$185,2,FALSE)),"",IF(VLOOKUP($F213,Declarations!B$6:C$185,2,FALSE)="","NOT DECLARED",IF(ISNA(_xlfn.TEXTBEFORE(VLOOKUP($F213,Declarations!B$6:C$185,2,FALSE)," ")),VLOOKUP($F213,Declarations!B$6:C$185,2,FALSE),_xlfn.TEXTBEFORE(VLOOKUP($F213,Declarations!B$6:C$185,2,FALSE)," "))))</f>
        <v/>
      </c>
      <c r="C213" s="79" t="str">
        <f>IF(ISNA(VLOOKUP($F213,Declarations!B$6:C$185,2,FALSE)),"",IF(VLOOKUP($F213,Declarations!B$6:C$185,2,FALSE)="","NOT DECLARED",IF(ISNA(_xlfn.TEXTAFTER(VLOOKUP($F213,Declarations!B$6:C$185,2,FALSE)," ")),VLOOKUP($F213,Declarations!B$6:C$185,2,FALSE),_xlfn.TEXTAFTER(VLOOKUP($F213,Declarations!B$6:C$185,2,FALSE)," "))))</f>
        <v/>
      </c>
      <c r="D213" s="79" t="str">
        <f>IF(ISNA(VLOOKUP($F213,Declarations!$B$6:$F$185,5,FALSE)),"",IF(VLOOKUP($F213,Declarations!$B$6:$F$185,5,FALSE)="","NOT DECLARED",VLOOKUP($F213,Declarations!$B$6:$F$185,5,FALSE)))</f>
        <v/>
      </c>
      <c r="E213" s="112" t="str">
        <f>IF(ISNA(VLOOKUP($F213,Declarations!$B$6:$D$185,3,FALSE)),"",IF(VLOOKUP($F213,Declarations!$B$6:$D$185,3,FALSE)="","NOT DECLARED",VLOOKUP($F213,Declarations!$B$6:$D$185,3,FALSE)&amp;LEFT(VLOOKUP($F213,Declarations!$B$6:$E$185,4,FALSE))))</f>
        <v/>
      </c>
      <c r="F213" s="20"/>
      <c r="G213" s="21"/>
      <c r="H213" s="281"/>
      <c r="I213" s="8" t="str">
        <f>IF(ISNA(VLOOKUP(F213,Declarations!B$6:C$185,2,FALSE)),"",IF(VLOOKUP(F213,Declarations!B$6:C$185,2,FALSE)="","NOT DECLARED",VLOOKUP(F213,Declarations!B$6:C$185,2,FALSE)))</f>
        <v/>
      </c>
      <c r="J213" s="2">
        <f>IF(LOWER(LEFT(G213,1))="n",1,VLOOKUP(G213,ScoringTable!E$2:I$95,5))</f>
        <v>0</v>
      </c>
      <c r="K213" s="112" t="str">
        <f>IF(OR(E213="",G213=""),"",IF(RIGHT(E213,1)="G",_xlfn.XLOOKUP(G213,Data!$D$13:$L$13,Data!$D$9:$L$9,"",-1,1),_xlfn.XLOOKUP(G213,Data!$D$6:$L$6,Data!$D$2:$L$2,"",-1,1)))</f>
        <v/>
      </c>
      <c r="L213" s="160" t="str" cm="1">
        <f t="array" ref="L213">IFERROR(_xlfn.IFNA(
                      _xlfn.IFS(
                      F213="", "",
                      AND(E213="U12B",G213&gt;=Data!$M$6), "U12 Boys record",
                      AND(E213="U12G",G213&gt;=Data!$M$13), "U12 Girls record"
                       ),""), "")</f>
        <v/>
      </c>
      <c r="M213" s="18" cm="1">
        <f t="array" ref="M213">_xlfn.IFS($G213="",0,AND(NOT(ISNUMBER($G213)),LOWER(LEFT($G213,1))&lt;&gt;"n"),"Not a valid distance",OR(LOWER(LEFT($G213,1))="n",$G213&lt;ScoringTable!$P$161),1,RIGHT($E213,1)="B",_xlfn.XLOOKUP($G213,ScoringTable!$P$2:$P$161,ScoringTable!$L$2:$L$161,,-1),TRUE,_xlfn.XLOOKUP($G213,ScoringTable!$V$2:$V$161,ScoringTable!$R$2:$R$161,,-1))</f>
        <v>0</v>
      </c>
    </row>
    <row r="214" spans="1:13" ht="16.05" customHeight="1">
      <c r="A214" s="80" t="s">
        <v>104</v>
      </c>
      <c r="B214" s="79" t="str">
        <f>IF(ISNA(VLOOKUP($F214,Declarations!B$6:C$185,2,FALSE)),"",IF(VLOOKUP($F214,Declarations!B$6:C$185,2,FALSE)="","NOT DECLARED",IF(ISNA(_xlfn.TEXTBEFORE(VLOOKUP($F214,Declarations!B$6:C$185,2,FALSE)," ")),VLOOKUP($F214,Declarations!B$6:C$185,2,FALSE),_xlfn.TEXTBEFORE(VLOOKUP($F214,Declarations!B$6:C$185,2,FALSE)," "))))</f>
        <v/>
      </c>
      <c r="C214" s="79" t="str">
        <f>IF(ISNA(VLOOKUP($F214,Declarations!B$6:C$185,2,FALSE)),"",IF(VLOOKUP($F214,Declarations!B$6:C$185,2,FALSE)="","NOT DECLARED",IF(ISNA(_xlfn.TEXTAFTER(VLOOKUP($F214,Declarations!B$6:C$185,2,FALSE)," ")),VLOOKUP($F214,Declarations!B$6:C$185,2,FALSE),_xlfn.TEXTAFTER(VLOOKUP($F214,Declarations!B$6:C$185,2,FALSE)," "))))</f>
        <v/>
      </c>
      <c r="D214" s="79" t="str">
        <f>IF(ISNA(VLOOKUP($F214,Declarations!$B$6:$F$185,5,FALSE)),"",IF(VLOOKUP($F214,Declarations!$B$6:$F$185,5,FALSE)="","NOT DECLARED",VLOOKUP($F214,Declarations!$B$6:$F$185,5,FALSE)))</f>
        <v/>
      </c>
      <c r="E214" s="112" t="str">
        <f>IF(ISNA(VLOOKUP($F214,Declarations!$B$6:$D$185,3,FALSE)),"",IF(VLOOKUP($F214,Declarations!$B$6:$D$185,3,FALSE)="","NOT DECLARED",VLOOKUP($F214,Declarations!$B$6:$D$185,3,FALSE)&amp;LEFT(VLOOKUP($F214,Declarations!$B$6:$E$185,4,FALSE))))</f>
        <v/>
      </c>
      <c r="F214" s="20"/>
      <c r="G214" s="21"/>
      <c r="H214" s="281"/>
      <c r="I214" s="8" t="str">
        <f>IF(ISNA(VLOOKUP(F214,Declarations!B$6:C$185,2,FALSE)),"",IF(VLOOKUP(F214,Declarations!B$6:C$185,2,FALSE)="","NOT DECLARED",VLOOKUP(F214,Declarations!B$6:C$185,2,FALSE)))</f>
        <v/>
      </c>
      <c r="J214" s="2">
        <f>IF(LOWER(LEFT(G214,1))="n",1,VLOOKUP(G214,ScoringTable!E$2:I$95,5))</f>
        <v>0</v>
      </c>
      <c r="K214" s="112" t="str">
        <f>IF(OR(E214="",G214=""),"",IF(RIGHT(E214,1)="G",_xlfn.XLOOKUP(G214,Data!$D$13:$L$13,Data!$D$9:$L$9,"",-1,1),_xlfn.XLOOKUP(G214,Data!$D$6:$L$6,Data!$D$2:$L$2,"",-1,1)))</f>
        <v/>
      </c>
      <c r="L214" s="160" t="str" cm="1">
        <f t="array" ref="L214">IFERROR(_xlfn.IFNA(
                      _xlfn.IFS(
                      F214="", "",
                      AND(E214="U12B",G214&gt;=Data!$M$6), "U12 Boys record",
                      AND(E214="U12G",G214&gt;=Data!$M$13), "U12 Girls record"
                       ),""), "")</f>
        <v/>
      </c>
      <c r="M214" s="18" cm="1">
        <f t="array" ref="M214">_xlfn.IFS($G214="",0,AND(NOT(ISNUMBER($G214)),LOWER(LEFT($G214,1))&lt;&gt;"n"),"Not a valid distance",OR(LOWER(LEFT($G214,1))="n",$G214&lt;ScoringTable!$P$161),1,RIGHT($E214,1)="B",_xlfn.XLOOKUP($G214,ScoringTable!$P$2:$P$161,ScoringTable!$L$2:$L$161,,-1),TRUE,_xlfn.XLOOKUP($G214,ScoringTable!$V$2:$V$161,ScoringTable!$R$2:$R$161,,-1))</f>
        <v>0</v>
      </c>
    </row>
    <row r="215" spans="1:13" ht="16.05" customHeight="1">
      <c r="A215" s="80" t="s">
        <v>104</v>
      </c>
      <c r="B215" s="79" t="str">
        <f>IF(ISNA(VLOOKUP($F215,Declarations!B$6:C$185,2,FALSE)),"",IF(VLOOKUP($F215,Declarations!B$6:C$185,2,FALSE)="","NOT DECLARED",IF(ISNA(_xlfn.TEXTBEFORE(VLOOKUP($F215,Declarations!B$6:C$185,2,FALSE)," ")),VLOOKUP($F215,Declarations!B$6:C$185,2,FALSE),_xlfn.TEXTBEFORE(VLOOKUP($F215,Declarations!B$6:C$185,2,FALSE)," "))))</f>
        <v/>
      </c>
      <c r="C215" s="79" t="str">
        <f>IF(ISNA(VLOOKUP($F215,Declarations!B$6:C$185,2,FALSE)),"",IF(VLOOKUP($F215,Declarations!B$6:C$185,2,FALSE)="","NOT DECLARED",IF(ISNA(_xlfn.TEXTAFTER(VLOOKUP($F215,Declarations!B$6:C$185,2,FALSE)," ")),VLOOKUP($F215,Declarations!B$6:C$185,2,FALSE),_xlfn.TEXTAFTER(VLOOKUP($F215,Declarations!B$6:C$185,2,FALSE)," "))))</f>
        <v/>
      </c>
      <c r="D215" s="79" t="str">
        <f>IF(ISNA(VLOOKUP($F215,Declarations!$B$6:$F$185,5,FALSE)),"",IF(VLOOKUP($F215,Declarations!$B$6:$F$185,5,FALSE)="","NOT DECLARED",VLOOKUP($F215,Declarations!$B$6:$F$185,5,FALSE)))</f>
        <v/>
      </c>
      <c r="E215" s="112" t="str">
        <f>IF(ISNA(VLOOKUP($F215,Declarations!$B$6:$D$185,3,FALSE)),"",IF(VLOOKUP($F215,Declarations!$B$6:$D$185,3,FALSE)="","NOT DECLARED",VLOOKUP($F215,Declarations!$B$6:$D$185,3,FALSE)&amp;LEFT(VLOOKUP($F215,Declarations!$B$6:$E$185,4,FALSE))))</f>
        <v/>
      </c>
      <c r="F215" s="20"/>
      <c r="G215" s="21"/>
      <c r="H215" s="281"/>
      <c r="I215" s="8" t="str">
        <f>IF(ISNA(VLOOKUP(F215,Declarations!B$6:C$185,2,FALSE)),"",IF(VLOOKUP(F215,Declarations!B$6:C$185,2,FALSE)="","NOT DECLARED",VLOOKUP(F215,Declarations!B$6:C$185,2,FALSE)))</f>
        <v/>
      </c>
      <c r="J215" s="2">
        <f>IF(LOWER(LEFT(G215,1))="n",1,VLOOKUP(G215,ScoringTable!E$2:I$95,5))</f>
        <v>0</v>
      </c>
      <c r="K215" s="112" t="str">
        <f>IF(OR(E215="",G215=""),"",IF(RIGHT(E215,1)="G",_xlfn.XLOOKUP(G215,Data!$D$13:$L$13,Data!$D$9:$L$9,"",-1,1),_xlfn.XLOOKUP(G215,Data!$D$6:$L$6,Data!$D$2:$L$2,"",-1,1)))</f>
        <v/>
      </c>
      <c r="L215" s="160" t="str" cm="1">
        <f t="array" ref="L215">IFERROR(_xlfn.IFNA(
                      _xlfn.IFS(
                      F215="", "",
                      AND(E215="U12B",G215&gt;=Data!$M$6), "U12 Boys record",
                      AND(E215="U12G",G215&gt;=Data!$M$13), "U12 Girls record"
                       ),""), "")</f>
        <v/>
      </c>
      <c r="M215" s="18" cm="1">
        <f t="array" ref="M215">_xlfn.IFS($G215="",0,AND(NOT(ISNUMBER($G215)),LOWER(LEFT($G215,1))&lt;&gt;"n"),"Not a valid distance",OR(LOWER(LEFT($G215,1))="n",$G215&lt;ScoringTable!$P$161),1,RIGHT($E215,1)="B",_xlfn.XLOOKUP($G215,ScoringTable!$P$2:$P$161,ScoringTable!$L$2:$L$161,,-1),TRUE,_xlfn.XLOOKUP($G215,ScoringTable!$V$2:$V$161,ScoringTable!$R$2:$R$161,,-1))</f>
        <v>0</v>
      </c>
    </row>
    <row r="216" spans="1:13" ht="16.05" customHeight="1">
      <c r="A216" s="80" t="s">
        <v>104</v>
      </c>
      <c r="B216" s="79" t="str">
        <f>IF(ISNA(VLOOKUP($F216,Declarations!B$6:C$185,2,FALSE)),"",IF(VLOOKUP($F216,Declarations!B$6:C$185,2,FALSE)="","NOT DECLARED",IF(ISNA(_xlfn.TEXTBEFORE(VLOOKUP($F216,Declarations!B$6:C$185,2,FALSE)," ")),VLOOKUP($F216,Declarations!B$6:C$185,2,FALSE),_xlfn.TEXTBEFORE(VLOOKUP($F216,Declarations!B$6:C$185,2,FALSE)," "))))</f>
        <v/>
      </c>
      <c r="C216" s="79" t="str">
        <f>IF(ISNA(VLOOKUP($F216,Declarations!B$6:C$185,2,FALSE)),"",IF(VLOOKUP($F216,Declarations!B$6:C$185,2,FALSE)="","NOT DECLARED",IF(ISNA(_xlfn.TEXTAFTER(VLOOKUP($F216,Declarations!B$6:C$185,2,FALSE)," ")),VLOOKUP($F216,Declarations!B$6:C$185,2,FALSE),_xlfn.TEXTAFTER(VLOOKUP($F216,Declarations!B$6:C$185,2,FALSE)," "))))</f>
        <v/>
      </c>
      <c r="D216" s="79" t="str">
        <f>IF(ISNA(VLOOKUP($F216,Declarations!$B$6:$F$185,5,FALSE)),"",IF(VLOOKUP($F216,Declarations!$B$6:$F$185,5,FALSE)="","NOT DECLARED",VLOOKUP($F216,Declarations!$B$6:$F$185,5,FALSE)))</f>
        <v/>
      </c>
      <c r="E216" s="112" t="str">
        <f>IF(ISNA(VLOOKUP($F216,Declarations!$B$6:$D$185,3,FALSE)),"",IF(VLOOKUP($F216,Declarations!$B$6:$D$185,3,FALSE)="","NOT DECLARED",VLOOKUP($F216,Declarations!$B$6:$D$185,3,FALSE)&amp;LEFT(VLOOKUP($F216,Declarations!$B$6:$E$185,4,FALSE))))</f>
        <v/>
      </c>
      <c r="F216" s="20"/>
      <c r="G216" s="21"/>
      <c r="H216" s="281"/>
      <c r="I216" s="8" t="str">
        <f>IF(ISNA(VLOOKUP(F216,Declarations!B$6:C$185,2,FALSE)),"",IF(VLOOKUP(F216,Declarations!B$6:C$185,2,FALSE)="","NOT DECLARED",VLOOKUP(F216,Declarations!B$6:C$185,2,FALSE)))</f>
        <v/>
      </c>
      <c r="J216" s="2">
        <f>IF(LOWER(LEFT(G216,1))="n",1,VLOOKUP(G216,ScoringTable!E$2:I$95,5))</f>
        <v>0</v>
      </c>
      <c r="K216" s="112" t="str">
        <f>IF(OR(E216="",G216=""),"",IF(RIGHT(E216,1)="G",_xlfn.XLOOKUP(G216,Data!$D$13:$L$13,Data!$D$9:$L$9,"",-1,1),_xlfn.XLOOKUP(G216,Data!$D$6:$L$6,Data!$D$2:$L$2,"",-1,1)))</f>
        <v/>
      </c>
      <c r="L216" s="160" t="str" cm="1">
        <f t="array" ref="L216">IFERROR(_xlfn.IFNA(
                      _xlfn.IFS(
                      F216="", "",
                      AND(E216="U12B",G216&gt;=Data!$M$6), "U12 Boys record",
                      AND(E216="U12G",G216&gt;=Data!$M$13), "U12 Girls record"
                       ),""), "")</f>
        <v/>
      </c>
      <c r="M216" s="18" cm="1">
        <f t="array" ref="M216">_xlfn.IFS($G216="",0,AND(NOT(ISNUMBER($G216)),LOWER(LEFT($G216,1))&lt;&gt;"n"),"Not a valid distance",OR(LOWER(LEFT($G216,1))="n",$G216&lt;ScoringTable!$P$161),1,RIGHT($E216,1)="B",_xlfn.XLOOKUP($G216,ScoringTable!$P$2:$P$161,ScoringTable!$L$2:$L$161,,-1),TRUE,_xlfn.XLOOKUP($G216,ScoringTable!$V$2:$V$161,ScoringTable!$R$2:$R$161,,-1))</f>
        <v>0</v>
      </c>
    </row>
    <row r="217" spans="1:13" ht="16.05" customHeight="1">
      <c r="A217" s="80" t="s">
        <v>104</v>
      </c>
      <c r="B217" s="79" t="str">
        <f>IF(ISNA(VLOOKUP($F217,Declarations!B$6:C$185,2,FALSE)),"",IF(VLOOKUP($F217,Declarations!B$6:C$185,2,FALSE)="","NOT DECLARED",IF(ISNA(_xlfn.TEXTBEFORE(VLOOKUP($F217,Declarations!B$6:C$185,2,FALSE)," ")),VLOOKUP($F217,Declarations!B$6:C$185,2,FALSE),_xlfn.TEXTBEFORE(VLOOKUP($F217,Declarations!B$6:C$185,2,FALSE)," "))))</f>
        <v/>
      </c>
      <c r="C217" s="79" t="str">
        <f>IF(ISNA(VLOOKUP($F217,Declarations!B$6:C$185,2,FALSE)),"",IF(VLOOKUP($F217,Declarations!B$6:C$185,2,FALSE)="","NOT DECLARED",IF(ISNA(_xlfn.TEXTAFTER(VLOOKUP($F217,Declarations!B$6:C$185,2,FALSE)," ")),VLOOKUP($F217,Declarations!B$6:C$185,2,FALSE),_xlfn.TEXTAFTER(VLOOKUP($F217,Declarations!B$6:C$185,2,FALSE)," "))))</f>
        <v/>
      </c>
      <c r="D217" s="79" t="str">
        <f>IF(ISNA(VLOOKUP($F217,Declarations!$B$6:$F$185,5,FALSE)),"",IF(VLOOKUP($F217,Declarations!$B$6:$F$185,5,FALSE)="","NOT DECLARED",VLOOKUP($F217,Declarations!$B$6:$F$185,5,FALSE)))</f>
        <v/>
      </c>
      <c r="E217" s="112" t="str">
        <f>IF(ISNA(VLOOKUP($F217,Declarations!$B$6:$D$185,3,FALSE)),"",IF(VLOOKUP($F217,Declarations!$B$6:$D$185,3,FALSE)="","NOT DECLARED",VLOOKUP($F217,Declarations!$B$6:$D$185,3,FALSE)&amp;LEFT(VLOOKUP($F217,Declarations!$B$6:$E$185,4,FALSE))))</f>
        <v/>
      </c>
      <c r="F217" s="20"/>
      <c r="G217" s="21"/>
      <c r="H217" s="281"/>
      <c r="I217" s="8" t="str">
        <f>IF(ISNA(VLOOKUP(F217,Declarations!B$6:C$185,2,FALSE)),"",IF(VLOOKUP(F217,Declarations!B$6:C$185,2,FALSE)="","NOT DECLARED",VLOOKUP(F217,Declarations!B$6:C$185,2,FALSE)))</f>
        <v/>
      </c>
      <c r="J217" s="2">
        <f>IF(LOWER(LEFT(G217,1))="n",1,VLOOKUP(G217,ScoringTable!E$2:I$95,5))</f>
        <v>0</v>
      </c>
      <c r="K217" s="112" t="str">
        <f>IF(OR(E217="",G217=""),"",IF(RIGHT(E217,1)="G",_xlfn.XLOOKUP(G217,Data!$D$13:$L$13,Data!$D$9:$L$9,"",-1,1),_xlfn.XLOOKUP(G217,Data!$D$6:$L$6,Data!$D$2:$L$2,"",-1,1)))</f>
        <v/>
      </c>
      <c r="L217" s="160" t="str" cm="1">
        <f t="array" ref="L217">IFERROR(_xlfn.IFNA(
                      _xlfn.IFS(
                      F217="", "",
                      AND(E217="U12B",G217&gt;=Data!$M$6), "U12 Boys record",
                      AND(E217="U12G",G217&gt;=Data!$M$13), "U12 Girls record"
                       ),""), "")</f>
        <v/>
      </c>
      <c r="M217" s="18" cm="1">
        <f t="array" ref="M217">_xlfn.IFS($G217="",0,AND(NOT(ISNUMBER($G217)),LOWER(LEFT($G217,1))&lt;&gt;"n"),"Not a valid distance",OR(LOWER(LEFT($G217,1))="n",$G217&lt;ScoringTable!$P$161),1,RIGHT($E217,1)="B",_xlfn.XLOOKUP($G217,ScoringTable!$P$2:$P$161,ScoringTable!$L$2:$L$161,,-1),TRUE,_xlfn.XLOOKUP($G217,ScoringTable!$V$2:$V$161,ScoringTable!$R$2:$R$161,,-1))</f>
        <v>0</v>
      </c>
    </row>
    <row r="218" spans="1:13" ht="16.05" customHeight="1">
      <c r="A218" s="80" t="s">
        <v>104</v>
      </c>
      <c r="B218" s="79" t="str">
        <f>IF(ISNA(VLOOKUP($F218,Declarations!B$6:C$185,2,FALSE)),"",IF(VLOOKUP($F218,Declarations!B$6:C$185,2,FALSE)="","NOT DECLARED",IF(ISNA(_xlfn.TEXTBEFORE(VLOOKUP($F218,Declarations!B$6:C$185,2,FALSE)," ")),VLOOKUP($F218,Declarations!B$6:C$185,2,FALSE),_xlfn.TEXTBEFORE(VLOOKUP($F218,Declarations!B$6:C$185,2,FALSE)," "))))</f>
        <v/>
      </c>
      <c r="C218" s="79" t="str">
        <f>IF(ISNA(VLOOKUP($F218,Declarations!B$6:C$185,2,FALSE)),"",IF(VLOOKUP($F218,Declarations!B$6:C$185,2,FALSE)="","NOT DECLARED",IF(ISNA(_xlfn.TEXTAFTER(VLOOKUP($F218,Declarations!B$6:C$185,2,FALSE)," ")),VLOOKUP($F218,Declarations!B$6:C$185,2,FALSE),_xlfn.TEXTAFTER(VLOOKUP($F218,Declarations!B$6:C$185,2,FALSE)," "))))</f>
        <v/>
      </c>
      <c r="D218" s="79" t="str">
        <f>IF(ISNA(VLOOKUP($F218,Declarations!$B$6:$F$185,5,FALSE)),"",IF(VLOOKUP($F218,Declarations!$B$6:$F$185,5,FALSE)="","NOT DECLARED",VLOOKUP($F218,Declarations!$B$6:$F$185,5,FALSE)))</f>
        <v/>
      </c>
      <c r="E218" s="112" t="str">
        <f>IF(ISNA(VLOOKUP($F218,Declarations!$B$6:$D$185,3,FALSE)),"",IF(VLOOKUP($F218,Declarations!$B$6:$D$185,3,FALSE)="","NOT DECLARED",VLOOKUP($F218,Declarations!$B$6:$D$185,3,FALSE)&amp;LEFT(VLOOKUP($F218,Declarations!$B$6:$E$185,4,FALSE))))</f>
        <v/>
      </c>
      <c r="F218" s="20"/>
      <c r="G218" s="21"/>
      <c r="H218" s="281"/>
      <c r="I218" s="8" t="str">
        <f>IF(ISNA(VLOOKUP(F218,Declarations!B$6:C$185,2,FALSE)),"",IF(VLOOKUP(F218,Declarations!B$6:C$185,2,FALSE)="","NOT DECLARED",VLOOKUP(F218,Declarations!B$6:C$185,2,FALSE)))</f>
        <v/>
      </c>
      <c r="J218" s="2">
        <f>IF(LOWER(LEFT(G218,1))="n",1,VLOOKUP(G218,ScoringTable!E$2:I$95,5))</f>
        <v>0</v>
      </c>
      <c r="K218" s="112" t="str">
        <f>IF(OR(E218="",G218=""),"",IF(RIGHT(E218,1)="G",_xlfn.XLOOKUP(G218,Data!$D$13:$L$13,Data!$D$9:$L$9,"",-1,1),_xlfn.XLOOKUP(G218,Data!$D$6:$L$6,Data!$D$2:$L$2,"",-1,1)))</f>
        <v/>
      </c>
      <c r="L218" s="160" t="str" cm="1">
        <f t="array" ref="L218">IFERROR(_xlfn.IFNA(
                      _xlfn.IFS(
                      F218="", "",
                      AND(E218="U12B",G218&gt;=Data!$M$6), "U12 Boys record",
                      AND(E218="U12G",G218&gt;=Data!$M$13), "U12 Girls record"
                       ),""), "")</f>
        <v/>
      </c>
      <c r="M218" s="18" cm="1">
        <f t="array" ref="M218">_xlfn.IFS($G218="",0,AND(NOT(ISNUMBER($G218)),LOWER(LEFT($G218,1))&lt;&gt;"n"),"Not a valid distance",OR(LOWER(LEFT($G218,1))="n",$G218&lt;ScoringTable!$P$161),1,RIGHT($E218,1)="B",_xlfn.XLOOKUP($G218,ScoringTable!$P$2:$P$161,ScoringTable!$L$2:$L$161,,-1),TRUE,_xlfn.XLOOKUP($G218,ScoringTable!$V$2:$V$161,ScoringTable!$R$2:$R$161,,-1))</f>
        <v>0</v>
      </c>
    </row>
    <row r="219" spans="1:13" ht="16.05" customHeight="1">
      <c r="A219" s="80" t="s">
        <v>104</v>
      </c>
      <c r="B219" s="79" t="str">
        <f>IF(ISNA(VLOOKUP($F219,Declarations!B$6:C$185,2,FALSE)),"",IF(VLOOKUP($F219,Declarations!B$6:C$185,2,FALSE)="","NOT DECLARED",IF(ISNA(_xlfn.TEXTBEFORE(VLOOKUP($F219,Declarations!B$6:C$185,2,FALSE)," ")),VLOOKUP($F219,Declarations!B$6:C$185,2,FALSE),_xlfn.TEXTBEFORE(VLOOKUP($F219,Declarations!B$6:C$185,2,FALSE)," "))))</f>
        <v/>
      </c>
      <c r="C219" s="79" t="str">
        <f>IF(ISNA(VLOOKUP($F219,Declarations!B$6:C$185,2,FALSE)),"",IF(VLOOKUP($F219,Declarations!B$6:C$185,2,FALSE)="","NOT DECLARED",IF(ISNA(_xlfn.TEXTAFTER(VLOOKUP($F219,Declarations!B$6:C$185,2,FALSE)," ")),VLOOKUP($F219,Declarations!B$6:C$185,2,FALSE),_xlfn.TEXTAFTER(VLOOKUP($F219,Declarations!B$6:C$185,2,FALSE)," "))))</f>
        <v/>
      </c>
      <c r="D219" s="79" t="str">
        <f>IF(ISNA(VLOOKUP($F219,Declarations!$B$6:$F$185,5,FALSE)),"",IF(VLOOKUP($F219,Declarations!$B$6:$F$185,5,FALSE)="","NOT DECLARED",VLOOKUP($F219,Declarations!$B$6:$F$185,5,FALSE)))</f>
        <v/>
      </c>
      <c r="E219" s="112" t="str">
        <f>IF(ISNA(VLOOKUP($F219,Declarations!$B$6:$D$185,3,FALSE)),"",IF(VLOOKUP($F219,Declarations!$B$6:$D$185,3,FALSE)="","NOT DECLARED",VLOOKUP($F219,Declarations!$B$6:$D$185,3,FALSE)&amp;LEFT(VLOOKUP($F219,Declarations!$B$6:$E$185,4,FALSE))))</f>
        <v/>
      </c>
      <c r="F219" s="20"/>
      <c r="G219" s="21"/>
      <c r="H219" s="281"/>
      <c r="I219" s="8" t="str">
        <f>IF(ISNA(VLOOKUP(F219,Declarations!B$6:C$185,2,FALSE)),"",IF(VLOOKUP(F219,Declarations!B$6:C$185,2,FALSE)="","NOT DECLARED",VLOOKUP(F219,Declarations!B$6:C$185,2,FALSE)))</f>
        <v/>
      </c>
      <c r="J219" s="2">
        <f>IF(LOWER(LEFT(G219,1))="n",1,VLOOKUP(G219,ScoringTable!E$2:I$95,5))</f>
        <v>0</v>
      </c>
      <c r="K219" s="112" t="str">
        <f>IF(OR(E219="",G219=""),"",IF(RIGHT(E219,1)="G",_xlfn.XLOOKUP(G219,Data!$D$13:$L$13,Data!$D$9:$L$9,"",-1,1),_xlfn.XLOOKUP(G219,Data!$D$6:$L$6,Data!$D$2:$L$2,"",-1,1)))</f>
        <v/>
      </c>
      <c r="L219" s="160" t="str" cm="1">
        <f t="array" ref="L219">IFERROR(_xlfn.IFNA(
                      _xlfn.IFS(
                      F219="", "",
                      AND(E219="U12B",G219&gt;=Data!$M$6), "U12 Boys record",
                      AND(E219="U12G",G219&gt;=Data!$M$13), "U12 Girls record"
                       ),""), "")</f>
        <v/>
      </c>
      <c r="M219" s="18" cm="1">
        <f t="array" ref="M219">_xlfn.IFS($G219="",0,AND(NOT(ISNUMBER($G219)),LOWER(LEFT($G219,1))&lt;&gt;"n"),"Not a valid distance",OR(LOWER(LEFT($G219,1))="n",$G219&lt;ScoringTable!$P$161),1,RIGHT($E219,1)="B",_xlfn.XLOOKUP($G219,ScoringTable!$P$2:$P$161,ScoringTable!$L$2:$L$161,,-1),TRUE,_xlfn.XLOOKUP($G219,ScoringTable!$V$2:$V$161,ScoringTable!$R$2:$R$161,,-1))</f>
        <v>0</v>
      </c>
    </row>
    <row r="220" spans="1:13" ht="16.05" customHeight="1">
      <c r="A220" s="80" t="s">
        <v>104</v>
      </c>
      <c r="B220" s="79" t="str">
        <f>IF(ISNA(VLOOKUP($F220,Declarations!B$6:C$185,2,FALSE)),"",IF(VLOOKUP($F220,Declarations!B$6:C$185,2,FALSE)="","NOT DECLARED",IF(ISNA(_xlfn.TEXTBEFORE(VLOOKUP($F220,Declarations!B$6:C$185,2,FALSE)," ")),VLOOKUP($F220,Declarations!B$6:C$185,2,FALSE),_xlfn.TEXTBEFORE(VLOOKUP($F220,Declarations!B$6:C$185,2,FALSE)," "))))</f>
        <v/>
      </c>
      <c r="C220" s="79" t="str">
        <f>IF(ISNA(VLOOKUP($F220,Declarations!B$6:C$185,2,FALSE)),"",IF(VLOOKUP($F220,Declarations!B$6:C$185,2,FALSE)="","NOT DECLARED",IF(ISNA(_xlfn.TEXTAFTER(VLOOKUP($F220,Declarations!B$6:C$185,2,FALSE)," ")),VLOOKUP($F220,Declarations!B$6:C$185,2,FALSE),_xlfn.TEXTAFTER(VLOOKUP($F220,Declarations!B$6:C$185,2,FALSE)," "))))</f>
        <v/>
      </c>
      <c r="D220" s="79" t="str">
        <f>IF(ISNA(VLOOKUP($F220,Declarations!$B$6:$F$185,5,FALSE)),"",IF(VLOOKUP($F220,Declarations!$B$6:$F$185,5,FALSE)="","NOT DECLARED",VLOOKUP($F220,Declarations!$B$6:$F$185,5,FALSE)))</f>
        <v/>
      </c>
      <c r="E220" s="112" t="str">
        <f>IF(ISNA(VLOOKUP($F220,Declarations!$B$6:$D$185,3,FALSE)),"",IF(VLOOKUP($F220,Declarations!$B$6:$D$185,3,FALSE)="","NOT DECLARED",VLOOKUP($F220,Declarations!$B$6:$D$185,3,FALSE)&amp;LEFT(VLOOKUP($F220,Declarations!$B$6:$E$185,4,FALSE))))</f>
        <v/>
      </c>
      <c r="F220" s="20"/>
      <c r="G220" s="21"/>
      <c r="H220" s="281"/>
      <c r="I220" s="8" t="str">
        <f>IF(ISNA(VLOOKUP(F220,Declarations!B$6:C$185,2,FALSE)),"",IF(VLOOKUP(F220,Declarations!B$6:C$185,2,FALSE)="","NOT DECLARED",VLOOKUP(F220,Declarations!B$6:C$185,2,FALSE)))</f>
        <v/>
      </c>
      <c r="J220" s="2">
        <f>IF(LOWER(LEFT(G220,1))="n",1,VLOOKUP(G220,ScoringTable!E$2:I$95,5))</f>
        <v>0</v>
      </c>
      <c r="K220" s="112" t="str">
        <f>IF(OR(E220="",G220=""),"",IF(RIGHT(E220,1)="G",_xlfn.XLOOKUP(G220,Data!$D$13:$L$13,Data!$D$9:$L$9,"",-1,1),_xlfn.XLOOKUP(G220,Data!$D$6:$L$6,Data!$D$2:$L$2,"",-1,1)))</f>
        <v/>
      </c>
      <c r="L220" s="160" t="str" cm="1">
        <f t="array" ref="L220">IFERROR(_xlfn.IFNA(
                      _xlfn.IFS(
                      F220="", "",
                      AND(E220="U12B",G220&gt;=Data!$M$6), "U12 Boys record",
                      AND(E220="U12G",G220&gt;=Data!$M$13), "U12 Girls record"
                       ),""), "")</f>
        <v/>
      </c>
      <c r="M220" s="18" cm="1">
        <f t="array" ref="M220">_xlfn.IFS($G220="",0,AND(NOT(ISNUMBER($G220)),LOWER(LEFT($G220,1))&lt;&gt;"n"),"Not a valid distance",OR(LOWER(LEFT($G220,1))="n",$G220&lt;ScoringTable!$P$161),1,RIGHT($E220,1)="B",_xlfn.XLOOKUP($G220,ScoringTable!$P$2:$P$161,ScoringTable!$L$2:$L$161,,-1),TRUE,_xlfn.XLOOKUP($G220,ScoringTable!$V$2:$V$161,ScoringTable!$R$2:$R$161,,-1))</f>
        <v>0</v>
      </c>
    </row>
    <row r="221" spans="1:13" ht="16.05" customHeight="1">
      <c r="A221" s="80" t="s">
        <v>104</v>
      </c>
      <c r="B221" s="79" t="str">
        <f>IF(ISNA(VLOOKUP($F221,Declarations!B$6:C$185,2,FALSE)),"",IF(VLOOKUP($F221,Declarations!B$6:C$185,2,FALSE)="","NOT DECLARED",IF(ISNA(_xlfn.TEXTBEFORE(VLOOKUP($F221,Declarations!B$6:C$185,2,FALSE)," ")),VLOOKUP($F221,Declarations!B$6:C$185,2,FALSE),_xlfn.TEXTBEFORE(VLOOKUP($F221,Declarations!B$6:C$185,2,FALSE)," "))))</f>
        <v/>
      </c>
      <c r="C221" s="79" t="str">
        <f>IF(ISNA(VLOOKUP($F221,Declarations!B$6:C$185,2,FALSE)),"",IF(VLOOKUP($F221,Declarations!B$6:C$185,2,FALSE)="","NOT DECLARED",IF(ISNA(_xlfn.TEXTAFTER(VLOOKUP($F221,Declarations!B$6:C$185,2,FALSE)," ")),VLOOKUP($F221,Declarations!B$6:C$185,2,FALSE),_xlfn.TEXTAFTER(VLOOKUP($F221,Declarations!B$6:C$185,2,FALSE)," "))))</f>
        <v/>
      </c>
      <c r="D221" s="79" t="str">
        <f>IF(ISNA(VLOOKUP($F221,Declarations!$B$6:$F$185,5,FALSE)),"",IF(VLOOKUP($F221,Declarations!$B$6:$F$185,5,FALSE)="","NOT DECLARED",VLOOKUP($F221,Declarations!$B$6:$F$185,5,FALSE)))</f>
        <v/>
      </c>
      <c r="E221" s="112" t="str">
        <f>IF(ISNA(VLOOKUP($F221,Declarations!$B$6:$D$185,3,FALSE)),"",IF(VLOOKUP($F221,Declarations!$B$6:$D$185,3,FALSE)="","NOT DECLARED",VLOOKUP($F221,Declarations!$B$6:$D$185,3,FALSE)&amp;LEFT(VLOOKUP($F221,Declarations!$B$6:$E$185,4,FALSE))))</f>
        <v/>
      </c>
      <c r="F221" s="20"/>
      <c r="G221" s="21"/>
      <c r="H221" s="281"/>
      <c r="I221" s="8" t="str">
        <f>IF(ISNA(VLOOKUP(F221,Declarations!B$6:C$185,2,FALSE)),"",IF(VLOOKUP(F221,Declarations!B$6:C$185,2,FALSE)="","NOT DECLARED",VLOOKUP(F221,Declarations!B$6:C$185,2,FALSE)))</f>
        <v/>
      </c>
      <c r="J221" s="2">
        <f>IF(LOWER(LEFT(G221,1))="n",1,VLOOKUP(G221,ScoringTable!E$2:I$95,5))</f>
        <v>0</v>
      </c>
      <c r="K221" s="112" t="str">
        <f>IF(OR(E221="",G221=""),"",IF(RIGHT(E221,1)="G",_xlfn.XLOOKUP(G221,Data!$D$13:$L$13,Data!$D$9:$L$9,"",-1,1),_xlfn.XLOOKUP(G221,Data!$D$6:$L$6,Data!$D$2:$L$2,"",-1,1)))</f>
        <v/>
      </c>
      <c r="L221" s="160" t="str" cm="1">
        <f t="array" ref="L221">IFERROR(_xlfn.IFNA(
                      _xlfn.IFS(
                      F221="", "",
                      AND(E221="U12B",G221&gt;=Data!$M$6), "U12 Boys record",
                      AND(E221="U12G",G221&gt;=Data!$M$13), "U12 Girls record"
                       ),""), "")</f>
        <v/>
      </c>
      <c r="M221" s="18" cm="1">
        <f t="array" ref="M221">_xlfn.IFS($G221="",0,AND(NOT(ISNUMBER($G221)),LOWER(LEFT($G221,1))&lt;&gt;"n"),"Not a valid distance",OR(LOWER(LEFT($G221,1))="n",$G221&lt;ScoringTable!$P$161),1,RIGHT($E221,1)="B",_xlfn.XLOOKUP($G221,ScoringTable!$P$2:$P$161,ScoringTable!$L$2:$L$161,,-1),TRUE,_xlfn.XLOOKUP($G221,ScoringTable!$V$2:$V$161,ScoringTable!$R$2:$R$161,,-1))</f>
        <v>0</v>
      </c>
    </row>
    <row r="222" spans="1:13" ht="16.05" customHeight="1">
      <c r="A222" s="80" t="s">
        <v>104</v>
      </c>
      <c r="B222" s="79" t="str">
        <f>IF(ISNA(VLOOKUP($F222,Declarations!B$6:C$185,2,FALSE)),"",IF(VLOOKUP($F222,Declarations!B$6:C$185,2,FALSE)="","NOT DECLARED",IF(ISNA(_xlfn.TEXTBEFORE(VLOOKUP($F222,Declarations!B$6:C$185,2,FALSE)," ")),VLOOKUP($F222,Declarations!B$6:C$185,2,FALSE),_xlfn.TEXTBEFORE(VLOOKUP($F222,Declarations!B$6:C$185,2,FALSE)," "))))</f>
        <v/>
      </c>
      <c r="C222" s="79" t="str">
        <f>IF(ISNA(VLOOKUP($F222,Declarations!B$6:C$185,2,FALSE)),"",IF(VLOOKUP($F222,Declarations!B$6:C$185,2,FALSE)="","NOT DECLARED",IF(ISNA(_xlfn.TEXTAFTER(VLOOKUP($F222,Declarations!B$6:C$185,2,FALSE)," ")),VLOOKUP($F222,Declarations!B$6:C$185,2,FALSE),_xlfn.TEXTAFTER(VLOOKUP($F222,Declarations!B$6:C$185,2,FALSE)," "))))</f>
        <v/>
      </c>
      <c r="D222" s="79" t="str">
        <f>IF(ISNA(VLOOKUP($F222,Declarations!$B$6:$F$185,5,FALSE)),"",IF(VLOOKUP($F222,Declarations!$B$6:$F$185,5,FALSE)="","NOT DECLARED",VLOOKUP($F222,Declarations!$B$6:$F$185,5,FALSE)))</f>
        <v/>
      </c>
      <c r="E222" s="112" t="str">
        <f>IF(ISNA(VLOOKUP($F222,Declarations!$B$6:$D$185,3,FALSE)),"",IF(VLOOKUP($F222,Declarations!$B$6:$D$185,3,FALSE)="","NOT DECLARED",VLOOKUP($F222,Declarations!$B$6:$D$185,3,FALSE)&amp;LEFT(VLOOKUP($F222,Declarations!$B$6:$E$185,4,FALSE))))</f>
        <v/>
      </c>
      <c r="F222" s="20"/>
      <c r="G222" s="21"/>
      <c r="H222" s="281"/>
      <c r="I222" s="8" t="str">
        <f>IF(ISNA(VLOOKUP(F222,Declarations!B$6:C$185,2,FALSE)),"",IF(VLOOKUP(F222,Declarations!B$6:C$185,2,FALSE)="","NOT DECLARED",VLOOKUP(F222,Declarations!B$6:C$185,2,FALSE)))</f>
        <v/>
      </c>
      <c r="J222" s="2">
        <f>IF(LOWER(LEFT(G222,1))="n",1,VLOOKUP(G222,ScoringTable!E$2:I$95,5))</f>
        <v>0</v>
      </c>
      <c r="K222" s="112" t="str">
        <f>IF(OR(E222="",G222=""),"",IF(RIGHT(E222,1)="G",_xlfn.XLOOKUP(G222,Data!$D$13:$L$13,Data!$D$9:$L$9,"",-1,1),_xlfn.XLOOKUP(G222,Data!$D$6:$L$6,Data!$D$2:$L$2,"",-1,1)))</f>
        <v/>
      </c>
      <c r="L222" s="160" t="str" cm="1">
        <f t="array" ref="L222">IFERROR(_xlfn.IFNA(
                      _xlfn.IFS(
                      F222="", "",
                      AND(E222="U12B",G222&gt;=Data!$M$6), "U12 Boys record",
                      AND(E222="U12G",G222&gt;=Data!$M$13), "U12 Girls record"
                       ),""), "")</f>
        <v/>
      </c>
      <c r="M222" s="18" cm="1">
        <f t="array" ref="M222">_xlfn.IFS($G222="",0,AND(NOT(ISNUMBER($G222)),LOWER(LEFT($G222,1))&lt;&gt;"n"),"Not a valid distance",OR(LOWER(LEFT($G222,1))="n",$G222&lt;ScoringTable!$P$161),1,RIGHT($E222,1)="B",_xlfn.XLOOKUP($G222,ScoringTable!$P$2:$P$161,ScoringTable!$L$2:$L$161,,-1),TRUE,_xlfn.XLOOKUP($G222,ScoringTable!$V$2:$V$161,ScoringTable!$R$2:$R$161,,-1))</f>
        <v>0</v>
      </c>
    </row>
    <row r="223" spans="1:13" ht="16.05" customHeight="1">
      <c r="A223" s="80" t="s">
        <v>104</v>
      </c>
      <c r="B223" s="79" t="str">
        <f>IF(ISNA(VLOOKUP($F223,Declarations!B$6:C$185,2,FALSE)),"",IF(VLOOKUP($F223,Declarations!B$6:C$185,2,FALSE)="","NOT DECLARED",IF(ISNA(_xlfn.TEXTBEFORE(VLOOKUP($F223,Declarations!B$6:C$185,2,FALSE)," ")),VLOOKUP($F223,Declarations!B$6:C$185,2,FALSE),_xlfn.TEXTBEFORE(VLOOKUP($F223,Declarations!B$6:C$185,2,FALSE)," "))))</f>
        <v/>
      </c>
      <c r="C223" s="79" t="str">
        <f>IF(ISNA(VLOOKUP($F223,Declarations!B$6:C$185,2,FALSE)),"",IF(VLOOKUP($F223,Declarations!B$6:C$185,2,FALSE)="","NOT DECLARED",IF(ISNA(_xlfn.TEXTAFTER(VLOOKUP($F223,Declarations!B$6:C$185,2,FALSE)," ")),VLOOKUP($F223,Declarations!B$6:C$185,2,FALSE),_xlfn.TEXTAFTER(VLOOKUP($F223,Declarations!B$6:C$185,2,FALSE)," "))))</f>
        <v/>
      </c>
      <c r="D223" s="79" t="str">
        <f>IF(ISNA(VLOOKUP($F223,Declarations!$B$6:$F$185,5,FALSE)),"",IF(VLOOKUP($F223,Declarations!$B$6:$F$185,5,FALSE)="","NOT DECLARED",VLOOKUP($F223,Declarations!$B$6:$F$185,5,FALSE)))</f>
        <v/>
      </c>
      <c r="E223" s="112" t="str">
        <f>IF(ISNA(VLOOKUP($F223,Declarations!$B$6:$D$185,3,FALSE)),"",IF(VLOOKUP($F223,Declarations!$B$6:$D$185,3,FALSE)="","NOT DECLARED",VLOOKUP($F223,Declarations!$B$6:$D$185,3,FALSE)&amp;LEFT(VLOOKUP($F223,Declarations!$B$6:$E$185,4,FALSE))))</f>
        <v/>
      </c>
      <c r="F223" s="20"/>
      <c r="G223" s="21"/>
      <c r="H223" s="281"/>
      <c r="I223" s="8" t="str">
        <f>IF(ISNA(VLOOKUP(F223,Declarations!B$6:C$185,2,FALSE)),"",IF(VLOOKUP(F223,Declarations!B$6:C$185,2,FALSE)="","NOT DECLARED",VLOOKUP(F223,Declarations!B$6:C$185,2,FALSE)))</f>
        <v/>
      </c>
      <c r="J223" s="2">
        <f>IF(LOWER(LEFT(G223,1))="n",1,VLOOKUP(G223,ScoringTable!E$2:I$95,5))</f>
        <v>0</v>
      </c>
      <c r="K223" s="112" t="str">
        <f>IF(OR(E223="",G223=""),"",IF(RIGHT(E223,1)="G",_xlfn.XLOOKUP(G223,Data!$D$13:$L$13,Data!$D$9:$L$9,"",-1,1),_xlfn.XLOOKUP(G223,Data!$D$6:$L$6,Data!$D$2:$L$2,"",-1,1)))</f>
        <v/>
      </c>
      <c r="L223" s="160" t="str" cm="1">
        <f t="array" ref="L223">IFERROR(_xlfn.IFNA(
                      _xlfn.IFS(
                      F223="", "",
                      AND(E223="U12B",G223&gt;=Data!$M$6), "U12 Boys record",
                      AND(E223="U12G",G223&gt;=Data!$M$13), "U12 Girls record"
                       ),""), "")</f>
        <v/>
      </c>
      <c r="M223" s="18" cm="1">
        <f t="array" ref="M223">_xlfn.IFS($G223="",0,AND(NOT(ISNUMBER($G223)),LOWER(LEFT($G223,1))&lt;&gt;"n"),"Not a valid distance",OR(LOWER(LEFT($G223,1))="n",$G223&lt;ScoringTable!$P$161),1,RIGHT($E223,1)="B",_xlfn.XLOOKUP($G223,ScoringTable!$P$2:$P$161,ScoringTable!$L$2:$L$161,,-1),TRUE,_xlfn.XLOOKUP($G223,ScoringTable!$V$2:$V$161,ScoringTable!$R$2:$R$161,,-1))</f>
        <v>0</v>
      </c>
    </row>
    <row r="224" spans="1:13" ht="16.05" customHeight="1">
      <c r="A224" s="80" t="s">
        <v>104</v>
      </c>
      <c r="B224" s="79" t="str">
        <f>IF(ISNA(VLOOKUP($F224,Declarations!B$6:C$185,2,FALSE)),"",IF(VLOOKUP($F224,Declarations!B$6:C$185,2,FALSE)="","NOT DECLARED",IF(ISNA(_xlfn.TEXTBEFORE(VLOOKUP($F224,Declarations!B$6:C$185,2,FALSE)," ")),VLOOKUP($F224,Declarations!B$6:C$185,2,FALSE),_xlfn.TEXTBEFORE(VLOOKUP($F224,Declarations!B$6:C$185,2,FALSE)," "))))</f>
        <v/>
      </c>
      <c r="C224" s="79" t="str">
        <f>IF(ISNA(VLOOKUP($F224,Declarations!B$6:C$185,2,FALSE)),"",IF(VLOOKUP($F224,Declarations!B$6:C$185,2,FALSE)="","NOT DECLARED",IF(ISNA(_xlfn.TEXTAFTER(VLOOKUP($F224,Declarations!B$6:C$185,2,FALSE)," ")),VLOOKUP($F224,Declarations!B$6:C$185,2,FALSE),_xlfn.TEXTAFTER(VLOOKUP($F224,Declarations!B$6:C$185,2,FALSE)," "))))</f>
        <v/>
      </c>
      <c r="D224" s="79" t="str">
        <f>IF(ISNA(VLOOKUP($F224,Declarations!$B$6:$F$185,5,FALSE)),"",IF(VLOOKUP($F224,Declarations!$B$6:$F$185,5,FALSE)="","NOT DECLARED",VLOOKUP($F224,Declarations!$B$6:$F$185,5,FALSE)))</f>
        <v/>
      </c>
      <c r="E224" s="112" t="str">
        <f>IF(ISNA(VLOOKUP($F224,Declarations!$B$6:$D$185,3,FALSE)),"",IF(VLOOKUP($F224,Declarations!$B$6:$D$185,3,FALSE)="","NOT DECLARED",VLOOKUP($F224,Declarations!$B$6:$D$185,3,FALSE)&amp;LEFT(VLOOKUP($F224,Declarations!$B$6:$E$185,4,FALSE))))</f>
        <v/>
      </c>
      <c r="F224" s="20"/>
      <c r="G224" s="21"/>
      <c r="H224" s="281"/>
      <c r="I224" s="8" t="str">
        <f>IF(ISNA(VLOOKUP(F224,Declarations!B$6:C$185,2,FALSE)),"",IF(VLOOKUP(F224,Declarations!B$6:C$185,2,FALSE)="","NOT DECLARED",VLOOKUP(F224,Declarations!B$6:C$185,2,FALSE)))</f>
        <v/>
      </c>
      <c r="J224" s="2">
        <f>IF(LOWER(LEFT(G224,1))="n",1,VLOOKUP(G224,ScoringTable!E$2:I$95,5))</f>
        <v>0</v>
      </c>
      <c r="K224" s="112" t="str">
        <f>IF(OR(E224="",G224=""),"",IF(RIGHT(E224,1)="G",_xlfn.XLOOKUP(G224,Data!$D$13:$L$13,Data!$D$9:$L$9,"",-1,1),_xlfn.XLOOKUP(G224,Data!$D$6:$L$6,Data!$D$2:$L$2,"",-1,1)))</f>
        <v/>
      </c>
      <c r="L224" s="160" t="str" cm="1">
        <f t="array" ref="L224">IFERROR(_xlfn.IFNA(
                      _xlfn.IFS(
                      F224="", "",
                      AND(E224="U12B",G224&gt;=Data!$M$6), "U12 Boys record",
                      AND(E224="U12G",G224&gt;=Data!$M$13), "U12 Girls record"
                       ),""), "")</f>
        <v/>
      </c>
      <c r="M224" s="18" cm="1">
        <f t="array" ref="M224">_xlfn.IFS($G224="",0,AND(NOT(ISNUMBER($G224)),LOWER(LEFT($G224,1))&lt;&gt;"n"),"Not a valid distance",OR(LOWER(LEFT($G224,1))="n",$G224&lt;ScoringTable!$P$161),1,RIGHT($E224,1)="B",_xlfn.XLOOKUP($G224,ScoringTable!$P$2:$P$161,ScoringTable!$L$2:$L$161,,-1),TRUE,_xlfn.XLOOKUP($G224,ScoringTable!$V$2:$V$161,ScoringTable!$R$2:$R$161,,-1))</f>
        <v>0</v>
      </c>
    </row>
    <row r="225" spans="1:13" ht="16.05" customHeight="1">
      <c r="A225" s="80" t="s">
        <v>104</v>
      </c>
      <c r="B225" s="79" t="str">
        <f>IF(ISNA(VLOOKUP($F225,Declarations!B$6:C$185,2,FALSE)),"",IF(VLOOKUP($F225,Declarations!B$6:C$185,2,FALSE)="","NOT DECLARED",IF(ISNA(_xlfn.TEXTBEFORE(VLOOKUP($F225,Declarations!B$6:C$185,2,FALSE)," ")),VLOOKUP($F225,Declarations!B$6:C$185,2,FALSE),_xlfn.TEXTBEFORE(VLOOKUP($F225,Declarations!B$6:C$185,2,FALSE)," "))))</f>
        <v/>
      </c>
      <c r="C225" s="79" t="str">
        <f>IF(ISNA(VLOOKUP($F225,Declarations!B$6:C$185,2,FALSE)),"",IF(VLOOKUP($F225,Declarations!B$6:C$185,2,FALSE)="","NOT DECLARED",IF(ISNA(_xlfn.TEXTAFTER(VLOOKUP($F225,Declarations!B$6:C$185,2,FALSE)," ")),VLOOKUP($F225,Declarations!B$6:C$185,2,FALSE),_xlfn.TEXTAFTER(VLOOKUP($F225,Declarations!B$6:C$185,2,FALSE)," "))))</f>
        <v/>
      </c>
      <c r="D225" s="79" t="str">
        <f>IF(ISNA(VLOOKUP($F225,Declarations!$B$6:$F$185,5,FALSE)),"",IF(VLOOKUP($F225,Declarations!$B$6:$F$185,5,FALSE)="","NOT DECLARED",VLOOKUP($F225,Declarations!$B$6:$F$185,5,FALSE)))</f>
        <v/>
      </c>
      <c r="E225" s="112" t="str">
        <f>IF(ISNA(VLOOKUP($F225,Declarations!$B$6:$D$185,3,FALSE)),"",IF(VLOOKUP($F225,Declarations!$B$6:$D$185,3,FALSE)="","NOT DECLARED",VLOOKUP($F225,Declarations!$B$6:$D$185,3,FALSE)&amp;LEFT(VLOOKUP($F225,Declarations!$B$6:$E$185,4,FALSE))))</f>
        <v/>
      </c>
      <c r="F225" s="20"/>
      <c r="G225" s="21"/>
      <c r="H225" s="281"/>
      <c r="I225" s="8" t="str">
        <f>IF(ISNA(VLOOKUP(F225,Declarations!B$6:C$185,2,FALSE)),"",IF(VLOOKUP(F225,Declarations!B$6:C$185,2,FALSE)="","NOT DECLARED",VLOOKUP(F225,Declarations!B$6:C$185,2,FALSE)))</f>
        <v/>
      </c>
      <c r="J225" s="2">
        <f>IF(LOWER(LEFT(G225,1))="n",1,VLOOKUP(G225,ScoringTable!E$2:I$95,5))</f>
        <v>0</v>
      </c>
      <c r="K225" s="112" t="str">
        <f>IF(OR(E225="",G225=""),"",IF(RIGHT(E225,1)="G",_xlfn.XLOOKUP(G225,Data!$D$13:$L$13,Data!$D$9:$L$9,"",-1,1),_xlfn.XLOOKUP(G225,Data!$D$6:$L$6,Data!$D$2:$L$2,"",-1,1)))</f>
        <v/>
      </c>
      <c r="L225" s="160" t="str" cm="1">
        <f t="array" ref="L225">IFERROR(_xlfn.IFNA(
                      _xlfn.IFS(
                      F225="", "",
                      AND(E225="U12B",G225&gt;=Data!$M$6), "U12 Boys record",
                      AND(E225="U12G",G225&gt;=Data!$M$13), "U12 Girls record"
                       ),""), "")</f>
        <v/>
      </c>
      <c r="M225" s="18" cm="1">
        <f t="array" ref="M225">_xlfn.IFS($G225="",0,AND(NOT(ISNUMBER($G225)),LOWER(LEFT($G225,1))&lt;&gt;"n"),"Not a valid distance",OR(LOWER(LEFT($G225,1))="n",$G225&lt;ScoringTable!$P$161),1,RIGHT($E225,1)="B",_xlfn.XLOOKUP($G225,ScoringTable!$P$2:$P$161,ScoringTable!$L$2:$L$161,,-1),TRUE,_xlfn.XLOOKUP($G225,ScoringTable!$V$2:$V$161,ScoringTable!$R$2:$R$161,,-1))</f>
        <v>0</v>
      </c>
    </row>
    <row r="226" spans="1:13" ht="16.05" customHeight="1">
      <c r="A226" s="80" t="s">
        <v>104</v>
      </c>
      <c r="B226" s="79" t="str">
        <f>IF(ISNA(VLOOKUP($F226,Declarations!B$6:C$185,2,FALSE)),"",IF(VLOOKUP($F226,Declarations!B$6:C$185,2,FALSE)="","NOT DECLARED",IF(ISNA(_xlfn.TEXTBEFORE(VLOOKUP($F226,Declarations!B$6:C$185,2,FALSE)," ")),VLOOKUP($F226,Declarations!B$6:C$185,2,FALSE),_xlfn.TEXTBEFORE(VLOOKUP($F226,Declarations!B$6:C$185,2,FALSE)," "))))</f>
        <v/>
      </c>
      <c r="C226" s="79" t="str">
        <f>IF(ISNA(VLOOKUP($F226,Declarations!B$6:C$185,2,FALSE)),"",IF(VLOOKUP($F226,Declarations!B$6:C$185,2,FALSE)="","NOT DECLARED",IF(ISNA(_xlfn.TEXTAFTER(VLOOKUP($F226,Declarations!B$6:C$185,2,FALSE)," ")),VLOOKUP($F226,Declarations!B$6:C$185,2,FALSE),_xlfn.TEXTAFTER(VLOOKUP($F226,Declarations!B$6:C$185,2,FALSE)," "))))</f>
        <v/>
      </c>
      <c r="D226" s="79" t="str">
        <f>IF(ISNA(VLOOKUP($F226,Declarations!$B$6:$F$185,5,FALSE)),"",IF(VLOOKUP($F226,Declarations!$B$6:$F$185,5,FALSE)="","NOT DECLARED",VLOOKUP($F226,Declarations!$B$6:$F$185,5,FALSE)))</f>
        <v/>
      </c>
      <c r="E226" s="112" t="str">
        <f>IF(ISNA(VLOOKUP($F226,Declarations!$B$6:$D$185,3,FALSE)),"",IF(VLOOKUP($F226,Declarations!$B$6:$D$185,3,FALSE)="","NOT DECLARED",VLOOKUP($F226,Declarations!$B$6:$D$185,3,FALSE)&amp;LEFT(VLOOKUP($F226,Declarations!$B$6:$E$185,4,FALSE))))</f>
        <v/>
      </c>
      <c r="F226" s="20"/>
      <c r="G226" s="21"/>
      <c r="H226" s="281"/>
      <c r="I226" s="8" t="str">
        <f>IF(ISNA(VLOOKUP(F226,Declarations!B$6:C$185,2,FALSE)),"",IF(VLOOKUP(F226,Declarations!B$6:C$185,2,FALSE)="","NOT DECLARED",VLOOKUP(F226,Declarations!B$6:C$185,2,FALSE)))</f>
        <v/>
      </c>
      <c r="J226" s="2">
        <f>IF(LOWER(LEFT(G226,1))="n",1,VLOOKUP(G226,ScoringTable!E$2:I$95,5))</f>
        <v>0</v>
      </c>
      <c r="K226" s="112" t="str">
        <f>IF(OR(E226="",G226=""),"",IF(RIGHT(E226,1)="G",_xlfn.XLOOKUP(G226,Data!$D$13:$L$13,Data!$D$9:$L$9,"",-1,1),_xlfn.XLOOKUP(G226,Data!$D$6:$L$6,Data!$D$2:$L$2,"",-1,1)))</f>
        <v/>
      </c>
      <c r="L226" s="160" t="str" cm="1">
        <f t="array" ref="L226">IFERROR(_xlfn.IFNA(
                      _xlfn.IFS(
                      F226="", "",
                      AND(E226="U12B",G226&gt;=Data!$M$6), "U12 Boys record",
                      AND(E226="U12G",G226&gt;=Data!$M$13), "U12 Girls record"
                       ),""), "")</f>
        <v/>
      </c>
      <c r="M226" s="18" cm="1">
        <f t="array" ref="M226">_xlfn.IFS($G226="",0,AND(NOT(ISNUMBER($G226)),LOWER(LEFT($G226,1))&lt;&gt;"n"),"Not a valid distance",OR(LOWER(LEFT($G226,1))="n",$G226&lt;ScoringTable!$P$161),1,RIGHT($E226,1)="B",_xlfn.XLOOKUP($G226,ScoringTable!$P$2:$P$161,ScoringTable!$L$2:$L$161,,-1),TRUE,_xlfn.XLOOKUP($G226,ScoringTable!$V$2:$V$161,ScoringTable!$R$2:$R$161,,-1))</f>
        <v>0</v>
      </c>
    </row>
    <row r="227" spans="1:13" ht="16.05" customHeight="1">
      <c r="A227" s="80" t="s">
        <v>104</v>
      </c>
      <c r="B227" s="79" t="str">
        <f>IF(ISNA(VLOOKUP($F227,Declarations!B$6:C$185,2,FALSE)),"",IF(VLOOKUP($F227,Declarations!B$6:C$185,2,FALSE)="","NOT DECLARED",IF(ISNA(_xlfn.TEXTBEFORE(VLOOKUP($F227,Declarations!B$6:C$185,2,FALSE)," ")),VLOOKUP($F227,Declarations!B$6:C$185,2,FALSE),_xlfn.TEXTBEFORE(VLOOKUP($F227,Declarations!B$6:C$185,2,FALSE)," "))))</f>
        <v/>
      </c>
      <c r="C227" s="79" t="str">
        <f>IF(ISNA(VLOOKUP($F227,Declarations!B$6:C$185,2,FALSE)),"",IF(VLOOKUP($F227,Declarations!B$6:C$185,2,FALSE)="","NOT DECLARED",IF(ISNA(_xlfn.TEXTAFTER(VLOOKUP($F227,Declarations!B$6:C$185,2,FALSE)," ")),VLOOKUP($F227,Declarations!B$6:C$185,2,FALSE),_xlfn.TEXTAFTER(VLOOKUP($F227,Declarations!B$6:C$185,2,FALSE)," "))))</f>
        <v/>
      </c>
      <c r="D227" s="79" t="str">
        <f>IF(ISNA(VLOOKUP($F227,Declarations!$B$6:$F$185,5,FALSE)),"",IF(VLOOKUP($F227,Declarations!$B$6:$F$185,5,FALSE)="","NOT DECLARED",VLOOKUP($F227,Declarations!$B$6:$F$185,5,FALSE)))</f>
        <v/>
      </c>
      <c r="E227" s="112" t="str">
        <f>IF(ISNA(VLOOKUP($F227,Declarations!$B$6:$D$185,3,FALSE)),"",IF(VLOOKUP($F227,Declarations!$B$6:$D$185,3,FALSE)="","NOT DECLARED",VLOOKUP($F227,Declarations!$B$6:$D$185,3,FALSE)&amp;LEFT(VLOOKUP($F227,Declarations!$B$6:$E$185,4,FALSE))))</f>
        <v/>
      </c>
      <c r="F227" s="20"/>
      <c r="G227" s="21"/>
      <c r="H227" s="281"/>
      <c r="I227" s="8" t="str">
        <f>IF(ISNA(VLOOKUP(F227,Declarations!B$6:C$185,2,FALSE)),"",IF(VLOOKUP(F227,Declarations!B$6:C$185,2,FALSE)="","NOT DECLARED",VLOOKUP(F227,Declarations!B$6:C$185,2,FALSE)))</f>
        <v/>
      </c>
      <c r="J227" s="2">
        <f>IF(LOWER(LEFT(G227,1))="n",1,VLOOKUP(G227,ScoringTable!E$2:I$95,5))</f>
        <v>0</v>
      </c>
      <c r="K227" s="112" t="str">
        <f>IF(OR(E227="",G227=""),"",IF(RIGHT(E227,1)="G",_xlfn.XLOOKUP(G227,Data!$D$13:$L$13,Data!$D$9:$L$9,"",-1,1),_xlfn.XLOOKUP(G227,Data!$D$6:$L$6,Data!$D$2:$L$2,"",-1,1)))</f>
        <v/>
      </c>
      <c r="L227" s="160" t="str" cm="1">
        <f t="array" ref="L227">IFERROR(_xlfn.IFNA(
                      _xlfn.IFS(
                      F227="", "",
                      AND(E227="U12B",G227&gt;=Data!$M$6), "U12 Boys record",
                      AND(E227="U12G",G227&gt;=Data!$M$13), "U12 Girls record"
                       ),""), "")</f>
        <v/>
      </c>
      <c r="M227" s="18" cm="1">
        <f t="array" ref="M227">_xlfn.IFS($G227="",0,AND(NOT(ISNUMBER($G227)),LOWER(LEFT($G227,1))&lt;&gt;"n"),"Not a valid distance",OR(LOWER(LEFT($G227,1))="n",$G227&lt;ScoringTable!$P$161),1,RIGHT($E227,1)="B",_xlfn.XLOOKUP($G227,ScoringTable!$P$2:$P$161,ScoringTable!$L$2:$L$161,,-1),TRUE,_xlfn.XLOOKUP($G227,ScoringTable!$V$2:$V$161,ScoringTable!$R$2:$R$161,,-1))</f>
        <v>0</v>
      </c>
    </row>
    <row r="228" spans="1:13" ht="16.05" customHeight="1">
      <c r="A228" s="80" t="s">
        <v>104</v>
      </c>
      <c r="B228" s="79" t="str">
        <f>IF(ISNA(VLOOKUP($F228,Declarations!B$6:C$185,2,FALSE)),"",IF(VLOOKUP($F228,Declarations!B$6:C$185,2,FALSE)="","NOT DECLARED",IF(ISNA(_xlfn.TEXTBEFORE(VLOOKUP($F228,Declarations!B$6:C$185,2,FALSE)," ")),VLOOKUP($F228,Declarations!B$6:C$185,2,FALSE),_xlfn.TEXTBEFORE(VLOOKUP($F228,Declarations!B$6:C$185,2,FALSE)," "))))</f>
        <v/>
      </c>
      <c r="C228" s="79" t="str">
        <f>IF(ISNA(VLOOKUP($F228,Declarations!B$6:C$185,2,FALSE)),"",IF(VLOOKUP($F228,Declarations!B$6:C$185,2,FALSE)="","NOT DECLARED",IF(ISNA(_xlfn.TEXTAFTER(VLOOKUP($F228,Declarations!B$6:C$185,2,FALSE)," ")),VLOOKUP($F228,Declarations!B$6:C$185,2,FALSE),_xlfn.TEXTAFTER(VLOOKUP($F228,Declarations!B$6:C$185,2,FALSE)," "))))</f>
        <v/>
      </c>
      <c r="D228" s="79" t="str">
        <f>IF(ISNA(VLOOKUP($F228,Declarations!$B$6:$F$185,5,FALSE)),"",IF(VLOOKUP($F228,Declarations!$B$6:$F$185,5,FALSE)="","NOT DECLARED",VLOOKUP($F228,Declarations!$B$6:$F$185,5,FALSE)))</f>
        <v/>
      </c>
      <c r="E228" s="112" t="str">
        <f>IF(ISNA(VLOOKUP($F228,Declarations!$B$6:$D$185,3,FALSE)),"",IF(VLOOKUP($F228,Declarations!$B$6:$D$185,3,FALSE)="","NOT DECLARED",VLOOKUP($F228,Declarations!$B$6:$D$185,3,FALSE)&amp;LEFT(VLOOKUP($F228,Declarations!$B$6:$E$185,4,FALSE))))</f>
        <v/>
      </c>
      <c r="F228" s="20"/>
      <c r="G228" s="21"/>
      <c r="H228" s="281"/>
      <c r="I228" s="8" t="str">
        <f>IF(ISNA(VLOOKUP(F228,Declarations!B$6:C$185,2,FALSE)),"",IF(VLOOKUP(F228,Declarations!B$6:C$185,2,FALSE)="","NOT DECLARED",VLOOKUP(F228,Declarations!B$6:C$185,2,FALSE)))</f>
        <v/>
      </c>
      <c r="J228" s="2">
        <f>IF(LOWER(LEFT(G228,1))="n",1,VLOOKUP(G228,ScoringTable!E$2:I$95,5))</f>
        <v>0</v>
      </c>
      <c r="K228" s="112" t="str">
        <f>IF(OR(E228="",G228=""),"",IF(RIGHT(E228,1)="G",_xlfn.XLOOKUP(G228,Data!$D$13:$L$13,Data!$D$9:$L$9,"",-1,1),_xlfn.XLOOKUP(G228,Data!$D$6:$L$6,Data!$D$2:$L$2,"",-1,1)))</f>
        <v/>
      </c>
      <c r="L228" s="160" t="str" cm="1">
        <f t="array" ref="L228">IFERROR(_xlfn.IFNA(
                      _xlfn.IFS(
                      F228="", "",
                      AND(E228="U12B",G228&gt;=Data!$M$6), "U12 Boys record",
                      AND(E228="U12G",G228&gt;=Data!$M$13), "U12 Girls record"
                       ),""), "")</f>
        <v/>
      </c>
      <c r="M228" s="18" cm="1">
        <f t="array" ref="M228">_xlfn.IFS($G228="",0,AND(NOT(ISNUMBER($G228)),LOWER(LEFT($G228,1))&lt;&gt;"n"),"Not a valid distance",OR(LOWER(LEFT($G228,1))="n",$G228&lt;ScoringTable!$P$161),1,RIGHT($E228,1)="B",_xlfn.XLOOKUP($G228,ScoringTable!$P$2:$P$161,ScoringTable!$L$2:$L$161,,-1),TRUE,_xlfn.XLOOKUP($G228,ScoringTable!$V$2:$V$161,ScoringTable!$R$2:$R$161,,-1))</f>
        <v>0</v>
      </c>
    </row>
    <row r="229" spans="1:13" ht="16.05" customHeight="1">
      <c r="A229" s="80" t="s">
        <v>104</v>
      </c>
      <c r="B229" s="79" t="str">
        <f>IF(ISNA(VLOOKUP($F229,Declarations!B$6:C$185,2,FALSE)),"",IF(VLOOKUP($F229,Declarations!B$6:C$185,2,FALSE)="","NOT DECLARED",IF(ISNA(_xlfn.TEXTBEFORE(VLOOKUP($F229,Declarations!B$6:C$185,2,FALSE)," ")),VLOOKUP($F229,Declarations!B$6:C$185,2,FALSE),_xlfn.TEXTBEFORE(VLOOKUP($F229,Declarations!B$6:C$185,2,FALSE)," "))))</f>
        <v/>
      </c>
      <c r="C229" s="79" t="str">
        <f>IF(ISNA(VLOOKUP($F229,Declarations!B$6:C$185,2,FALSE)),"",IF(VLOOKUP($F229,Declarations!B$6:C$185,2,FALSE)="","NOT DECLARED",IF(ISNA(_xlfn.TEXTAFTER(VLOOKUP($F229,Declarations!B$6:C$185,2,FALSE)," ")),VLOOKUP($F229,Declarations!B$6:C$185,2,FALSE),_xlfn.TEXTAFTER(VLOOKUP($F229,Declarations!B$6:C$185,2,FALSE)," "))))</f>
        <v/>
      </c>
      <c r="D229" s="79" t="str">
        <f>IF(ISNA(VLOOKUP($F229,Declarations!$B$6:$F$185,5,FALSE)),"",IF(VLOOKUP($F229,Declarations!$B$6:$F$185,5,FALSE)="","NOT DECLARED",VLOOKUP($F229,Declarations!$B$6:$F$185,5,FALSE)))</f>
        <v/>
      </c>
      <c r="E229" s="112" t="str">
        <f>IF(ISNA(VLOOKUP($F229,Declarations!$B$6:$D$185,3,FALSE)),"",IF(VLOOKUP($F229,Declarations!$B$6:$D$185,3,FALSE)="","NOT DECLARED",VLOOKUP($F229,Declarations!$B$6:$D$185,3,FALSE)&amp;LEFT(VLOOKUP($F229,Declarations!$B$6:$E$185,4,FALSE))))</f>
        <v/>
      </c>
      <c r="F229" s="20"/>
      <c r="G229" s="21"/>
      <c r="H229" s="281"/>
      <c r="I229" s="8" t="str">
        <f>IF(ISNA(VLOOKUP(F229,Declarations!B$6:C$185,2,FALSE)),"",IF(VLOOKUP(F229,Declarations!B$6:C$185,2,FALSE)="","NOT DECLARED",VLOOKUP(F229,Declarations!B$6:C$185,2,FALSE)))</f>
        <v/>
      </c>
      <c r="J229" s="2">
        <f>IF(LOWER(LEFT(G229,1))="n",1,VLOOKUP(G229,ScoringTable!E$2:I$95,5))</f>
        <v>0</v>
      </c>
      <c r="K229" s="112" t="str">
        <f>IF(OR(E229="",G229=""),"",IF(RIGHT(E229,1)="G",_xlfn.XLOOKUP(G229,Data!$D$13:$L$13,Data!$D$9:$L$9,"",-1,1),_xlfn.XLOOKUP(G229,Data!$D$6:$L$6,Data!$D$2:$L$2,"",-1,1)))</f>
        <v/>
      </c>
      <c r="L229" s="160" t="str" cm="1">
        <f t="array" ref="L229">IFERROR(_xlfn.IFNA(
                      _xlfn.IFS(
                      F229="", "",
                      AND(E229="U12B",G229&gt;=Data!$M$6), "U12 Boys record",
                      AND(E229="U12G",G229&gt;=Data!$M$13), "U12 Girls record"
                       ),""), "")</f>
        <v/>
      </c>
      <c r="M229" s="18" cm="1">
        <f t="array" ref="M229">_xlfn.IFS($G229="",0,AND(NOT(ISNUMBER($G229)),LOWER(LEFT($G229,1))&lt;&gt;"n"),"Not a valid distance",OR(LOWER(LEFT($G229,1))="n",$G229&lt;ScoringTable!$P$161),1,RIGHT($E229,1)="B",_xlfn.XLOOKUP($G229,ScoringTable!$P$2:$P$161,ScoringTable!$L$2:$L$161,,-1),TRUE,_xlfn.XLOOKUP($G229,ScoringTable!$V$2:$V$161,ScoringTable!$R$2:$R$161,,-1))</f>
        <v>0</v>
      </c>
    </row>
    <row r="230" spans="1:13" ht="16.05" customHeight="1">
      <c r="A230" s="80" t="s">
        <v>104</v>
      </c>
      <c r="B230" s="79" t="str">
        <f>IF(ISNA(VLOOKUP($F230,Declarations!B$6:C$185,2,FALSE)),"",IF(VLOOKUP($F230,Declarations!B$6:C$185,2,FALSE)="","NOT DECLARED",IF(ISNA(_xlfn.TEXTBEFORE(VLOOKUP($F230,Declarations!B$6:C$185,2,FALSE)," ")),VLOOKUP($F230,Declarations!B$6:C$185,2,FALSE),_xlfn.TEXTBEFORE(VLOOKUP($F230,Declarations!B$6:C$185,2,FALSE)," "))))</f>
        <v/>
      </c>
      <c r="C230" s="79" t="str">
        <f>IF(ISNA(VLOOKUP($F230,Declarations!B$6:C$185,2,FALSE)),"",IF(VLOOKUP($F230,Declarations!B$6:C$185,2,FALSE)="","NOT DECLARED",IF(ISNA(_xlfn.TEXTAFTER(VLOOKUP($F230,Declarations!B$6:C$185,2,FALSE)," ")),VLOOKUP($F230,Declarations!B$6:C$185,2,FALSE),_xlfn.TEXTAFTER(VLOOKUP($F230,Declarations!B$6:C$185,2,FALSE)," "))))</f>
        <v/>
      </c>
      <c r="D230" s="79" t="str">
        <f>IF(ISNA(VLOOKUP($F230,Declarations!$B$6:$F$185,5,FALSE)),"",IF(VLOOKUP($F230,Declarations!$B$6:$F$185,5,FALSE)="","NOT DECLARED",VLOOKUP($F230,Declarations!$B$6:$F$185,5,FALSE)))</f>
        <v/>
      </c>
      <c r="E230" s="112" t="str">
        <f>IF(ISNA(VLOOKUP($F230,Declarations!$B$6:$D$185,3,FALSE)),"",IF(VLOOKUP($F230,Declarations!$B$6:$D$185,3,FALSE)="","NOT DECLARED",VLOOKUP($F230,Declarations!$B$6:$D$185,3,FALSE)&amp;LEFT(VLOOKUP($F230,Declarations!$B$6:$E$185,4,FALSE))))</f>
        <v/>
      </c>
      <c r="F230" s="20"/>
      <c r="G230" s="21"/>
      <c r="H230" s="281"/>
      <c r="I230" s="8" t="str">
        <f>IF(ISNA(VLOOKUP(F230,Declarations!B$6:C$185,2,FALSE)),"",IF(VLOOKUP(F230,Declarations!B$6:C$185,2,FALSE)="","NOT DECLARED",VLOOKUP(F230,Declarations!B$6:C$185,2,FALSE)))</f>
        <v/>
      </c>
      <c r="J230" s="2">
        <f>IF(LOWER(LEFT(G230,1))="n",1,VLOOKUP(G230,ScoringTable!E$2:I$95,5))</f>
        <v>0</v>
      </c>
      <c r="K230" s="112" t="str">
        <f>IF(OR(E230="",G230=""),"",IF(RIGHT(E230,1)="G",_xlfn.XLOOKUP(G230,Data!$D$13:$L$13,Data!$D$9:$L$9,"",-1,1),_xlfn.XLOOKUP(G230,Data!$D$6:$L$6,Data!$D$2:$L$2,"",-1,1)))</f>
        <v/>
      </c>
      <c r="L230" s="160" t="str" cm="1">
        <f t="array" ref="L230">IFERROR(_xlfn.IFNA(
                      _xlfn.IFS(
                      F230="", "",
                      AND(E230="U12B",G230&gt;=Data!$M$6), "U12 Boys record",
                      AND(E230="U12G",G230&gt;=Data!$M$13), "U12 Girls record"
                       ),""), "")</f>
        <v/>
      </c>
      <c r="M230" s="18" cm="1">
        <f t="array" ref="M230">_xlfn.IFS($G230="",0,AND(NOT(ISNUMBER($G230)),LOWER(LEFT($G230,1))&lt;&gt;"n"),"Not a valid distance",OR(LOWER(LEFT($G230,1))="n",$G230&lt;ScoringTable!$P$161),1,RIGHT($E230,1)="B",_xlfn.XLOOKUP($G230,ScoringTable!$P$2:$P$161,ScoringTable!$L$2:$L$161,,-1),TRUE,_xlfn.XLOOKUP($G230,ScoringTable!$V$2:$V$161,ScoringTable!$R$2:$R$161,,-1))</f>
        <v>0</v>
      </c>
    </row>
    <row r="231" spans="1:13" ht="16.05" customHeight="1">
      <c r="A231" s="80" t="s">
        <v>104</v>
      </c>
      <c r="B231" s="79" t="str">
        <f>IF(ISNA(VLOOKUP($F231,Declarations!B$6:C$185,2,FALSE)),"",IF(VLOOKUP($F231,Declarations!B$6:C$185,2,FALSE)="","NOT DECLARED",IF(ISNA(_xlfn.TEXTBEFORE(VLOOKUP($F231,Declarations!B$6:C$185,2,FALSE)," ")),VLOOKUP($F231,Declarations!B$6:C$185,2,FALSE),_xlfn.TEXTBEFORE(VLOOKUP($F231,Declarations!B$6:C$185,2,FALSE)," "))))</f>
        <v/>
      </c>
      <c r="C231" s="79" t="str">
        <f>IF(ISNA(VLOOKUP($F231,Declarations!B$6:C$185,2,FALSE)),"",IF(VLOOKUP($F231,Declarations!B$6:C$185,2,FALSE)="","NOT DECLARED",IF(ISNA(_xlfn.TEXTAFTER(VLOOKUP($F231,Declarations!B$6:C$185,2,FALSE)," ")),VLOOKUP($F231,Declarations!B$6:C$185,2,FALSE),_xlfn.TEXTAFTER(VLOOKUP($F231,Declarations!B$6:C$185,2,FALSE)," "))))</f>
        <v/>
      </c>
      <c r="D231" s="79" t="str">
        <f>IF(ISNA(VLOOKUP($F231,Declarations!$B$6:$F$185,5,FALSE)),"",IF(VLOOKUP($F231,Declarations!$B$6:$F$185,5,FALSE)="","NOT DECLARED",VLOOKUP($F231,Declarations!$B$6:$F$185,5,FALSE)))</f>
        <v/>
      </c>
      <c r="E231" s="112" t="str">
        <f>IF(ISNA(VLOOKUP($F231,Declarations!$B$6:$D$185,3,FALSE)),"",IF(VLOOKUP($F231,Declarations!$B$6:$D$185,3,FALSE)="","NOT DECLARED",VLOOKUP($F231,Declarations!$B$6:$D$185,3,FALSE)&amp;LEFT(VLOOKUP($F231,Declarations!$B$6:$E$185,4,FALSE))))</f>
        <v/>
      </c>
      <c r="F231" s="20"/>
      <c r="G231" s="21"/>
      <c r="H231" s="281"/>
      <c r="I231" s="8" t="str">
        <f>IF(ISNA(VLOOKUP(F231,Declarations!B$6:C$185,2,FALSE)),"",IF(VLOOKUP(F231,Declarations!B$6:C$185,2,FALSE)="","NOT DECLARED",VLOOKUP(F231,Declarations!B$6:C$185,2,FALSE)))</f>
        <v/>
      </c>
      <c r="J231" s="2">
        <f>IF(LOWER(LEFT(G231,1))="n",1,VLOOKUP(G231,ScoringTable!E$2:I$95,5))</f>
        <v>0</v>
      </c>
      <c r="K231" s="112" t="str">
        <f>IF(OR(E231="",G231=""),"",IF(RIGHT(E231,1)="G",_xlfn.XLOOKUP(G231,Data!$D$13:$L$13,Data!$D$9:$L$9,"",-1,1),_xlfn.XLOOKUP(G231,Data!$D$6:$L$6,Data!$D$2:$L$2,"",-1,1)))</f>
        <v/>
      </c>
      <c r="L231" s="160" t="str" cm="1">
        <f t="array" ref="L231">IFERROR(_xlfn.IFNA(
                      _xlfn.IFS(
                      F231="", "",
                      AND(E231="U12B",G231&gt;=Data!$M$6), "U12 Boys record",
                      AND(E231="U12G",G231&gt;=Data!$M$13), "U12 Girls record"
                       ),""), "")</f>
        <v/>
      </c>
      <c r="M231" s="18" cm="1">
        <f t="array" ref="M231">_xlfn.IFS($G231="",0,AND(NOT(ISNUMBER($G231)),LOWER(LEFT($G231,1))&lt;&gt;"n"),"Not a valid distance",OR(LOWER(LEFT($G231,1))="n",$G231&lt;ScoringTable!$P$161),1,RIGHT($E231,1)="B",_xlfn.XLOOKUP($G231,ScoringTable!$P$2:$P$161,ScoringTable!$L$2:$L$161,,-1),TRUE,_xlfn.XLOOKUP($G231,ScoringTable!$V$2:$V$161,ScoringTable!$R$2:$R$161,,-1))</f>
        <v>0</v>
      </c>
    </row>
    <row r="232" spans="1:13" ht="16.05" customHeight="1">
      <c r="A232" s="80" t="s">
        <v>104</v>
      </c>
      <c r="B232" s="79" t="str">
        <f>IF(ISNA(VLOOKUP($F232,Declarations!B$6:C$185,2,FALSE)),"",IF(VLOOKUP($F232,Declarations!B$6:C$185,2,FALSE)="","NOT DECLARED",IF(ISNA(_xlfn.TEXTBEFORE(VLOOKUP($F232,Declarations!B$6:C$185,2,FALSE)," ")),VLOOKUP($F232,Declarations!B$6:C$185,2,FALSE),_xlfn.TEXTBEFORE(VLOOKUP($F232,Declarations!B$6:C$185,2,FALSE)," "))))</f>
        <v/>
      </c>
      <c r="C232" s="79" t="str">
        <f>IF(ISNA(VLOOKUP($F232,Declarations!B$6:C$185,2,FALSE)),"",IF(VLOOKUP($F232,Declarations!B$6:C$185,2,FALSE)="","NOT DECLARED",IF(ISNA(_xlfn.TEXTAFTER(VLOOKUP($F232,Declarations!B$6:C$185,2,FALSE)," ")),VLOOKUP($F232,Declarations!B$6:C$185,2,FALSE),_xlfn.TEXTAFTER(VLOOKUP($F232,Declarations!B$6:C$185,2,FALSE)," "))))</f>
        <v/>
      </c>
      <c r="D232" s="79" t="str">
        <f>IF(ISNA(VLOOKUP($F232,Declarations!$B$6:$F$185,5,FALSE)),"",IF(VLOOKUP($F232,Declarations!$B$6:$F$185,5,FALSE)="","NOT DECLARED",VLOOKUP($F232,Declarations!$B$6:$F$185,5,FALSE)))</f>
        <v/>
      </c>
      <c r="E232" s="112" t="str">
        <f>IF(ISNA(VLOOKUP($F232,Declarations!$B$6:$D$185,3,FALSE)),"",IF(VLOOKUP($F232,Declarations!$B$6:$D$185,3,FALSE)="","NOT DECLARED",VLOOKUP($F232,Declarations!$B$6:$D$185,3,FALSE)&amp;LEFT(VLOOKUP($F232,Declarations!$B$6:$E$185,4,FALSE))))</f>
        <v/>
      </c>
      <c r="F232" s="20"/>
      <c r="G232" s="21"/>
      <c r="H232" s="281"/>
      <c r="I232" s="8" t="str">
        <f>IF(ISNA(VLOOKUP(F232,Declarations!B$6:C$185,2,FALSE)),"",IF(VLOOKUP(F232,Declarations!B$6:C$185,2,FALSE)="","NOT DECLARED",VLOOKUP(F232,Declarations!B$6:C$185,2,FALSE)))</f>
        <v/>
      </c>
      <c r="J232" s="2">
        <f>IF(LOWER(LEFT(G232,1))="n",1,VLOOKUP(G232,ScoringTable!E$2:I$95,5))</f>
        <v>0</v>
      </c>
      <c r="K232" s="112" t="str">
        <f>IF(OR(E232="",G232=""),"",IF(RIGHT(E232,1)="G",_xlfn.XLOOKUP(G232,Data!$D$13:$L$13,Data!$D$9:$L$9,"",-1,1),_xlfn.XLOOKUP(G232,Data!$D$6:$L$6,Data!$D$2:$L$2,"",-1,1)))</f>
        <v/>
      </c>
      <c r="L232" s="160" t="str" cm="1">
        <f t="array" ref="L232">IFERROR(_xlfn.IFNA(
                      _xlfn.IFS(
                      F232="", "",
                      AND(E232="U12B",G232&gt;=Data!$M$6), "U12 Boys record",
                      AND(E232="U12G",G232&gt;=Data!$M$13), "U12 Girls record"
                       ),""), "")</f>
        <v/>
      </c>
      <c r="M232" s="18" cm="1">
        <f t="array" ref="M232">_xlfn.IFS($G232="",0,AND(NOT(ISNUMBER($G232)),LOWER(LEFT($G232,1))&lt;&gt;"n"),"Not a valid distance",OR(LOWER(LEFT($G232,1))="n",$G232&lt;ScoringTable!$P$161),1,RIGHT($E232,1)="B",_xlfn.XLOOKUP($G232,ScoringTable!$P$2:$P$161,ScoringTable!$L$2:$L$161,,-1),TRUE,_xlfn.XLOOKUP($G232,ScoringTable!$V$2:$V$161,ScoringTable!$R$2:$R$161,,-1))</f>
        <v>0</v>
      </c>
    </row>
    <row r="233" spans="1:13" ht="16.05" customHeight="1">
      <c r="A233" s="80" t="s">
        <v>104</v>
      </c>
      <c r="B233" s="79" t="str">
        <f>IF(ISNA(VLOOKUP($F233,Declarations!B$6:C$185,2,FALSE)),"",IF(VLOOKUP($F233,Declarations!B$6:C$185,2,FALSE)="","NOT DECLARED",IF(ISNA(_xlfn.TEXTBEFORE(VLOOKUP($F233,Declarations!B$6:C$185,2,FALSE)," ")),VLOOKUP($F233,Declarations!B$6:C$185,2,FALSE),_xlfn.TEXTBEFORE(VLOOKUP($F233,Declarations!B$6:C$185,2,FALSE)," "))))</f>
        <v/>
      </c>
      <c r="C233" s="79" t="str">
        <f>IF(ISNA(VLOOKUP($F233,Declarations!B$6:C$185,2,FALSE)),"",IF(VLOOKUP($F233,Declarations!B$6:C$185,2,FALSE)="","NOT DECLARED",IF(ISNA(_xlfn.TEXTAFTER(VLOOKUP($F233,Declarations!B$6:C$185,2,FALSE)," ")),VLOOKUP($F233,Declarations!B$6:C$185,2,FALSE),_xlfn.TEXTAFTER(VLOOKUP($F233,Declarations!B$6:C$185,2,FALSE)," "))))</f>
        <v/>
      </c>
      <c r="D233" s="79" t="str">
        <f>IF(ISNA(VLOOKUP($F233,Declarations!$B$6:$F$185,5,FALSE)),"",IF(VLOOKUP($F233,Declarations!$B$6:$F$185,5,FALSE)="","NOT DECLARED",VLOOKUP($F233,Declarations!$B$6:$F$185,5,FALSE)))</f>
        <v/>
      </c>
      <c r="E233" s="112" t="str">
        <f>IF(ISNA(VLOOKUP($F233,Declarations!$B$6:$D$185,3,FALSE)),"",IF(VLOOKUP($F233,Declarations!$B$6:$D$185,3,FALSE)="","NOT DECLARED",VLOOKUP($F233,Declarations!$B$6:$D$185,3,FALSE)&amp;LEFT(VLOOKUP($F233,Declarations!$B$6:$E$185,4,FALSE))))</f>
        <v/>
      </c>
      <c r="F233" s="20"/>
      <c r="G233" s="21"/>
      <c r="H233" s="281"/>
      <c r="I233" s="8" t="str">
        <f>IF(ISNA(VLOOKUP(F233,Declarations!B$6:C$185,2,FALSE)),"",IF(VLOOKUP(F233,Declarations!B$6:C$185,2,FALSE)="","NOT DECLARED",VLOOKUP(F233,Declarations!B$6:C$185,2,FALSE)))</f>
        <v/>
      </c>
      <c r="J233" s="2">
        <f>IF(LOWER(LEFT(G233,1))="n",1,VLOOKUP(G233,ScoringTable!E$2:I$95,5))</f>
        <v>0</v>
      </c>
      <c r="K233" s="112" t="str">
        <f>IF(OR(E233="",G233=""),"",IF(RIGHT(E233,1)="G",_xlfn.XLOOKUP(G233,Data!$D$13:$L$13,Data!$D$9:$L$9,"",-1,1),_xlfn.XLOOKUP(G233,Data!$D$6:$L$6,Data!$D$2:$L$2,"",-1,1)))</f>
        <v/>
      </c>
      <c r="L233" s="160" t="str" cm="1">
        <f t="array" ref="L233">IFERROR(_xlfn.IFNA(
                      _xlfn.IFS(
                      F233="", "",
                      AND(E233="U12B",G233&gt;=Data!$M$6), "U12 Boys record",
                      AND(E233="U12G",G233&gt;=Data!$M$13), "U12 Girls record"
                       ),""), "")</f>
        <v/>
      </c>
      <c r="M233" s="18" cm="1">
        <f t="array" ref="M233">_xlfn.IFS($G233="",0,AND(NOT(ISNUMBER($G233)),LOWER(LEFT($G233,1))&lt;&gt;"n"),"Not a valid distance",OR(LOWER(LEFT($G233,1))="n",$G233&lt;ScoringTable!$P$161),1,RIGHT($E233,1)="B",_xlfn.XLOOKUP($G233,ScoringTable!$P$2:$P$161,ScoringTable!$L$2:$L$161,,-1),TRUE,_xlfn.XLOOKUP($G233,ScoringTable!$V$2:$V$161,ScoringTable!$R$2:$R$161,,-1))</f>
        <v>0</v>
      </c>
    </row>
    <row r="234" spans="1:13" ht="16.05" customHeight="1">
      <c r="A234" s="80" t="s">
        <v>104</v>
      </c>
      <c r="B234" s="79" t="str">
        <f>IF(ISNA(VLOOKUP($F234,Declarations!B$6:C$185,2,FALSE)),"",IF(VLOOKUP($F234,Declarations!B$6:C$185,2,FALSE)="","NOT DECLARED",IF(ISNA(_xlfn.TEXTBEFORE(VLOOKUP($F234,Declarations!B$6:C$185,2,FALSE)," ")),VLOOKUP($F234,Declarations!B$6:C$185,2,FALSE),_xlfn.TEXTBEFORE(VLOOKUP($F234,Declarations!B$6:C$185,2,FALSE)," "))))</f>
        <v/>
      </c>
      <c r="C234" s="79" t="str">
        <f>IF(ISNA(VLOOKUP($F234,Declarations!B$6:C$185,2,FALSE)),"",IF(VLOOKUP($F234,Declarations!B$6:C$185,2,FALSE)="","NOT DECLARED",IF(ISNA(_xlfn.TEXTAFTER(VLOOKUP($F234,Declarations!B$6:C$185,2,FALSE)," ")),VLOOKUP($F234,Declarations!B$6:C$185,2,FALSE),_xlfn.TEXTAFTER(VLOOKUP($F234,Declarations!B$6:C$185,2,FALSE)," "))))</f>
        <v/>
      </c>
      <c r="D234" s="79" t="str">
        <f>IF(ISNA(VLOOKUP($F234,Declarations!$B$6:$F$185,5,FALSE)),"",IF(VLOOKUP($F234,Declarations!$B$6:$F$185,5,FALSE)="","NOT DECLARED",VLOOKUP($F234,Declarations!$B$6:$F$185,5,FALSE)))</f>
        <v/>
      </c>
      <c r="E234" s="112" t="str">
        <f>IF(ISNA(VLOOKUP($F234,Declarations!$B$6:$D$185,3,FALSE)),"",IF(VLOOKUP($F234,Declarations!$B$6:$D$185,3,FALSE)="","NOT DECLARED",VLOOKUP($F234,Declarations!$B$6:$D$185,3,FALSE)&amp;LEFT(VLOOKUP($F234,Declarations!$B$6:$E$185,4,FALSE))))</f>
        <v/>
      </c>
      <c r="F234" s="20"/>
      <c r="G234" s="21"/>
      <c r="H234" s="281"/>
      <c r="I234" s="8" t="str">
        <f>IF(ISNA(VLOOKUP(F234,Declarations!B$6:C$185,2,FALSE)),"",IF(VLOOKUP(F234,Declarations!B$6:C$185,2,FALSE)="","NOT DECLARED",VLOOKUP(F234,Declarations!B$6:C$185,2,FALSE)))</f>
        <v/>
      </c>
      <c r="J234" s="2">
        <f>IF(LOWER(LEFT(G234,1))="n",1,VLOOKUP(G234,ScoringTable!E$2:I$95,5))</f>
        <v>0</v>
      </c>
      <c r="K234" s="112" t="str">
        <f>IF(OR(E234="",G234=""),"",IF(RIGHT(E234,1)="G",_xlfn.XLOOKUP(G234,Data!$D$13:$L$13,Data!$D$9:$L$9,"",-1,1),_xlfn.XLOOKUP(G234,Data!$D$6:$L$6,Data!$D$2:$L$2,"",-1,1)))</f>
        <v/>
      </c>
      <c r="L234" s="160" t="str" cm="1">
        <f t="array" ref="L234">IFERROR(_xlfn.IFNA(
                      _xlfn.IFS(
                      F234="", "",
                      AND(E234="U12B",G234&gt;=Data!$M$6), "U12 Boys record",
                      AND(E234="U12G",G234&gt;=Data!$M$13), "U12 Girls record"
                       ),""), "")</f>
        <v/>
      </c>
      <c r="M234" s="18" cm="1">
        <f t="array" ref="M234">_xlfn.IFS($G234="",0,AND(NOT(ISNUMBER($G234)),LOWER(LEFT($G234,1))&lt;&gt;"n"),"Not a valid distance",OR(LOWER(LEFT($G234,1))="n",$G234&lt;ScoringTable!$P$161),1,RIGHT($E234,1)="B",_xlfn.XLOOKUP($G234,ScoringTable!$P$2:$P$161,ScoringTable!$L$2:$L$161,,-1),TRUE,_xlfn.XLOOKUP($G234,ScoringTable!$V$2:$V$161,ScoringTable!$R$2:$R$161,,-1))</f>
        <v>0</v>
      </c>
    </row>
    <row r="235" spans="1:13" ht="16.05" customHeight="1">
      <c r="A235" s="80" t="s">
        <v>104</v>
      </c>
      <c r="B235" s="79" t="str">
        <f>IF(ISNA(VLOOKUP($F235,Declarations!B$6:C$185,2,FALSE)),"",IF(VLOOKUP($F235,Declarations!B$6:C$185,2,FALSE)="","NOT DECLARED",IF(ISNA(_xlfn.TEXTBEFORE(VLOOKUP($F235,Declarations!B$6:C$185,2,FALSE)," ")),VLOOKUP($F235,Declarations!B$6:C$185,2,FALSE),_xlfn.TEXTBEFORE(VLOOKUP($F235,Declarations!B$6:C$185,2,FALSE)," "))))</f>
        <v/>
      </c>
      <c r="C235" s="79" t="str">
        <f>IF(ISNA(VLOOKUP($F235,Declarations!B$6:C$185,2,FALSE)),"",IF(VLOOKUP($F235,Declarations!B$6:C$185,2,FALSE)="","NOT DECLARED",IF(ISNA(_xlfn.TEXTAFTER(VLOOKUP($F235,Declarations!B$6:C$185,2,FALSE)," ")),VLOOKUP($F235,Declarations!B$6:C$185,2,FALSE),_xlfn.TEXTAFTER(VLOOKUP($F235,Declarations!B$6:C$185,2,FALSE)," "))))</f>
        <v/>
      </c>
      <c r="D235" s="79" t="str">
        <f>IF(ISNA(VLOOKUP($F235,Declarations!$B$6:$F$185,5,FALSE)),"",IF(VLOOKUP($F235,Declarations!$B$6:$F$185,5,FALSE)="","NOT DECLARED",VLOOKUP($F235,Declarations!$B$6:$F$185,5,FALSE)))</f>
        <v/>
      </c>
      <c r="E235" s="112" t="str">
        <f>IF(ISNA(VLOOKUP($F235,Declarations!$B$6:$D$185,3,FALSE)),"",IF(VLOOKUP($F235,Declarations!$B$6:$D$185,3,FALSE)="","NOT DECLARED",VLOOKUP($F235,Declarations!$B$6:$D$185,3,FALSE)&amp;LEFT(VLOOKUP($F235,Declarations!$B$6:$E$185,4,FALSE))))</f>
        <v/>
      </c>
      <c r="F235" s="20"/>
      <c r="G235" s="21"/>
      <c r="H235" s="281"/>
      <c r="I235" s="8" t="str">
        <f>IF(ISNA(VLOOKUP(F235,Declarations!B$6:C$185,2,FALSE)),"",IF(VLOOKUP(F235,Declarations!B$6:C$185,2,FALSE)="","NOT DECLARED",VLOOKUP(F235,Declarations!B$6:C$185,2,FALSE)))</f>
        <v/>
      </c>
      <c r="J235" s="2">
        <f>IF(LOWER(LEFT(G235,1))="n",1,VLOOKUP(G235,ScoringTable!E$2:I$95,5))</f>
        <v>0</v>
      </c>
      <c r="K235" s="112" t="str">
        <f>IF(OR(E235="",G235=""),"",IF(RIGHT(E235,1)="G",_xlfn.XLOOKUP(G235,Data!$D$13:$L$13,Data!$D$9:$L$9,"",-1,1),_xlfn.XLOOKUP(G235,Data!$D$6:$L$6,Data!$D$2:$L$2,"",-1,1)))</f>
        <v/>
      </c>
      <c r="L235" s="160" t="str" cm="1">
        <f t="array" ref="L235">IFERROR(_xlfn.IFNA(
                      _xlfn.IFS(
                      F235="", "",
                      AND(E235="U12B",G235&gt;=Data!$M$6), "U12 Boys record",
                      AND(E235="U12G",G235&gt;=Data!$M$13), "U12 Girls record"
                       ),""), "")</f>
        <v/>
      </c>
      <c r="M235" s="18" cm="1">
        <f t="array" ref="M235">_xlfn.IFS($G235="",0,AND(NOT(ISNUMBER($G235)),LOWER(LEFT($G235,1))&lt;&gt;"n"),"Not a valid distance",OR(LOWER(LEFT($G235,1))="n",$G235&lt;ScoringTable!$P$161),1,RIGHT($E235,1)="B",_xlfn.XLOOKUP($G235,ScoringTable!$P$2:$P$161,ScoringTable!$L$2:$L$161,,-1),TRUE,_xlfn.XLOOKUP($G235,ScoringTable!$V$2:$V$161,ScoringTable!$R$2:$R$161,,-1))</f>
        <v>0</v>
      </c>
    </row>
    <row r="236" spans="1:13" ht="16.05" customHeight="1">
      <c r="A236" s="80" t="s">
        <v>104</v>
      </c>
      <c r="B236" s="79" t="str">
        <f>IF(ISNA(VLOOKUP($F236,Declarations!B$6:C$185,2,FALSE)),"",IF(VLOOKUP($F236,Declarations!B$6:C$185,2,FALSE)="","NOT DECLARED",IF(ISNA(_xlfn.TEXTBEFORE(VLOOKUP($F236,Declarations!B$6:C$185,2,FALSE)," ")),VLOOKUP($F236,Declarations!B$6:C$185,2,FALSE),_xlfn.TEXTBEFORE(VLOOKUP($F236,Declarations!B$6:C$185,2,FALSE)," "))))</f>
        <v/>
      </c>
      <c r="C236" s="79" t="str">
        <f>IF(ISNA(VLOOKUP($F236,Declarations!B$6:C$185,2,FALSE)),"",IF(VLOOKUP($F236,Declarations!B$6:C$185,2,FALSE)="","NOT DECLARED",IF(ISNA(_xlfn.TEXTAFTER(VLOOKUP($F236,Declarations!B$6:C$185,2,FALSE)," ")),VLOOKUP($F236,Declarations!B$6:C$185,2,FALSE),_xlfn.TEXTAFTER(VLOOKUP($F236,Declarations!B$6:C$185,2,FALSE)," "))))</f>
        <v/>
      </c>
      <c r="D236" s="79" t="str">
        <f>IF(ISNA(VLOOKUP($F236,Declarations!$B$6:$F$185,5,FALSE)),"",IF(VLOOKUP($F236,Declarations!$B$6:$F$185,5,FALSE)="","NOT DECLARED",VLOOKUP($F236,Declarations!$B$6:$F$185,5,FALSE)))</f>
        <v/>
      </c>
      <c r="E236" s="112" t="str">
        <f>IF(ISNA(VLOOKUP($F236,Declarations!$B$6:$D$185,3,FALSE)),"",IF(VLOOKUP($F236,Declarations!$B$6:$D$185,3,FALSE)="","NOT DECLARED",VLOOKUP($F236,Declarations!$B$6:$D$185,3,FALSE)&amp;LEFT(VLOOKUP($F236,Declarations!$B$6:$E$185,4,FALSE))))</f>
        <v/>
      </c>
      <c r="F236" s="20"/>
      <c r="G236" s="21"/>
      <c r="H236" s="281"/>
      <c r="I236" s="8" t="str">
        <f>IF(ISNA(VLOOKUP(F236,Declarations!B$6:C$185,2,FALSE)),"",IF(VLOOKUP(F236,Declarations!B$6:C$185,2,FALSE)="","NOT DECLARED",VLOOKUP(F236,Declarations!B$6:C$185,2,FALSE)))</f>
        <v/>
      </c>
      <c r="J236" s="2">
        <f>IF(LOWER(LEFT(G236,1))="n",1,VLOOKUP(G236,ScoringTable!E$2:I$95,5))</f>
        <v>0</v>
      </c>
      <c r="K236" s="112" t="str">
        <f>IF(OR(E236="",G236=""),"",IF(RIGHT(E236,1)="G",_xlfn.XLOOKUP(G236,Data!$D$13:$L$13,Data!$D$9:$L$9,"",-1,1),_xlfn.XLOOKUP(G236,Data!$D$6:$L$6,Data!$D$2:$L$2,"",-1,1)))</f>
        <v/>
      </c>
      <c r="L236" s="160" t="str" cm="1">
        <f t="array" ref="L236">IFERROR(_xlfn.IFNA(
                      _xlfn.IFS(
                      F236="", "",
                      AND(E236="U12B",G236&gt;=Data!$M$6), "U12 Boys record",
                      AND(E236="U12G",G236&gt;=Data!$M$13), "U12 Girls record"
                       ),""), "")</f>
        <v/>
      </c>
      <c r="M236" s="18" cm="1">
        <f t="array" ref="M236">_xlfn.IFS($G236="",0,AND(NOT(ISNUMBER($G236)),LOWER(LEFT($G236,1))&lt;&gt;"n"),"Not a valid distance",OR(LOWER(LEFT($G236,1))="n",$G236&lt;ScoringTable!$P$161),1,RIGHT($E236,1)="B",_xlfn.XLOOKUP($G236,ScoringTable!$P$2:$P$161,ScoringTable!$L$2:$L$161,,-1),TRUE,_xlfn.XLOOKUP($G236,ScoringTable!$V$2:$V$161,ScoringTable!$R$2:$R$161,,-1))</f>
        <v>0</v>
      </c>
    </row>
    <row r="237" spans="1:13" ht="16.05" customHeight="1">
      <c r="A237" s="80" t="s">
        <v>104</v>
      </c>
      <c r="B237" s="79" t="str">
        <f>IF(ISNA(VLOOKUP($F237,Declarations!B$6:C$185,2,FALSE)),"",IF(VLOOKUP($F237,Declarations!B$6:C$185,2,FALSE)="","NOT DECLARED",IF(ISNA(_xlfn.TEXTBEFORE(VLOOKUP($F237,Declarations!B$6:C$185,2,FALSE)," ")),VLOOKUP($F237,Declarations!B$6:C$185,2,FALSE),_xlfn.TEXTBEFORE(VLOOKUP($F237,Declarations!B$6:C$185,2,FALSE)," "))))</f>
        <v/>
      </c>
      <c r="C237" s="79" t="str">
        <f>IF(ISNA(VLOOKUP($F237,Declarations!B$6:C$185,2,FALSE)),"",IF(VLOOKUP($F237,Declarations!B$6:C$185,2,FALSE)="","NOT DECLARED",IF(ISNA(_xlfn.TEXTAFTER(VLOOKUP($F237,Declarations!B$6:C$185,2,FALSE)," ")),VLOOKUP($F237,Declarations!B$6:C$185,2,FALSE),_xlfn.TEXTAFTER(VLOOKUP($F237,Declarations!B$6:C$185,2,FALSE)," "))))</f>
        <v/>
      </c>
      <c r="D237" s="79" t="str">
        <f>IF(ISNA(VLOOKUP($F237,Declarations!$B$6:$F$185,5,FALSE)),"",IF(VLOOKUP($F237,Declarations!$B$6:$F$185,5,FALSE)="","NOT DECLARED",VLOOKUP($F237,Declarations!$B$6:$F$185,5,FALSE)))</f>
        <v/>
      </c>
      <c r="E237" s="112" t="str">
        <f>IF(ISNA(VLOOKUP($F237,Declarations!$B$6:$D$185,3,FALSE)),"",IF(VLOOKUP($F237,Declarations!$B$6:$D$185,3,FALSE)="","NOT DECLARED",VLOOKUP($F237,Declarations!$B$6:$D$185,3,FALSE)&amp;LEFT(VLOOKUP($F237,Declarations!$B$6:$E$185,4,FALSE))))</f>
        <v/>
      </c>
      <c r="F237" s="20"/>
      <c r="G237" s="21"/>
      <c r="H237" s="281"/>
      <c r="I237" s="8" t="str">
        <f>IF(ISNA(VLOOKUP(F237,Declarations!B$6:C$185,2,FALSE)),"",IF(VLOOKUP(F237,Declarations!B$6:C$185,2,FALSE)="","NOT DECLARED",VLOOKUP(F237,Declarations!B$6:C$185,2,FALSE)))</f>
        <v/>
      </c>
      <c r="J237" s="2">
        <f>IF(LOWER(LEFT(G237,1))="n",1,VLOOKUP(G237,ScoringTable!E$2:I$95,5))</f>
        <v>0</v>
      </c>
      <c r="K237" s="112" t="str">
        <f>IF(OR(E237="",G237=""),"",IF(RIGHT(E237,1)="G",_xlfn.XLOOKUP(G237,Data!$D$13:$L$13,Data!$D$9:$L$9,"",-1,1),_xlfn.XLOOKUP(G237,Data!$D$6:$L$6,Data!$D$2:$L$2,"",-1,1)))</f>
        <v/>
      </c>
      <c r="L237" s="160" t="str" cm="1">
        <f t="array" ref="L237">IFERROR(_xlfn.IFNA(
                      _xlfn.IFS(
                      F237="", "",
                      AND(E237="U12B",G237&gt;=Data!$M$6), "U12 Boys record",
                      AND(E237="U12G",G237&gt;=Data!$M$13), "U12 Girls record"
                       ),""), "")</f>
        <v/>
      </c>
      <c r="M237" s="18" cm="1">
        <f t="array" ref="M237">_xlfn.IFS($G237="",0,AND(NOT(ISNUMBER($G237)),LOWER(LEFT($G237,1))&lt;&gt;"n"),"Not a valid distance",OR(LOWER(LEFT($G237,1))="n",$G237&lt;ScoringTable!$P$161),1,RIGHT($E237,1)="B",_xlfn.XLOOKUP($G237,ScoringTable!$P$2:$P$161,ScoringTable!$L$2:$L$161,,-1),TRUE,_xlfn.XLOOKUP($G237,ScoringTable!$V$2:$V$161,ScoringTable!$R$2:$R$161,,-1))</f>
        <v>0</v>
      </c>
    </row>
    <row r="238" spans="1:13" ht="16.05" customHeight="1">
      <c r="A238" s="80" t="s">
        <v>104</v>
      </c>
      <c r="B238" s="79" t="str">
        <f>IF(ISNA(VLOOKUP($F238,Declarations!B$6:C$185,2,FALSE)),"",IF(VLOOKUP($F238,Declarations!B$6:C$185,2,FALSE)="","NOT DECLARED",IF(ISNA(_xlfn.TEXTBEFORE(VLOOKUP($F238,Declarations!B$6:C$185,2,FALSE)," ")),VLOOKUP($F238,Declarations!B$6:C$185,2,FALSE),_xlfn.TEXTBEFORE(VLOOKUP($F238,Declarations!B$6:C$185,2,FALSE)," "))))</f>
        <v/>
      </c>
      <c r="C238" s="79" t="str">
        <f>IF(ISNA(VLOOKUP($F238,Declarations!B$6:C$185,2,FALSE)),"",IF(VLOOKUP($F238,Declarations!B$6:C$185,2,FALSE)="","NOT DECLARED",IF(ISNA(_xlfn.TEXTAFTER(VLOOKUP($F238,Declarations!B$6:C$185,2,FALSE)," ")),VLOOKUP($F238,Declarations!B$6:C$185,2,FALSE),_xlfn.TEXTAFTER(VLOOKUP($F238,Declarations!B$6:C$185,2,FALSE)," "))))</f>
        <v/>
      </c>
      <c r="D238" s="79" t="str">
        <f>IF(ISNA(VLOOKUP($F238,Declarations!$B$6:$F$185,5,FALSE)),"",IF(VLOOKUP($F238,Declarations!$B$6:$F$185,5,FALSE)="","NOT DECLARED",VLOOKUP($F238,Declarations!$B$6:$F$185,5,FALSE)))</f>
        <v/>
      </c>
      <c r="E238" s="112" t="str">
        <f>IF(ISNA(VLOOKUP($F238,Declarations!$B$6:$D$185,3,FALSE)),"",IF(VLOOKUP($F238,Declarations!$B$6:$D$185,3,FALSE)="","NOT DECLARED",VLOOKUP($F238,Declarations!$B$6:$D$185,3,FALSE)&amp;LEFT(VLOOKUP($F238,Declarations!$B$6:$E$185,4,FALSE))))</f>
        <v/>
      </c>
      <c r="F238" s="20"/>
      <c r="G238" s="21"/>
      <c r="H238" s="281"/>
      <c r="I238" s="8" t="str">
        <f>IF(ISNA(VLOOKUP(F238,Declarations!B$6:C$185,2,FALSE)),"",IF(VLOOKUP(F238,Declarations!B$6:C$185,2,FALSE)="","NOT DECLARED",VLOOKUP(F238,Declarations!B$6:C$185,2,FALSE)))</f>
        <v/>
      </c>
      <c r="J238" s="2">
        <f>IF(LOWER(LEFT(G238,1))="n",1,VLOOKUP(G238,ScoringTable!E$2:I$95,5))</f>
        <v>0</v>
      </c>
      <c r="K238" s="112" t="str">
        <f>IF(OR(E238="",G238=""),"",IF(RIGHT(E238,1)="G",_xlfn.XLOOKUP(G238,Data!$D$13:$L$13,Data!$D$9:$L$9,"",-1,1),_xlfn.XLOOKUP(G238,Data!$D$6:$L$6,Data!$D$2:$L$2,"",-1,1)))</f>
        <v/>
      </c>
      <c r="L238" s="160" t="str" cm="1">
        <f t="array" ref="L238">IFERROR(_xlfn.IFNA(
                      _xlfn.IFS(
                      F238="", "",
                      AND(E238="U12B",G238&gt;=Data!$M$6), "U12 Boys record",
                      AND(E238="U12G",G238&gt;=Data!$M$13), "U12 Girls record"
                       ),""), "")</f>
        <v/>
      </c>
      <c r="M238" s="18" cm="1">
        <f t="array" ref="M238">_xlfn.IFS($G238="",0,AND(NOT(ISNUMBER($G238)),LOWER(LEFT($G238,1))&lt;&gt;"n"),"Not a valid distance",OR(LOWER(LEFT($G238,1))="n",$G238&lt;ScoringTable!$P$161),1,RIGHT($E238,1)="B",_xlfn.XLOOKUP($G238,ScoringTable!$P$2:$P$161,ScoringTable!$L$2:$L$161,,-1),TRUE,_xlfn.XLOOKUP($G238,ScoringTable!$V$2:$V$161,ScoringTable!$R$2:$R$161,,-1))</f>
        <v>0</v>
      </c>
    </row>
    <row r="239" spans="1:13" ht="16.05" customHeight="1">
      <c r="A239" s="80" t="s">
        <v>104</v>
      </c>
      <c r="B239" s="79" t="str">
        <f>IF(ISNA(VLOOKUP($F239,Declarations!B$6:C$185,2,FALSE)),"",IF(VLOOKUP($F239,Declarations!B$6:C$185,2,FALSE)="","NOT DECLARED",IF(ISNA(_xlfn.TEXTBEFORE(VLOOKUP($F239,Declarations!B$6:C$185,2,FALSE)," ")),VLOOKUP($F239,Declarations!B$6:C$185,2,FALSE),_xlfn.TEXTBEFORE(VLOOKUP($F239,Declarations!B$6:C$185,2,FALSE)," "))))</f>
        <v/>
      </c>
      <c r="C239" s="79" t="str">
        <f>IF(ISNA(VLOOKUP($F239,Declarations!B$6:C$185,2,FALSE)),"",IF(VLOOKUP($F239,Declarations!B$6:C$185,2,FALSE)="","NOT DECLARED",IF(ISNA(_xlfn.TEXTAFTER(VLOOKUP($F239,Declarations!B$6:C$185,2,FALSE)," ")),VLOOKUP($F239,Declarations!B$6:C$185,2,FALSE),_xlfn.TEXTAFTER(VLOOKUP($F239,Declarations!B$6:C$185,2,FALSE)," "))))</f>
        <v/>
      </c>
      <c r="D239" s="79" t="str">
        <f>IF(ISNA(VLOOKUP($F239,Declarations!$B$6:$F$185,5,FALSE)),"",IF(VLOOKUP($F239,Declarations!$B$6:$F$185,5,FALSE)="","NOT DECLARED",VLOOKUP($F239,Declarations!$B$6:$F$185,5,FALSE)))</f>
        <v/>
      </c>
      <c r="E239" s="112" t="str">
        <f>IF(ISNA(VLOOKUP($F239,Declarations!$B$6:$D$185,3,FALSE)),"",IF(VLOOKUP($F239,Declarations!$B$6:$D$185,3,FALSE)="","NOT DECLARED",VLOOKUP($F239,Declarations!$B$6:$D$185,3,FALSE)&amp;LEFT(VLOOKUP($F239,Declarations!$B$6:$E$185,4,FALSE))))</f>
        <v/>
      </c>
      <c r="F239" s="20"/>
      <c r="G239" s="21"/>
      <c r="H239" s="281"/>
      <c r="I239" s="8" t="str">
        <f>IF(ISNA(VLOOKUP(F239,Declarations!B$6:C$185,2,FALSE)),"",IF(VLOOKUP(F239,Declarations!B$6:C$185,2,FALSE)="","NOT DECLARED",VLOOKUP(F239,Declarations!B$6:C$185,2,FALSE)))</f>
        <v/>
      </c>
      <c r="J239" s="2">
        <f>IF(LOWER(LEFT(G239,1))="n",1,VLOOKUP(G239,ScoringTable!E$2:I$95,5))</f>
        <v>0</v>
      </c>
      <c r="K239" s="112" t="str">
        <f>IF(OR(E239="",G239=""),"",IF(RIGHT(E239,1)="G",_xlfn.XLOOKUP(G239,Data!$D$13:$L$13,Data!$D$9:$L$9,"",-1,1),_xlfn.XLOOKUP(G239,Data!$D$6:$L$6,Data!$D$2:$L$2,"",-1,1)))</f>
        <v/>
      </c>
      <c r="L239" s="160" t="str" cm="1">
        <f t="array" ref="L239">IFERROR(_xlfn.IFNA(
                      _xlfn.IFS(
                      F239="", "",
                      AND(E239="U12B",G239&gt;=Data!$M$6), "U12 Boys record",
                      AND(E239="U12G",G239&gt;=Data!$M$13), "U12 Girls record"
                       ),""), "")</f>
        <v/>
      </c>
      <c r="M239" s="18" cm="1">
        <f t="array" ref="M239">_xlfn.IFS($G239="",0,AND(NOT(ISNUMBER($G239)),LOWER(LEFT($G239,1))&lt;&gt;"n"),"Not a valid distance",OR(LOWER(LEFT($G239,1))="n",$G239&lt;ScoringTable!$P$161),1,RIGHT($E239,1)="B",_xlfn.XLOOKUP($G239,ScoringTable!$P$2:$P$161,ScoringTable!$L$2:$L$161,,-1),TRUE,_xlfn.XLOOKUP($G239,ScoringTable!$V$2:$V$161,ScoringTable!$R$2:$R$161,,-1))</f>
        <v>0</v>
      </c>
    </row>
    <row r="240" spans="1:13" ht="16.05" customHeight="1">
      <c r="A240" s="80" t="s">
        <v>104</v>
      </c>
      <c r="B240" s="79" t="str">
        <f>IF(ISNA(VLOOKUP($F240,Declarations!B$6:C$185,2,FALSE)),"",IF(VLOOKUP($F240,Declarations!B$6:C$185,2,FALSE)="","NOT DECLARED",IF(ISNA(_xlfn.TEXTBEFORE(VLOOKUP($F240,Declarations!B$6:C$185,2,FALSE)," ")),VLOOKUP($F240,Declarations!B$6:C$185,2,FALSE),_xlfn.TEXTBEFORE(VLOOKUP($F240,Declarations!B$6:C$185,2,FALSE)," "))))</f>
        <v/>
      </c>
      <c r="C240" s="79" t="str">
        <f>IF(ISNA(VLOOKUP($F240,Declarations!B$6:C$185,2,FALSE)),"",IF(VLOOKUP($F240,Declarations!B$6:C$185,2,FALSE)="","NOT DECLARED",IF(ISNA(_xlfn.TEXTAFTER(VLOOKUP($F240,Declarations!B$6:C$185,2,FALSE)," ")),VLOOKUP($F240,Declarations!B$6:C$185,2,FALSE),_xlfn.TEXTAFTER(VLOOKUP($F240,Declarations!B$6:C$185,2,FALSE)," "))))</f>
        <v/>
      </c>
      <c r="D240" s="79" t="str">
        <f>IF(ISNA(VLOOKUP($F240,Declarations!$B$6:$F$185,5,FALSE)),"",IF(VLOOKUP($F240,Declarations!$B$6:$F$185,5,FALSE)="","NOT DECLARED",VLOOKUP($F240,Declarations!$B$6:$F$185,5,FALSE)))</f>
        <v/>
      </c>
      <c r="E240" s="112" t="str">
        <f>IF(ISNA(VLOOKUP($F240,Declarations!$B$6:$D$185,3,FALSE)),"",IF(VLOOKUP($F240,Declarations!$B$6:$D$185,3,FALSE)="","NOT DECLARED",VLOOKUP($F240,Declarations!$B$6:$D$185,3,FALSE)&amp;LEFT(VLOOKUP($F240,Declarations!$B$6:$E$185,4,FALSE))))</f>
        <v/>
      </c>
      <c r="F240" s="20"/>
      <c r="G240" s="21"/>
      <c r="H240" s="281"/>
      <c r="I240" s="8" t="str">
        <f>IF(ISNA(VLOOKUP(F240,Declarations!B$6:C$185,2,FALSE)),"",IF(VLOOKUP(F240,Declarations!B$6:C$185,2,FALSE)="","NOT DECLARED",VLOOKUP(F240,Declarations!B$6:C$185,2,FALSE)))</f>
        <v/>
      </c>
      <c r="J240" s="2">
        <f>IF(LOWER(LEFT(G240,1))="n",1,VLOOKUP(G240,ScoringTable!E$2:I$95,5))</f>
        <v>0</v>
      </c>
      <c r="K240" s="112" t="str">
        <f>IF(OR(E240="",G240=""),"",IF(RIGHT(E240,1)="G",_xlfn.XLOOKUP(G240,Data!$D$13:$L$13,Data!$D$9:$L$9,"",-1,1),_xlfn.XLOOKUP(G240,Data!$D$6:$L$6,Data!$D$2:$L$2,"",-1,1)))</f>
        <v/>
      </c>
      <c r="L240" s="160" t="str" cm="1">
        <f t="array" ref="L240">IFERROR(_xlfn.IFNA(
                      _xlfn.IFS(
                      F240="", "",
                      AND(E240="U12B",G240&gt;=Data!$M$6), "U12 Boys record",
                      AND(E240="U12G",G240&gt;=Data!$M$13), "U12 Girls record"
                       ),""), "")</f>
        <v/>
      </c>
      <c r="M240" s="18" cm="1">
        <f t="array" ref="M240">_xlfn.IFS($G240="",0,AND(NOT(ISNUMBER($G240)),LOWER(LEFT($G240,1))&lt;&gt;"n"),"Not a valid distance",OR(LOWER(LEFT($G240,1))="n",$G240&lt;ScoringTable!$P$161),1,RIGHT($E240,1)="B",_xlfn.XLOOKUP($G240,ScoringTable!$P$2:$P$161,ScoringTable!$L$2:$L$161,,-1),TRUE,_xlfn.XLOOKUP($G240,ScoringTable!$V$2:$V$161,ScoringTable!$R$2:$R$161,,-1))</f>
        <v>0</v>
      </c>
    </row>
    <row r="241" spans="1:13" ht="16.05" customHeight="1">
      <c r="A241" s="80" t="s">
        <v>104</v>
      </c>
      <c r="B241" s="79" t="str">
        <f>IF(ISNA(VLOOKUP($F241,Declarations!B$6:C$185,2,FALSE)),"",IF(VLOOKUP($F241,Declarations!B$6:C$185,2,FALSE)="","NOT DECLARED",IF(ISNA(_xlfn.TEXTBEFORE(VLOOKUP($F241,Declarations!B$6:C$185,2,FALSE)," ")),VLOOKUP($F241,Declarations!B$6:C$185,2,FALSE),_xlfn.TEXTBEFORE(VLOOKUP($F241,Declarations!B$6:C$185,2,FALSE)," "))))</f>
        <v/>
      </c>
      <c r="C241" s="79" t="str">
        <f>IF(ISNA(VLOOKUP($F241,Declarations!B$6:C$185,2,FALSE)),"",IF(VLOOKUP($F241,Declarations!B$6:C$185,2,FALSE)="","NOT DECLARED",IF(ISNA(_xlfn.TEXTAFTER(VLOOKUP($F241,Declarations!B$6:C$185,2,FALSE)," ")),VLOOKUP($F241,Declarations!B$6:C$185,2,FALSE),_xlfn.TEXTAFTER(VLOOKUP($F241,Declarations!B$6:C$185,2,FALSE)," "))))</f>
        <v/>
      </c>
      <c r="D241" s="79" t="str">
        <f>IF(ISNA(VLOOKUP($F241,Declarations!$B$6:$F$185,5,FALSE)),"",IF(VLOOKUP($F241,Declarations!$B$6:$F$185,5,FALSE)="","NOT DECLARED",VLOOKUP($F241,Declarations!$B$6:$F$185,5,FALSE)))</f>
        <v/>
      </c>
      <c r="E241" s="112" t="str">
        <f>IF(ISNA(VLOOKUP($F241,Declarations!$B$6:$D$185,3,FALSE)),"",IF(VLOOKUP($F241,Declarations!$B$6:$D$185,3,FALSE)="","NOT DECLARED",VLOOKUP($F241,Declarations!$B$6:$D$185,3,FALSE)&amp;LEFT(VLOOKUP($F241,Declarations!$B$6:$E$185,4,FALSE))))</f>
        <v/>
      </c>
      <c r="F241" s="20"/>
      <c r="G241" s="21"/>
      <c r="H241" s="281"/>
      <c r="I241" s="8" t="str">
        <f>IF(ISNA(VLOOKUP(F241,Declarations!B$6:C$185,2,FALSE)),"",IF(VLOOKUP(F241,Declarations!B$6:C$185,2,FALSE)="","NOT DECLARED",VLOOKUP(F241,Declarations!B$6:C$185,2,FALSE)))</f>
        <v/>
      </c>
      <c r="J241" s="2">
        <f>IF(LOWER(LEFT(G241,1))="n",1,VLOOKUP(G241,ScoringTable!E$2:I$95,5))</f>
        <v>0</v>
      </c>
      <c r="K241" s="112" t="str">
        <f>IF(OR(E241="",G241=""),"",IF(RIGHT(E241,1)="G",_xlfn.XLOOKUP(G241,Data!$D$13:$L$13,Data!$D$9:$L$9,"",-1,1),_xlfn.XLOOKUP(G241,Data!$D$6:$L$6,Data!$D$2:$L$2,"",-1,1)))</f>
        <v/>
      </c>
      <c r="L241" s="160" t="str" cm="1">
        <f t="array" ref="L241">IFERROR(_xlfn.IFNA(
                      _xlfn.IFS(
                      F241="", "",
                      AND(E241="U12B",G241&gt;=Data!$M$6), "U12 Boys record",
                      AND(E241="U12G",G241&gt;=Data!$M$13), "U12 Girls record"
                       ),""), "")</f>
        <v/>
      </c>
      <c r="M241" s="18" cm="1">
        <f t="array" ref="M241">_xlfn.IFS($G241="",0,AND(NOT(ISNUMBER($G241)),LOWER(LEFT($G241,1))&lt;&gt;"n"),"Not a valid distance",OR(LOWER(LEFT($G241,1))="n",$G241&lt;ScoringTable!$P$161),1,RIGHT($E241,1)="B",_xlfn.XLOOKUP($G241,ScoringTable!$P$2:$P$161,ScoringTable!$L$2:$L$161,,-1),TRUE,_xlfn.XLOOKUP($G241,ScoringTable!$V$2:$V$161,ScoringTable!$R$2:$R$161,,-1))</f>
        <v>0</v>
      </c>
    </row>
    <row r="242" spans="1:13" ht="16.05" customHeight="1">
      <c r="A242" s="80" t="s">
        <v>104</v>
      </c>
      <c r="B242" s="79" t="str">
        <f>IF(ISNA(VLOOKUP($F242,Declarations!B$6:C$185,2,FALSE)),"",IF(VLOOKUP($F242,Declarations!B$6:C$185,2,FALSE)="","NOT DECLARED",IF(ISNA(_xlfn.TEXTBEFORE(VLOOKUP($F242,Declarations!B$6:C$185,2,FALSE)," ")),VLOOKUP($F242,Declarations!B$6:C$185,2,FALSE),_xlfn.TEXTBEFORE(VLOOKUP($F242,Declarations!B$6:C$185,2,FALSE)," "))))</f>
        <v/>
      </c>
      <c r="C242" s="79" t="str">
        <f>IF(ISNA(VLOOKUP($F242,Declarations!B$6:C$185,2,FALSE)),"",IF(VLOOKUP($F242,Declarations!B$6:C$185,2,FALSE)="","NOT DECLARED",IF(ISNA(_xlfn.TEXTAFTER(VLOOKUP($F242,Declarations!B$6:C$185,2,FALSE)," ")),VLOOKUP($F242,Declarations!B$6:C$185,2,FALSE),_xlfn.TEXTAFTER(VLOOKUP($F242,Declarations!B$6:C$185,2,FALSE)," "))))</f>
        <v/>
      </c>
      <c r="D242" s="79" t="str">
        <f>IF(ISNA(VLOOKUP($F242,Declarations!$B$6:$F$185,5,FALSE)),"",IF(VLOOKUP($F242,Declarations!$B$6:$F$185,5,FALSE)="","NOT DECLARED",VLOOKUP($F242,Declarations!$B$6:$F$185,5,FALSE)))</f>
        <v/>
      </c>
      <c r="E242" s="112" t="str">
        <f>IF(ISNA(VLOOKUP($F242,Declarations!$B$6:$D$185,3,FALSE)),"",IF(VLOOKUP($F242,Declarations!$B$6:$D$185,3,FALSE)="","NOT DECLARED",VLOOKUP($F242,Declarations!$B$6:$D$185,3,FALSE)&amp;LEFT(VLOOKUP($F242,Declarations!$B$6:$E$185,4,FALSE))))</f>
        <v/>
      </c>
      <c r="F242" s="20"/>
      <c r="G242" s="21"/>
      <c r="H242" s="281"/>
      <c r="I242" s="8" t="str">
        <f>IF(ISNA(VLOOKUP(F242,Declarations!B$6:C$185,2,FALSE)),"",IF(VLOOKUP(F242,Declarations!B$6:C$185,2,FALSE)="","NOT DECLARED",VLOOKUP(F242,Declarations!B$6:C$185,2,FALSE)))</f>
        <v/>
      </c>
      <c r="J242" s="2">
        <f>IF(LOWER(LEFT(G242,1))="n",1,VLOOKUP(G242,ScoringTable!E$2:I$95,5))</f>
        <v>0</v>
      </c>
      <c r="K242" s="112" t="str">
        <f>IF(OR(E242="",G242=""),"",IF(RIGHT(E242,1)="G",_xlfn.XLOOKUP(G242,Data!$D$13:$L$13,Data!$D$9:$L$9,"",-1,1),_xlfn.XLOOKUP(G242,Data!$D$6:$L$6,Data!$D$2:$L$2,"",-1,1)))</f>
        <v/>
      </c>
      <c r="L242" s="160" t="str" cm="1">
        <f t="array" ref="L242">IFERROR(_xlfn.IFNA(
                      _xlfn.IFS(
                      F242="", "",
                      AND(E242="U12B",G242&gt;=Data!$M$6), "U12 Boys record",
                      AND(E242="U12G",G242&gt;=Data!$M$13), "U12 Girls record"
                       ),""), "")</f>
        <v/>
      </c>
      <c r="M242" s="18" cm="1">
        <f t="array" ref="M242">_xlfn.IFS($G242="",0,AND(NOT(ISNUMBER($G242)),LOWER(LEFT($G242,1))&lt;&gt;"n"),"Not a valid distance",OR(LOWER(LEFT($G242,1))="n",$G242&lt;ScoringTable!$P$161),1,RIGHT($E242,1)="B",_xlfn.XLOOKUP($G242,ScoringTable!$P$2:$P$161,ScoringTable!$L$2:$L$161,,-1),TRUE,_xlfn.XLOOKUP($G242,ScoringTable!$V$2:$V$161,ScoringTable!$R$2:$R$161,,-1))</f>
        <v>0</v>
      </c>
    </row>
    <row r="243" spans="1:13" ht="16.05" customHeight="1">
      <c r="A243" s="80" t="s">
        <v>104</v>
      </c>
      <c r="B243" s="79" t="str">
        <f>IF(ISNA(VLOOKUP($F243,Declarations!B$6:C$185,2,FALSE)),"",IF(VLOOKUP($F243,Declarations!B$6:C$185,2,FALSE)="","NOT DECLARED",IF(ISNA(_xlfn.TEXTBEFORE(VLOOKUP($F243,Declarations!B$6:C$185,2,FALSE)," ")),VLOOKUP($F243,Declarations!B$6:C$185,2,FALSE),_xlfn.TEXTBEFORE(VLOOKUP($F243,Declarations!B$6:C$185,2,FALSE)," "))))</f>
        <v/>
      </c>
      <c r="C243" s="79" t="str">
        <f>IF(ISNA(VLOOKUP($F243,Declarations!B$6:C$185,2,FALSE)),"",IF(VLOOKUP($F243,Declarations!B$6:C$185,2,FALSE)="","NOT DECLARED",IF(ISNA(_xlfn.TEXTAFTER(VLOOKUP($F243,Declarations!B$6:C$185,2,FALSE)," ")),VLOOKUP($F243,Declarations!B$6:C$185,2,FALSE),_xlfn.TEXTAFTER(VLOOKUP($F243,Declarations!B$6:C$185,2,FALSE)," "))))</f>
        <v/>
      </c>
      <c r="D243" s="79" t="str">
        <f>IF(ISNA(VLOOKUP($F243,Declarations!$B$6:$F$185,5,FALSE)),"",IF(VLOOKUP($F243,Declarations!$B$6:$F$185,5,FALSE)="","NOT DECLARED",VLOOKUP($F243,Declarations!$B$6:$F$185,5,FALSE)))</f>
        <v/>
      </c>
      <c r="E243" s="112" t="str">
        <f>IF(ISNA(VLOOKUP($F243,Declarations!$B$6:$D$185,3,FALSE)),"",IF(VLOOKUP($F243,Declarations!$B$6:$D$185,3,FALSE)="","NOT DECLARED",VLOOKUP($F243,Declarations!$B$6:$D$185,3,FALSE)&amp;LEFT(VLOOKUP($F243,Declarations!$B$6:$E$185,4,FALSE))))</f>
        <v/>
      </c>
      <c r="F243" s="20"/>
      <c r="G243" s="21"/>
      <c r="H243" s="281"/>
      <c r="I243" s="8" t="str">
        <f>IF(ISNA(VLOOKUP(F243,Declarations!B$6:C$185,2,FALSE)),"",IF(VLOOKUP(F243,Declarations!B$6:C$185,2,FALSE)="","NOT DECLARED",VLOOKUP(F243,Declarations!B$6:C$185,2,FALSE)))</f>
        <v/>
      </c>
      <c r="J243" s="2">
        <f>IF(LOWER(LEFT(G243,1))="n",1,VLOOKUP(G243,ScoringTable!E$2:I$95,5))</f>
        <v>0</v>
      </c>
      <c r="K243" s="112" t="str">
        <f>IF(OR(E243="",G243=""),"",IF(RIGHT(E243,1)="G",_xlfn.XLOOKUP(G243,Data!$D$13:$L$13,Data!$D$9:$L$9,"",-1,1),_xlfn.XLOOKUP(G243,Data!$D$6:$L$6,Data!$D$2:$L$2,"",-1,1)))</f>
        <v/>
      </c>
      <c r="L243" s="160" t="str" cm="1">
        <f t="array" ref="L243">IFERROR(_xlfn.IFNA(
                      _xlfn.IFS(
                      F243="", "",
                      AND(E243="U12B",G243&gt;=Data!$M$6), "U12 Boys record",
                      AND(E243="U12G",G243&gt;=Data!$M$13), "U12 Girls record"
                       ),""), "")</f>
        <v/>
      </c>
      <c r="M243" s="18" cm="1">
        <f t="array" ref="M243">_xlfn.IFS($G243="",0,AND(NOT(ISNUMBER($G243)),LOWER(LEFT($G243,1))&lt;&gt;"n"),"Not a valid distance",OR(LOWER(LEFT($G243,1))="n",$G243&lt;ScoringTable!$P$161),1,RIGHT($E243,1)="B",_xlfn.XLOOKUP($G243,ScoringTable!$P$2:$P$161,ScoringTable!$L$2:$L$161,,-1),TRUE,_xlfn.XLOOKUP($G243,ScoringTable!$V$2:$V$161,ScoringTable!$R$2:$R$161,,-1))</f>
        <v>0</v>
      </c>
    </row>
    <row r="244" spans="1:13" ht="16.05" customHeight="1">
      <c r="A244" s="80" t="s">
        <v>104</v>
      </c>
      <c r="B244" s="79" t="str">
        <f>IF(ISNA(VLOOKUP($F244,Declarations!B$6:C$185,2,FALSE)),"",IF(VLOOKUP($F244,Declarations!B$6:C$185,2,FALSE)="","NOT DECLARED",IF(ISNA(_xlfn.TEXTBEFORE(VLOOKUP($F244,Declarations!B$6:C$185,2,FALSE)," ")),VLOOKUP($F244,Declarations!B$6:C$185,2,FALSE),_xlfn.TEXTBEFORE(VLOOKUP($F244,Declarations!B$6:C$185,2,FALSE)," "))))</f>
        <v/>
      </c>
      <c r="C244" s="79" t="str">
        <f>IF(ISNA(VLOOKUP($F244,Declarations!B$6:C$185,2,FALSE)),"",IF(VLOOKUP($F244,Declarations!B$6:C$185,2,FALSE)="","NOT DECLARED",IF(ISNA(_xlfn.TEXTAFTER(VLOOKUP($F244,Declarations!B$6:C$185,2,FALSE)," ")),VLOOKUP($F244,Declarations!B$6:C$185,2,FALSE),_xlfn.TEXTAFTER(VLOOKUP($F244,Declarations!B$6:C$185,2,FALSE)," "))))</f>
        <v/>
      </c>
      <c r="D244" s="79" t="str">
        <f>IF(ISNA(VLOOKUP($F244,Declarations!$B$6:$F$185,5,FALSE)),"",IF(VLOOKUP($F244,Declarations!$B$6:$F$185,5,FALSE)="","NOT DECLARED",VLOOKUP($F244,Declarations!$B$6:$F$185,5,FALSE)))</f>
        <v/>
      </c>
      <c r="E244" s="112" t="str">
        <f>IF(ISNA(VLOOKUP($F244,Declarations!$B$6:$D$185,3,FALSE)),"",IF(VLOOKUP($F244,Declarations!$B$6:$D$185,3,FALSE)="","NOT DECLARED",VLOOKUP($F244,Declarations!$B$6:$D$185,3,FALSE)&amp;LEFT(VLOOKUP($F244,Declarations!$B$6:$E$185,4,FALSE))))</f>
        <v/>
      </c>
      <c r="F244" s="20"/>
      <c r="G244" s="21"/>
      <c r="H244" s="281"/>
      <c r="I244" s="8" t="str">
        <f>IF(ISNA(VLOOKUP(F244,Declarations!B$6:C$185,2,FALSE)),"",IF(VLOOKUP(F244,Declarations!B$6:C$185,2,FALSE)="","NOT DECLARED",VLOOKUP(F244,Declarations!B$6:C$185,2,FALSE)))</f>
        <v/>
      </c>
      <c r="J244" s="2">
        <f>IF(LOWER(LEFT(G244,1))="n",1,VLOOKUP(G244,ScoringTable!E$2:I$95,5))</f>
        <v>0</v>
      </c>
      <c r="K244" s="112" t="str">
        <f>IF(OR(E244="",G244=""),"",IF(RIGHT(E244,1)="G",_xlfn.XLOOKUP(G244,Data!$D$13:$L$13,Data!$D$9:$L$9,"",-1,1),_xlfn.XLOOKUP(G244,Data!$D$6:$L$6,Data!$D$2:$L$2,"",-1,1)))</f>
        <v/>
      </c>
      <c r="L244" s="160" t="str" cm="1">
        <f t="array" ref="L244">IFERROR(_xlfn.IFNA(
                      _xlfn.IFS(
                      F244="", "",
                      AND(E244="U12B",G244&gt;=Data!$M$6), "U12 Boys record",
                      AND(E244="U12G",G244&gt;=Data!$M$13), "U12 Girls record"
                       ),""), "")</f>
        <v/>
      </c>
      <c r="M244" s="18" cm="1">
        <f t="array" ref="M244">_xlfn.IFS($G244="",0,AND(NOT(ISNUMBER($G244)),LOWER(LEFT($G244,1))&lt;&gt;"n"),"Not a valid distance",OR(LOWER(LEFT($G244,1))="n",$G244&lt;ScoringTable!$P$161),1,RIGHT($E244,1)="B",_xlfn.XLOOKUP($G244,ScoringTable!$P$2:$P$161,ScoringTable!$L$2:$L$161,,-1),TRUE,_xlfn.XLOOKUP($G244,ScoringTable!$V$2:$V$161,ScoringTable!$R$2:$R$161,,-1))</f>
        <v>0</v>
      </c>
    </row>
    <row r="245" spans="1:13" ht="16.05" customHeight="1">
      <c r="A245" s="80" t="s">
        <v>104</v>
      </c>
      <c r="B245" s="79" t="str">
        <f>IF(ISNA(VLOOKUP($F245,Declarations!B$6:C$185,2,FALSE)),"",IF(VLOOKUP($F245,Declarations!B$6:C$185,2,FALSE)="","NOT DECLARED",IF(ISNA(_xlfn.TEXTBEFORE(VLOOKUP($F245,Declarations!B$6:C$185,2,FALSE)," ")),VLOOKUP($F245,Declarations!B$6:C$185,2,FALSE),_xlfn.TEXTBEFORE(VLOOKUP($F245,Declarations!B$6:C$185,2,FALSE)," "))))</f>
        <v/>
      </c>
      <c r="C245" s="79" t="str">
        <f>IF(ISNA(VLOOKUP($F245,Declarations!B$6:C$185,2,FALSE)),"",IF(VLOOKUP($F245,Declarations!B$6:C$185,2,FALSE)="","NOT DECLARED",IF(ISNA(_xlfn.TEXTAFTER(VLOOKUP($F245,Declarations!B$6:C$185,2,FALSE)," ")),VLOOKUP($F245,Declarations!B$6:C$185,2,FALSE),_xlfn.TEXTAFTER(VLOOKUP($F245,Declarations!B$6:C$185,2,FALSE)," "))))</f>
        <v/>
      </c>
      <c r="D245" s="79" t="str">
        <f>IF(ISNA(VLOOKUP($F245,Declarations!$B$6:$F$185,5,FALSE)),"",IF(VLOOKUP($F245,Declarations!$B$6:$F$185,5,FALSE)="","NOT DECLARED",VLOOKUP($F245,Declarations!$B$6:$F$185,5,FALSE)))</f>
        <v/>
      </c>
      <c r="E245" s="112" t="str">
        <f>IF(ISNA(VLOOKUP($F245,Declarations!$B$6:$D$185,3,FALSE)),"",IF(VLOOKUP($F245,Declarations!$B$6:$D$185,3,FALSE)="","NOT DECLARED",VLOOKUP($F245,Declarations!$B$6:$D$185,3,FALSE)&amp;LEFT(VLOOKUP($F245,Declarations!$B$6:$E$185,4,FALSE))))</f>
        <v/>
      </c>
      <c r="F245" s="20"/>
      <c r="G245" s="21"/>
      <c r="H245" s="281"/>
      <c r="I245" s="8" t="str">
        <f>IF(ISNA(VLOOKUP(F245,Declarations!B$6:C$185,2,FALSE)),"",IF(VLOOKUP(F245,Declarations!B$6:C$185,2,FALSE)="","NOT DECLARED",VLOOKUP(F245,Declarations!B$6:C$185,2,FALSE)))</f>
        <v/>
      </c>
      <c r="J245" s="2">
        <f>IF(LOWER(LEFT(G245,1))="n",1,VLOOKUP(G245,ScoringTable!E$2:I$95,5))</f>
        <v>0</v>
      </c>
      <c r="K245" s="112" t="str">
        <f>IF(OR(E245="",G245=""),"",IF(RIGHT(E245,1)="G",_xlfn.XLOOKUP(G245,Data!$D$13:$L$13,Data!$D$9:$L$9,"",-1,1),_xlfn.XLOOKUP(G245,Data!$D$6:$L$6,Data!$D$2:$L$2,"",-1,1)))</f>
        <v/>
      </c>
      <c r="L245" s="160" t="str" cm="1">
        <f t="array" ref="L245">IFERROR(_xlfn.IFNA(
                      _xlfn.IFS(
                      F245="", "",
                      AND(E245="U12B",G245&gt;=Data!$M$6), "U12 Boys record",
                      AND(E245="U12G",G245&gt;=Data!$M$13), "U12 Girls record"
                       ),""), "")</f>
        <v/>
      </c>
      <c r="M245" s="18" cm="1">
        <f t="array" ref="M245">_xlfn.IFS($G245="",0,AND(NOT(ISNUMBER($G245)),LOWER(LEFT($G245,1))&lt;&gt;"n"),"Not a valid distance",OR(LOWER(LEFT($G245,1))="n",$G245&lt;ScoringTable!$P$161),1,RIGHT($E245,1)="B",_xlfn.XLOOKUP($G245,ScoringTable!$P$2:$P$161,ScoringTable!$L$2:$L$161,,-1),TRUE,_xlfn.XLOOKUP($G245,ScoringTable!$V$2:$V$161,ScoringTable!$R$2:$R$161,,-1))</f>
        <v>0</v>
      </c>
    </row>
    <row r="246" spans="1:13" ht="16.05" customHeight="1">
      <c r="A246" s="80" t="s">
        <v>104</v>
      </c>
      <c r="B246" s="79" t="str">
        <f>IF(ISNA(VLOOKUP($F246,Declarations!B$6:C$185,2,FALSE)),"",IF(VLOOKUP($F246,Declarations!B$6:C$185,2,FALSE)="","NOT DECLARED",IF(ISNA(_xlfn.TEXTBEFORE(VLOOKUP($F246,Declarations!B$6:C$185,2,FALSE)," ")),VLOOKUP($F246,Declarations!B$6:C$185,2,FALSE),_xlfn.TEXTBEFORE(VLOOKUP($F246,Declarations!B$6:C$185,2,FALSE)," "))))</f>
        <v/>
      </c>
      <c r="C246" s="79" t="str">
        <f>IF(ISNA(VLOOKUP($F246,Declarations!B$6:C$185,2,FALSE)),"",IF(VLOOKUP($F246,Declarations!B$6:C$185,2,FALSE)="","NOT DECLARED",IF(ISNA(_xlfn.TEXTAFTER(VLOOKUP($F246,Declarations!B$6:C$185,2,FALSE)," ")),VLOOKUP($F246,Declarations!B$6:C$185,2,FALSE),_xlfn.TEXTAFTER(VLOOKUP($F246,Declarations!B$6:C$185,2,FALSE)," "))))</f>
        <v/>
      </c>
      <c r="D246" s="79" t="str">
        <f>IF(ISNA(VLOOKUP($F246,Declarations!$B$6:$F$185,5,FALSE)),"",IF(VLOOKUP($F246,Declarations!$B$6:$F$185,5,FALSE)="","NOT DECLARED",VLOOKUP($F246,Declarations!$B$6:$F$185,5,FALSE)))</f>
        <v/>
      </c>
      <c r="E246" s="112" t="str">
        <f>IF(ISNA(VLOOKUP($F246,Declarations!$B$6:$D$185,3,FALSE)),"",IF(VLOOKUP($F246,Declarations!$B$6:$D$185,3,FALSE)="","NOT DECLARED",VLOOKUP($F246,Declarations!$B$6:$D$185,3,FALSE)&amp;LEFT(VLOOKUP($F246,Declarations!$B$6:$E$185,4,FALSE))))</f>
        <v/>
      </c>
      <c r="F246" s="20"/>
      <c r="G246" s="21"/>
      <c r="H246" s="281"/>
      <c r="I246" s="8" t="str">
        <f>IF(ISNA(VLOOKUP(F246,Declarations!B$6:C$185,2,FALSE)),"",IF(VLOOKUP(F246,Declarations!B$6:C$185,2,FALSE)="","NOT DECLARED",VLOOKUP(F246,Declarations!B$6:C$185,2,FALSE)))</f>
        <v/>
      </c>
      <c r="J246" s="2">
        <f>IF(LOWER(LEFT(G246,1))="n",1,VLOOKUP(G246,ScoringTable!E$2:I$95,5))</f>
        <v>0</v>
      </c>
      <c r="K246" s="112" t="str">
        <f>IF(OR(E246="",G246=""),"",IF(RIGHT(E246,1)="G",_xlfn.XLOOKUP(G246,Data!$D$13:$L$13,Data!$D$9:$L$9,"",-1,1),_xlfn.XLOOKUP(G246,Data!$D$6:$L$6,Data!$D$2:$L$2,"",-1,1)))</f>
        <v/>
      </c>
      <c r="L246" s="160" t="str" cm="1">
        <f t="array" ref="L246">IFERROR(_xlfn.IFNA(
                      _xlfn.IFS(
                      F246="", "",
                      AND(E246="U12B",G246&gt;=Data!$M$6), "U12 Boys record",
                      AND(E246="U12G",G246&gt;=Data!$M$13), "U12 Girls record"
                       ),""), "")</f>
        <v/>
      </c>
      <c r="M246" s="18" cm="1">
        <f t="array" ref="M246">_xlfn.IFS($G246="",0,AND(NOT(ISNUMBER($G246)),LOWER(LEFT($G246,1))&lt;&gt;"n"),"Not a valid distance",OR(LOWER(LEFT($G246,1))="n",$G246&lt;ScoringTable!$P$161),1,RIGHT($E246,1)="B",_xlfn.XLOOKUP($G246,ScoringTable!$P$2:$P$161,ScoringTable!$L$2:$L$161,,-1),TRUE,_xlfn.XLOOKUP($G246,ScoringTable!$V$2:$V$161,ScoringTable!$R$2:$R$161,,-1))</f>
        <v>0</v>
      </c>
    </row>
    <row r="247" spans="1:13" ht="16.05" customHeight="1">
      <c r="A247" s="80" t="s">
        <v>104</v>
      </c>
      <c r="B247" s="79" t="str">
        <f>IF(ISNA(VLOOKUP($F247,Declarations!B$6:C$185,2,FALSE)),"",IF(VLOOKUP($F247,Declarations!B$6:C$185,2,FALSE)="","NOT DECLARED",IF(ISNA(_xlfn.TEXTBEFORE(VLOOKUP($F247,Declarations!B$6:C$185,2,FALSE)," ")),VLOOKUP($F247,Declarations!B$6:C$185,2,FALSE),_xlfn.TEXTBEFORE(VLOOKUP($F247,Declarations!B$6:C$185,2,FALSE)," "))))</f>
        <v/>
      </c>
      <c r="C247" s="79" t="str">
        <f>IF(ISNA(VLOOKUP($F247,Declarations!B$6:C$185,2,FALSE)),"",IF(VLOOKUP($F247,Declarations!B$6:C$185,2,FALSE)="","NOT DECLARED",IF(ISNA(_xlfn.TEXTAFTER(VLOOKUP($F247,Declarations!B$6:C$185,2,FALSE)," ")),VLOOKUP($F247,Declarations!B$6:C$185,2,FALSE),_xlfn.TEXTAFTER(VLOOKUP($F247,Declarations!B$6:C$185,2,FALSE)," "))))</f>
        <v/>
      </c>
      <c r="D247" s="79" t="str">
        <f>IF(ISNA(VLOOKUP($F247,Declarations!$B$6:$F$185,5,FALSE)),"",IF(VLOOKUP($F247,Declarations!$B$6:$F$185,5,FALSE)="","NOT DECLARED",VLOOKUP($F247,Declarations!$B$6:$F$185,5,FALSE)))</f>
        <v/>
      </c>
      <c r="E247" s="112" t="str">
        <f>IF(ISNA(VLOOKUP($F247,Declarations!$B$6:$D$185,3,FALSE)),"",IF(VLOOKUP($F247,Declarations!$B$6:$D$185,3,FALSE)="","NOT DECLARED",VLOOKUP($F247,Declarations!$B$6:$D$185,3,FALSE)&amp;LEFT(VLOOKUP($F247,Declarations!$B$6:$E$185,4,FALSE))))</f>
        <v/>
      </c>
      <c r="F247" s="20"/>
      <c r="G247" s="21"/>
      <c r="H247" s="281"/>
      <c r="I247" s="8" t="str">
        <f>IF(ISNA(VLOOKUP(F247,Declarations!B$6:C$185,2,FALSE)),"",IF(VLOOKUP(F247,Declarations!B$6:C$185,2,FALSE)="","NOT DECLARED",VLOOKUP(F247,Declarations!B$6:C$185,2,FALSE)))</f>
        <v/>
      </c>
      <c r="J247" s="2">
        <f>IF(LOWER(LEFT(G247,1))="n",1,VLOOKUP(G247,ScoringTable!E$2:I$95,5))</f>
        <v>0</v>
      </c>
      <c r="K247" s="112" t="str">
        <f>IF(OR(E247="",G247=""),"",IF(RIGHT(E247,1)="G",_xlfn.XLOOKUP(G247,Data!$D$13:$L$13,Data!$D$9:$L$9,"",-1,1),_xlfn.XLOOKUP(G247,Data!$D$6:$L$6,Data!$D$2:$L$2,"",-1,1)))</f>
        <v/>
      </c>
      <c r="L247" s="160" t="str" cm="1">
        <f t="array" ref="L247">IFERROR(_xlfn.IFNA(
                      _xlfn.IFS(
                      F247="", "",
                      AND(E247="U12B",G247&gt;=Data!$M$6), "U12 Boys record",
                      AND(E247="U12G",G247&gt;=Data!$M$13), "U12 Girls record"
                       ),""), "")</f>
        <v/>
      </c>
      <c r="M247" s="18" cm="1">
        <f t="array" ref="M247">_xlfn.IFS($G247="",0,AND(NOT(ISNUMBER($G247)),LOWER(LEFT($G247,1))&lt;&gt;"n"),"Not a valid distance",OR(LOWER(LEFT($G247,1))="n",$G247&lt;ScoringTable!$P$161),1,RIGHT($E247,1)="B",_xlfn.XLOOKUP($G247,ScoringTable!$P$2:$P$161,ScoringTable!$L$2:$L$161,,-1),TRUE,_xlfn.XLOOKUP($G247,ScoringTable!$V$2:$V$161,ScoringTable!$R$2:$R$161,,-1))</f>
        <v>0</v>
      </c>
    </row>
    <row r="248" spans="1:13" ht="16.05" customHeight="1">
      <c r="A248" s="80" t="s">
        <v>104</v>
      </c>
      <c r="B248" s="79" t="str">
        <f>IF(ISNA(VLOOKUP($F248,Declarations!B$6:C$185,2,FALSE)),"",IF(VLOOKUP($F248,Declarations!B$6:C$185,2,FALSE)="","NOT DECLARED",IF(ISNA(_xlfn.TEXTBEFORE(VLOOKUP($F248,Declarations!B$6:C$185,2,FALSE)," ")),VLOOKUP($F248,Declarations!B$6:C$185,2,FALSE),_xlfn.TEXTBEFORE(VLOOKUP($F248,Declarations!B$6:C$185,2,FALSE)," "))))</f>
        <v/>
      </c>
      <c r="C248" s="79" t="str">
        <f>IF(ISNA(VLOOKUP($F248,Declarations!B$6:C$185,2,FALSE)),"",IF(VLOOKUP($F248,Declarations!B$6:C$185,2,FALSE)="","NOT DECLARED",IF(ISNA(_xlfn.TEXTAFTER(VLOOKUP($F248,Declarations!B$6:C$185,2,FALSE)," ")),VLOOKUP($F248,Declarations!B$6:C$185,2,FALSE),_xlfn.TEXTAFTER(VLOOKUP($F248,Declarations!B$6:C$185,2,FALSE)," "))))</f>
        <v/>
      </c>
      <c r="D248" s="79" t="str">
        <f>IF(ISNA(VLOOKUP($F248,Declarations!$B$6:$F$185,5,FALSE)),"",IF(VLOOKUP($F248,Declarations!$B$6:$F$185,5,FALSE)="","NOT DECLARED",VLOOKUP($F248,Declarations!$B$6:$F$185,5,FALSE)))</f>
        <v/>
      </c>
      <c r="E248" s="112" t="str">
        <f>IF(ISNA(VLOOKUP($F248,Declarations!$B$6:$D$185,3,FALSE)),"",IF(VLOOKUP($F248,Declarations!$B$6:$D$185,3,FALSE)="","NOT DECLARED",VLOOKUP($F248,Declarations!$B$6:$D$185,3,FALSE)&amp;LEFT(VLOOKUP($F248,Declarations!$B$6:$E$185,4,FALSE))))</f>
        <v/>
      </c>
      <c r="F248" s="20"/>
      <c r="G248" s="21"/>
      <c r="H248" s="281"/>
      <c r="I248" s="8" t="str">
        <f>IF(ISNA(VLOOKUP(F248,Declarations!B$6:C$185,2,FALSE)),"",IF(VLOOKUP(F248,Declarations!B$6:C$185,2,FALSE)="","NOT DECLARED",VLOOKUP(F248,Declarations!B$6:C$185,2,FALSE)))</f>
        <v/>
      </c>
      <c r="J248" s="2">
        <f>IF(LOWER(LEFT(G248,1))="n",1,VLOOKUP(G248,ScoringTable!E$2:I$95,5))</f>
        <v>0</v>
      </c>
      <c r="K248" s="112" t="str">
        <f>IF(OR(E248="",G248=""),"",IF(RIGHT(E248,1)="G",_xlfn.XLOOKUP(G248,Data!$D$13:$L$13,Data!$D$9:$L$9,"",-1,1),_xlfn.XLOOKUP(G248,Data!$D$6:$L$6,Data!$D$2:$L$2,"",-1,1)))</f>
        <v/>
      </c>
      <c r="L248" s="160" t="str" cm="1">
        <f t="array" ref="L248">IFERROR(_xlfn.IFNA(
                      _xlfn.IFS(
                      F248="", "",
                      AND(E248="U12B",G248&gt;=Data!$M$6), "U12 Boys record",
                      AND(E248="U12G",G248&gt;=Data!$M$13), "U12 Girls record"
                       ),""), "")</f>
        <v/>
      </c>
      <c r="M248" s="18" cm="1">
        <f t="array" ref="M248">_xlfn.IFS($G248="",0,AND(NOT(ISNUMBER($G248)),LOWER(LEFT($G248,1))&lt;&gt;"n"),"Not a valid distance",OR(LOWER(LEFT($G248,1))="n",$G248&lt;ScoringTable!$P$161),1,RIGHT($E248,1)="B",_xlfn.XLOOKUP($G248,ScoringTable!$P$2:$P$161,ScoringTable!$L$2:$L$161,,-1),TRUE,_xlfn.XLOOKUP($G248,ScoringTable!$V$2:$V$161,ScoringTable!$R$2:$R$161,,-1))</f>
        <v>0</v>
      </c>
    </row>
    <row r="249" spans="1:13" ht="16.05" customHeight="1">
      <c r="A249" s="80" t="s">
        <v>104</v>
      </c>
      <c r="B249" s="79" t="str">
        <f>IF(ISNA(VLOOKUP($F249,Declarations!B$6:C$185,2,FALSE)),"",IF(VLOOKUP($F249,Declarations!B$6:C$185,2,FALSE)="","NOT DECLARED",IF(ISNA(_xlfn.TEXTBEFORE(VLOOKUP($F249,Declarations!B$6:C$185,2,FALSE)," ")),VLOOKUP($F249,Declarations!B$6:C$185,2,FALSE),_xlfn.TEXTBEFORE(VLOOKUP($F249,Declarations!B$6:C$185,2,FALSE)," "))))</f>
        <v/>
      </c>
      <c r="C249" s="79" t="str">
        <f>IF(ISNA(VLOOKUP($F249,Declarations!B$6:C$185,2,FALSE)),"",IF(VLOOKUP($F249,Declarations!B$6:C$185,2,FALSE)="","NOT DECLARED",IF(ISNA(_xlfn.TEXTAFTER(VLOOKUP($F249,Declarations!B$6:C$185,2,FALSE)," ")),VLOOKUP($F249,Declarations!B$6:C$185,2,FALSE),_xlfn.TEXTAFTER(VLOOKUP($F249,Declarations!B$6:C$185,2,FALSE)," "))))</f>
        <v/>
      </c>
      <c r="D249" s="79" t="str">
        <f>IF(ISNA(VLOOKUP($F249,Declarations!$B$6:$F$185,5,FALSE)),"",IF(VLOOKUP($F249,Declarations!$B$6:$F$185,5,FALSE)="","NOT DECLARED",VLOOKUP($F249,Declarations!$B$6:$F$185,5,FALSE)))</f>
        <v/>
      </c>
      <c r="E249" s="112" t="str">
        <f>IF(ISNA(VLOOKUP($F249,Declarations!$B$6:$D$185,3,FALSE)),"",IF(VLOOKUP($F249,Declarations!$B$6:$D$185,3,FALSE)="","NOT DECLARED",VLOOKUP($F249,Declarations!$B$6:$D$185,3,FALSE)&amp;LEFT(VLOOKUP($F249,Declarations!$B$6:$E$185,4,FALSE))))</f>
        <v/>
      </c>
      <c r="F249" s="20"/>
      <c r="G249" s="21"/>
      <c r="H249" s="281"/>
      <c r="I249" s="8" t="str">
        <f>IF(ISNA(VLOOKUP(F249,Declarations!B$6:C$185,2,FALSE)),"",IF(VLOOKUP(F249,Declarations!B$6:C$185,2,FALSE)="","NOT DECLARED",VLOOKUP(F249,Declarations!B$6:C$185,2,FALSE)))</f>
        <v/>
      </c>
      <c r="J249" s="2">
        <f>IF(LOWER(LEFT(G249,1))="n",1,VLOOKUP(G249,ScoringTable!E$2:I$95,5))</f>
        <v>0</v>
      </c>
      <c r="K249" s="112" t="str">
        <f>IF(OR(E249="",G249=""),"",IF(RIGHT(E249,1)="G",_xlfn.XLOOKUP(G249,Data!$D$13:$L$13,Data!$D$9:$L$9,"",-1,1),_xlfn.XLOOKUP(G249,Data!$D$6:$L$6,Data!$D$2:$L$2,"",-1,1)))</f>
        <v/>
      </c>
      <c r="L249" s="160" t="str" cm="1">
        <f t="array" ref="L249">IFERROR(_xlfn.IFNA(
                      _xlfn.IFS(
                      F249="", "",
                      AND(E249="U12B",G249&gt;=Data!$M$6), "U12 Boys record",
                      AND(E249="U12G",G249&gt;=Data!$M$13), "U12 Girls record"
                       ),""), "")</f>
        <v/>
      </c>
      <c r="M249" s="18" cm="1">
        <f t="array" ref="M249">_xlfn.IFS($G249="",0,AND(NOT(ISNUMBER($G249)),LOWER(LEFT($G249,1))&lt;&gt;"n"),"Not a valid distance",OR(LOWER(LEFT($G249,1))="n",$G249&lt;ScoringTable!$P$161),1,RIGHT($E249,1)="B",_xlfn.XLOOKUP($G249,ScoringTable!$P$2:$P$161,ScoringTable!$L$2:$L$161,,-1),TRUE,_xlfn.XLOOKUP($G249,ScoringTable!$V$2:$V$161,ScoringTable!$R$2:$R$161,,-1))</f>
        <v>0</v>
      </c>
    </row>
    <row r="250" spans="1:13" ht="16.05" customHeight="1">
      <c r="A250" s="80" t="s">
        <v>104</v>
      </c>
      <c r="B250" s="79" t="str">
        <f>IF(ISNA(VLOOKUP($F250,Declarations!B$6:C$185,2,FALSE)),"",IF(VLOOKUP($F250,Declarations!B$6:C$185,2,FALSE)="","NOT DECLARED",IF(ISNA(_xlfn.TEXTBEFORE(VLOOKUP($F250,Declarations!B$6:C$185,2,FALSE)," ")),VLOOKUP($F250,Declarations!B$6:C$185,2,FALSE),_xlfn.TEXTBEFORE(VLOOKUP($F250,Declarations!B$6:C$185,2,FALSE)," "))))</f>
        <v/>
      </c>
      <c r="C250" s="79" t="str">
        <f>IF(ISNA(VLOOKUP($F250,Declarations!B$6:C$185,2,FALSE)),"",IF(VLOOKUP($F250,Declarations!B$6:C$185,2,FALSE)="","NOT DECLARED",IF(ISNA(_xlfn.TEXTAFTER(VLOOKUP($F250,Declarations!B$6:C$185,2,FALSE)," ")),VLOOKUP($F250,Declarations!B$6:C$185,2,FALSE),_xlfn.TEXTAFTER(VLOOKUP($F250,Declarations!B$6:C$185,2,FALSE)," "))))</f>
        <v/>
      </c>
      <c r="D250" s="79" t="str">
        <f>IF(ISNA(VLOOKUP($F250,Declarations!$B$6:$F$185,5,FALSE)),"",IF(VLOOKUP($F250,Declarations!$B$6:$F$185,5,FALSE)="","NOT DECLARED",VLOOKUP($F250,Declarations!$B$6:$F$185,5,FALSE)))</f>
        <v/>
      </c>
      <c r="E250" s="112" t="str">
        <f>IF(ISNA(VLOOKUP($F250,Declarations!$B$6:$D$185,3,FALSE)),"",IF(VLOOKUP($F250,Declarations!$B$6:$D$185,3,FALSE)="","NOT DECLARED",VLOOKUP($F250,Declarations!$B$6:$D$185,3,FALSE)&amp;LEFT(VLOOKUP($F250,Declarations!$B$6:$E$185,4,FALSE))))</f>
        <v/>
      </c>
      <c r="F250" s="20"/>
      <c r="G250" s="21"/>
      <c r="H250" s="281"/>
      <c r="I250" s="8" t="str">
        <f>IF(ISNA(VLOOKUP(F250,Declarations!B$6:C$185,2,FALSE)),"",IF(VLOOKUP(F250,Declarations!B$6:C$185,2,FALSE)="","NOT DECLARED",VLOOKUP(F250,Declarations!B$6:C$185,2,FALSE)))</f>
        <v/>
      </c>
      <c r="J250" s="2">
        <f>IF(LOWER(LEFT(G250,1))="n",1,VLOOKUP(G250,ScoringTable!E$2:I$95,5))</f>
        <v>0</v>
      </c>
      <c r="K250" s="112" t="str">
        <f>IF(OR(E250="",G250=""),"",IF(RIGHT(E250,1)="G",_xlfn.XLOOKUP(G250,Data!$D$13:$L$13,Data!$D$9:$L$9,"",-1,1),_xlfn.XLOOKUP(G250,Data!$D$6:$L$6,Data!$D$2:$L$2,"",-1,1)))</f>
        <v/>
      </c>
      <c r="L250" s="160" t="str" cm="1">
        <f t="array" ref="L250">IFERROR(_xlfn.IFNA(
                      _xlfn.IFS(
                      F250="", "",
                      AND(E250="U12B",G250&gt;=Data!$M$6), "U12 Boys record",
                      AND(E250="U12G",G250&gt;=Data!$M$13), "U12 Girls record"
                       ),""), "")</f>
        <v/>
      </c>
      <c r="M250" s="18" cm="1">
        <f t="array" ref="M250">_xlfn.IFS($G250="",0,AND(NOT(ISNUMBER($G250)),LOWER(LEFT($G250,1))&lt;&gt;"n"),"Not a valid distance",OR(LOWER(LEFT($G250,1))="n",$G250&lt;ScoringTable!$P$161),1,RIGHT($E250,1)="B",_xlfn.XLOOKUP($G250,ScoringTable!$P$2:$P$161,ScoringTable!$L$2:$L$161,,-1),TRUE,_xlfn.XLOOKUP($G250,ScoringTable!$V$2:$V$161,ScoringTable!$R$2:$R$161,,-1))</f>
        <v>0</v>
      </c>
    </row>
    <row r="251" spans="1:13" ht="16.05" customHeight="1">
      <c r="A251" s="80" t="s">
        <v>104</v>
      </c>
      <c r="B251" s="79" t="str">
        <f>IF(ISNA(VLOOKUP($F251,Declarations!B$6:C$185,2,FALSE)),"",IF(VLOOKUP($F251,Declarations!B$6:C$185,2,FALSE)="","NOT DECLARED",IF(ISNA(_xlfn.TEXTBEFORE(VLOOKUP($F251,Declarations!B$6:C$185,2,FALSE)," ")),VLOOKUP($F251,Declarations!B$6:C$185,2,FALSE),_xlfn.TEXTBEFORE(VLOOKUP($F251,Declarations!B$6:C$185,2,FALSE)," "))))</f>
        <v/>
      </c>
      <c r="C251" s="79" t="str">
        <f>IF(ISNA(VLOOKUP($F251,Declarations!B$6:C$185,2,FALSE)),"",IF(VLOOKUP($F251,Declarations!B$6:C$185,2,FALSE)="","NOT DECLARED",IF(ISNA(_xlfn.TEXTAFTER(VLOOKUP($F251,Declarations!B$6:C$185,2,FALSE)," ")),VLOOKUP($F251,Declarations!B$6:C$185,2,FALSE),_xlfn.TEXTAFTER(VLOOKUP($F251,Declarations!B$6:C$185,2,FALSE)," "))))</f>
        <v/>
      </c>
      <c r="D251" s="79" t="str">
        <f>IF(ISNA(VLOOKUP($F251,Declarations!$B$6:$F$185,5,FALSE)),"",IF(VLOOKUP($F251,Declarations!$B$6:$F$185,5,FALSE)="","NOT DECLARED",VLOOKUP($F251,Declarations!$B$6:$F$185,5,FALSE)))</f>
        <v/>
      </c>
      <c r="E251" s="112" t="str">
        <f>IF(ISNA(VLOOKUP($F251,Declarations!$B$6:$D$185,3,FALSE)),"",IF(VLOOKUP($F251,Declarations!$B$6:$D$185,3,FALSE)="","NOT DECLARED",VLOOKUP($F251,Declarations!$B$6:$D$185,3,FALSE)&amp;LEFT(VLOOKUP($F251,Declarations!$B$6:$E$185,4,FALSE))))</f>
        <v/>
      </c>
      <c r="F251" s="20"/>
      <c r="G251" s="21"/>
      <c r="H251" s="281"/>
      <c r="I251" s="8" t="str">
        <f>IF(ISNA(VLOOKUP(F251,Declarations!B$6:C$185,2,FALSE)),"",IF(VLOOKUP(F251,Declarations!B$6:C$185,2,FALSE)="","NOT DECLARED",VLOOKUP(F251,Declarations!B$6:C$185,2,FALSE)))</f>
        <v/>
      </c>
      <c r="J251" s="2">
        <f>IF(LOWER(LEFT(G251,1))="n",1,VLOOKUP(G251,ScoringTable!E$2:I$95,5))</f>
        <v>0</v>
      </c>
      <c r="K251" s="112" t="str">
        <f>IF(OR(E251="",G251=""),"",IF(RIGHT(E251,1)="G",_xlfn.XLOOKUP(G251,Data!$D$13:$L$13,Data!$D$9:$L$9,"",-1,1),_xlfn.XLOOKUP(G251,Data!$D$6:$L$6,Data!$D$2:$L$2,"",-1,1)))</f>
        <v/>
      </c>
      <c r="L251" s="160" t="str" cm="1">
        <f t="array" ref="L251">IFERROR(_xlfn.IFNA(
                      _xlfn.IFS(
                      F251="", "",
                      AND(E251="U12B",G251&gt;=Data!$M$6), "U12 Boys record",
                      AND(E251="U12G",G251&gt;=Data!$M$13), "U12 Girls record"
                       ),""), "")</f>
        <v/>
      </c>
      <c r="M251" s="18" cm="1">
        <f t="array" ref="M251">_xlfn.IFS($G251="",0,AND(NOT(ISNUMBER($G251)),LOWER(LEFT($G251,1))&lt;&gt;"n"),"Not a valid distance",OR(LOWER(LEFT($G251,1))="n",$G251&lt;ScoringTable!$P$161),1,RIGHT($E251,1)="B",_xlfn.XLOOKUP($G251,ScoringTable!$P$2:$P$161,ScoringTable!$L$2:$L$161,,-1),TRUE,_xlfn.XLOOKUP($G251,ScoringTable!$V$2:$V$161,ScoringTable!$R$2:$R$161,,-1))</f>
        <v>0</v>
      </c>
    </row>
    <row r="252" spans="1:13" ht="16.05" customHeight="1">
      <c r="A252" s="80" t="s">
        <v>104</v>
      </c>
      <c r="B252" s="79" t="str">
        <f>IF(ISNA(VLOOKUP($F252,Declarations!B$6:C$185,2,FALSE)),"",IF(VLOOKUP($F252,Declarations!B$6:C$185,2,FALSE)="","NOT DECLARED",IF(ISNA(_xlfn.TEXTBEFORE(VLOOKUP($F252,Declarations!B$6:C$185,2,FALSE)," ")),VLOOKUP($F252,Declarations!B$6:C$185,2,FALSE),_xlfn.TEXTBEFORE(VLOOKUP($F252,Declarations!B$6:C$185,2,FALSE)," "))))</f>
        <v/>
      </c>
      <c r="C252" s="79" t="str">
        <f>IF(ISNA(VLOOKUP($F252,Declarations!B$6:C$185,2,FALSE)),"",IF(VLOOKUP($F252,Declarations!B$6:C$185,2,FALSE)="","NOT DECLARED",IF(ISNA(_xlfn.TEXTAFTER(VLOOKUP($F252,Declarations!B$6:C$185,2,FALSE)," ")),VLOOKUP($F252,Declarations!B$6:C$185,2,FALSE),_xlfn.TEXTAFTER(VLOOKUP($F252,Declarations!B$6:C$185,2,FALSE)," "))))</f>
        <v/>
      </c>
      <c r="D252" s="79" t="str">
        <f>IF(ISNA(VLOOKUP($F252,Declarations!$B$6:$F$185,5,FALSE)),"",IF(VLOOKUP($F252,Declarations!$B$6:$F$185,5,FALSE)="","NOT DECLARED",VLOOKUP($F252,Declarations!$B$6:$F$185,5,FALSE)))</f>
        <v/>
      </c>
      <c r="E252" s="112" t="str">
        <f>IF(ISNA(VLOOKUP($F252,Declarations!$B$6:$D$185,3,FALSE)),"",IF(VLOOKUP($F252,Declarations!$B$6:$D$185,3,FALSE)="","NOT DECLARED",VLOOKUP($F252,Declarations!$B$6:$D$185,3,FALSE)&amp;LEFT(VLOOKUP($F252,Declarations!$B$6:$E$185,4,FALSE))))</f>
        <v/>
      </c>
      <c r="F252" s="20"/>
      <c r="G252" s="21"/>
      <c r="H252" s="281"/>
      <c r="I252" s="8" t="str">
        <f>IF(ISNA(VLOOKUP(F252,Declarations!B$6:C$185,2,FALSE)),"",IF(VLOOKUP(F252,Declarations!B$6:C$185,2,FALSE)="","NOT DECLARED",VLOOKUP(F252,Declarations!B$6:C$185,2,FALSE)))</f>
        <v/>
      </c>
      <c r="J252" s="2">
        <f>IF(LOWER(LEFT(G252,1))="n",1,VLOOKUP(G252,ScoringTable!E$2:I$95,5))</f>
        <v>0</v>
      </c>
      <c r="K252" s="112" t="str">
        <f>IF(OR(E252="",G252=""),"",IF(RIGHT(E252,1)="G",_xlfn.XLOOKUP(G252,Data!$D$13:$L$13,Data!$D$9:$L$9,"",-1,1),_xlfn.XLOOKUP(G252,Data!$D$6:$L$6,Data!$D$2:$L$2,"",-1,1)))</f>
        <v/>
      </c>
      <c r="L252" s="160" t="str" cm="1">
        <f t="array" ref="L252">IFERROR(_xlfn.IFNA(
                      _xlfn.IFS(
                      F252="", "",
                      AND(E252="U12B",G252&gt;=Data!$M$6), "U12 Boys record",
                      AND(E252="U12G",G252&gt;=Data!$M$13), "U12 Girls record"
                       ),""), "")</f>
        <v/>
      </c>
      <c r="M252" s="18" cm="1">
        <f t="array" ref="M252">_xlfn.IFS($G252="",0,AND(NOT(ISNUMBER($G252)),LOWER(LEFT($G252,1))&lt;&gt;"n"),"Not a valid distance",OR(LOWER(LEFT($G252,1))="n",$G252&lt;ScoringTable!$P$161),1,RIGHT($E252,1)="B",_xlfn.XLOOKUP($G252,ScoringTable!$P$2:$P$161,ScoringTable!$L$2:$L$161,,-1),TRUE,_xlfn.XLOOKUP($G252,ScoringTable!$V$2:$V$161,ScoringTable!$R$2:$R$161,,-1))</f>
        <v>0</v>
      </c>
    </row>
    <row r="253" spans="1:13" ht="16.05" customHeight="1">
      <c r="A253" s="80" t="s">
        <v>104</v>
      </c>
      <c r="B253" s="79" t="str">
        <f>IF(ISNA(VLOOKUP($F253,Declarations!B$6:C$185,2,FALSE)),"",IF(VLOOKUP($F253,Declarations!B$6:C$185,2,FALSE)="","NOT DECLARED",IF(ISNA(_xlfn.TEXTBEFORE(VLOOKUP($F253,Declarations!B$6:C$185,2,FALSE)," ")),VLOOKUP($F253,Declarations!B$6:C$185,2,FALSE),_xlfn.TEXTBEFORE(VLOOKUP($F253,Declarations!B$6:C$185,2,FALSE)," "))))</f>
        <v/>
      </c>
      <c r="C253" s="79" t="str">
        <f>IF(ISNA(VLOOKUP($F253,Declarations!B$6:C$185,2,FALSE)),"",IF(VLOOKUP($F253,Declarations!B$6:C$185,2,FALSE)="","NOT DECLARED",IF(ISNA(_xlfn.TEXTAFTER(VLOOKUP($F253,Declarations!B$6:C$185,2,FALSE)," ")),VLOOKUP($F253,Declarations!B$6:C$185,2,FALSE),_xlfn.TEXTAFTER(VLOOKUP($F253,Declarations!B$6:C$185,2,FALSE)," "))))</f>
        <v/>
      </c>
      <c r="D253" s="79" t="str">
        <f>IF(ISNA(VLOOKUP($F253,Declarations!$B$6:$F$185,5,FALSE)),"",IF(VLOOKUP($F253,Declarations!$B$6:$F$185,5,FALSE)="","NOT DECLARED",VLOOKUP($F253,Declarations!$B$6:$F$185,5,FALSE)))</f>
        <v/>
      </c>
      <c r="E253" s="112" t="str">
        <f>IF(ISNA(VLOOKUP($F253,Declarations!$B$6:$D$185,3,FALSE)),"",IF(VLOOKUP($F253,Declarations!$B$6:$D$185,3,FALSE)="","NOT DECLARED",VLOOKUP($F253,Declarations!$B$6:$D$185,3,FALSE)&amp;LEFT(VLOOKUP($F253,Declarations!$B$6:$E$185,4,FALSE))))</f>
        <v/>
      </c>
      <c r="F253" s="20"/>
      <c r="G253" s="21"/>
      <c r="H253" s="281"/>
      <c r="I253" s="8" t="str">
        <f>IF(ISNA(VLOOKUP(F253,Declarations!B$6:C$185,2,FALSE)),"",IF(VLOOKUP(F253,Declarations!B$6:C$185,2,FALSE)="","NOT DECLARED",VLOOKUP(F253,Declarations!B$6:C$185,2,FALSE)))</f>
        <v/>
      </c>
      <c r="J253" s="2">
        <f>IF(LOWER(LEFT(G253,1))="n",1,VLOOKUP(G253,ScoringTable!E$2:I$95,5))</f>
        <v>0</v>
      </c>
      <c r="K253" s="112" t="str">
        <f>IF(OR(E253="",G253=""),"",IF(RIGHT(E253,1)="G",_xlfn.XLOOKUP(G253,Data!$D$13:$L$13,Data!$D$9:$L$9,"",-1,1),_xlfn.XLOOKUP(G253,Data!$D$6:$L$6,Data!$D$2:$L$2,"",-1,1)))</f>
        <v/>
      </c>
      <c r="L253" s="160" t="str" cm="1">
        <f t="array" ref="L253">IFERROR(_xlfn.IFNA(
                      _xlfn.IFS(
                      F253="", "",
                      AND(E253="U12B",G253&gt;=Data!$M$6), "U12 Boys record",
                      AND(E253="U12G",G253&gt;=Data!$M$13), "U12 Girls record"
                       ),""), "")</f>
        <v/>
      </c>
      <c r="M253" s="18" cm="1">
        <f t="array" ref="M253">_xlfn.IFS($G253="",0,AND(NOT(ISNUMBER($G253)),LOWER(LEFT($G253,1))&lt;&gt;"n"),"Not a valid distance",OR(LOWER(LEFT($G253,1))="n",$G253&lt;ScoringTable!$P$161),1,RIGHT($E253,1)="B",_xlfn.XLOOKUP($G253,ScoringTable!$P$2:$P$161,ScoringTable!$L$2:$L$161,,-1),TRUE,_xlfn.XLOOKUP($G253,ScoringTable!$V$2:$V$161,ScoringTable!$R$2:$R$161,,-1))</f>
        <v>0</v>
      </c>
    </row>
    <row r="254" spans="1:13" ht="16.05" customHeight="1">
      <c r="A254" s="80" t="s">
        <v>104</v>
      </c>
      <c r="B254" s="79" t="str">
        <f>IF(ISNA(VLOOKUP($F254,Declarations!B$6:C$185,2,FALSE)),"",IF(VLOOKUP($F254,Declarations!B$6:C$185,2,FALSE)="","NOT DECLARED",IF(ISNA(_xlfn.TEXTBEFORE(VLOOKUP($F254,Declarations!B$6:C$185,2,FALSE)," ")),VLOOKUP($F254,Declarations!B$6:C$185,2,FALSE),_xlfn.TEXTBEFORE(VLOOKUP($F254,Declarations!B$6:C$185,2,FALSE)," "))))</f>
        <v/>
      </c>
      <c r="C254" s="79" t="str">
        <f>IF(ISNA(VLOOKUP($F254,Declarations!B$6:C$185,2,FALSE)),"",IF(VLOOKUP($F254,Declarations!B$6:C$185,2,FALSE)="","NOT DECLARED",IF(ISNA(_xlfn.TEXTAFTER(VLOOKUP($F254,Declarations!B$6:C$185,2,FALSE)," ")),VLOOKUP($F254,Declarations!B$6:C$185,2,FALSE),_xlfn.TEXTAFTER(VLOOKUP($F254,Declarations!B$6:C$185,2,FALSE)," "))))</f>
        <v/>
      </c>
      <c r="D254" s="79" t="str">
        <f>IF(ISNA(VLOOKUP($F254,Declarations!$B$6:$F$185,5,FALSE)),"",IF(VLOOKUP($F254,Declarations!$B$6:$F$185,5,FALSE)="","NOT DECLARED",VLOOKUP($F254,Declarations!$B$6:$F$185,5,FALSE)))</f>
        <v/>
      </c>
      <c r="E254" s="112" t="str">
        <f>IF(ISNA(VLOOKUP($F254,Declarations!$B$6:$D$185,3,FALSE)),"",IF(VLOOKUP($F254,Declarations!$B$6:$D$185,3,FALSE)="","NOT DECLARED",VLOOKUP($F254,Declarations!$B$6:$D$185,3,FALSE)&amp;LEFT(VLOOKUP($F254,Declarations!$B$6:$E$185,4,FALSE))))</f>
        <v/>
      </c>
      <c r="F254" s="20"/>
      <c r="G254" s="21"/>
      <c r="H254" s="281"/>
      <c r="I254" s="8" t="str">
        <f>IF(ISNA(VLOOKUP(F254,Declarations!B$6:C$185,2,FALSE)),"",IF(VLOOKUP(F254,Declarations!B$6:C$185,2,FALSE)="","NOT DECLARED",VLOOKUP(F254,Declarations!B$6:C$185,2,FALSE)))</f>
        <v/>
      </c>
      <c r="J254" s="2">
        <f>IF(LOWER(LEFT(G254,1))="n",1,VLOOKUP(G254,ScoringTable!E$2:I$95,5))</f>
        <v>0</v>
      </c>
      <c r="K254" s="112" t="str">
        <f>IF(OR(E254="",G254=""),"",IF(RIGHT(E254,1)="G",_xlfn.XLOOKUP(G254,Data!$D$13:$L$13,Data!$D$9:$L$9,"",-1,1),_xlfn.XLOOKUP(G254,Data!$D$6:$L$6,Data!$D$2:$L$2,"",-1,1)))</f>
        <v/>
      </c>
      <c r="L254" s="160" t="str" cm="1">
        <f t="array" ref="L254">IFERROR(_xlfn.IFNA(
                      _xlfn.IFS(
                      F254="", "",
                      AND(E254="U12B",G254&gt;=Data!$M$6), "U12 Boys record",
                      AND(E254="U12G",G254&gt;=Data!$M$13), "U12 Girls record"
                       ),""), "")</f>
        <v/>
      </c>
      <c r="M254" s="18" cm="1">
        <f t="array" ref="M254">_xlfn.IFS($G254="",0,AND(NOT(ISNUMBER($G254)),LOWER(LEFT($G254,1))&lt;&gt;"n"),"Not a valid distance",OR(LOWER(LEFT($G254,1))="n",$G254&lt;ScoringTable!$P$161),1,RIGHT($E254,1)="B",_xlfn.XLOOKUP($G254,ScoringTable!$P$2:$P$161,ScoringTable!$L$2:$L$161,,-1),TRUE,_xlfn.XLOOKUP($G254,ScoringTable!$V$2:$V$161,ScoringTable!$R$2:$R$161,,-1))</f>
        <v>0</v>
      </c>
    </row>
    <row r="255" spans="1:13" ht="16.05" customHeight="1">
      <c r="A255" s="80" t="s">
        <v>104</v>
      </c>
      <c r="B255" s="79" t="str">
        <f>IF(ISNA(VLOOKUP($F255,Declarations!B$6:C$185,2,FALSE)),"",IF(VLOOKUP($F255,Declarations!B$6:C$185,2,FALSE)="","NOT DECLARED",IF(ISNA(_xlfn.TEXTBEFORE(VLOOKUP($F255,Declarations!B$6:C$185,2,FALSE)," ")),VLOOKUP($F255,Declarations!B$6:C$185,2,FALSE),_xlfn.TEXTBEFORE(VLOOKUP($F255,Declarations!B$6:C$185,2,FALSE)," "))))</f>
        <v/>
      </c>
      <c r="C255" s="79" t="str">
        <f>IF(ISNA(VLOOKUP($F255,Declarations!B$6:C$185,2,FALSE)),"",IF(VLOOKUP($F255,Declarations!B$6:C$185,2,FALSE)="","NOT DECLARED",IF(ISNA(_xlfn.TEXTAFTER(VLOOKUP($F255,Declarations!B$6:C$185,2,FALSE)," ")),VLOOKUP($F255,Declarations!B$6:C$185,2,FALSE),_xlfn.TEXTAFTER(VLOOKUP($F255,Declarations!B$6:C$185,2,FALSE)," "))))</f>
        <v/>
      </c>
      <c r="D255" s="79" t="str">
        <f>IF(ISNA(VLOOKUP($F255,Declarations!$B$6:$F$185,5,FALSE)),"",IF(VLOOKUP($F255,Declarations!$B$6:$F$185,5,FALSE)="","NOT DECLARED",VLOOKUP($F255,Declarations!$B$6:$F$185,5,FALSE)))</f>
        <v/>
      </c>
      <c r="E255" s="112" t="str">
        <f>IF(ISNA(VLOOKUP($F255,Declarations!$B$6:$D$185,3,FALSE)),"",IF(VLOOKUP($F255,Declarations!$B$6:$D$185,3,FALSE)="","NOT DECLARED",VLOOKUP($F255,Declarations!$B$6:$D$185,3,FALSE)&amp;LEFT(VLOOKUP($F255,Declarations!$B$6:$E$185,4,FALSE))))</f>
        <v/>
      </c>
      <c r="F255" s="20"/>
      <c r="G255" s="21"/>
      <c r="H255" s="281"/>
      <c r="I255" s="8" t="str">
        <f>IF(ISNA(VLOOKUP(F255,Declarations!B$6:C$185,2,FALSE)),"",IF(VLOOKUP(F255,Declarations!B$6:C$185,2,FALSE)="","NOT DECLARED",VLOOKUP(F255,Declarations!B$6:C$185,2,FALSE)))</f>
        <v/>
      </c>
      <c r="J255" s="2">
        <f>IF(LOWER(LEFT(G255,1))="n",1,VLOOKUP(G255,ScoringTable!E$2:I$95,5))</f>
        <v>0</v>
      </c>
      <c r="K255" s="112" t="str">
        <f>IF(OR(E255="",G255=""),"",IF(RIGHT(E255,1)="G",_xlfn.XLOOKUP(G255,Data!$D$13:$L$13,Data!$D$9:$L$9,"",-1,1),_xlfn.XLOOKUP(G255,Data!$D$6:$L$6,Data!$D$2:$L$2,"",-1,1)))</f>
        <v/>
      </c>
      <c r="L255" s="160" t="str" cm="1">
        <f t="array" ref="L255">IFERROR(_xlfn.IFNA(
                      _xlfn.IFS(
                      F255="", "",
                      AND(E255="U12B",G255&gt;=Data!$M$6), "U12 Boys record",
                      AND(E255="U12G",G255&gt;=Data!$M$13), "U12 Girls record"
                       ),""), "")</f>
        <v/>
      </c>
      <c r="M255" s="18" cm="1">
        <f t="array" ref="M255">_xlfn.IFS($G255="",0,AND(NOT(ISNUMBER($G255)),LOWER(LEFT($G255,1))&lt;&gt;"n"),"Not a valid distance",OR(LOWER(LEFT($G255,1))="n",$G255&lt;ScoringTable!$P$161),1,RIGHT($E255,1)="B",_xlfn.XLOOKUP($G255,ScoringTable!$P$2:$P$161,ScoringTable!$L$2:$L$161,,-1),TRUE,_xlfn.XLOOKUP($G255,ScoringTable!$V$2:$V$161,ScoringTable!$R$2:$R$161,,-1))</f>
        <v>0</v>
      </c>
    </row>
    <row r="256" spans="1:13" ht="16.05" customHeight="1">
      <c r="A256" s="80" t="s">
        <v>104</v>
      </c>
      <c r="B256" s="79" t="str">
        <f>IF(ISNA(VLOOKUP($F256,Declarations!B$6:C$185,2,FALSE)),"",IF(VLOOKUP($F256,Declarations!B$6:C$185,2,FALSE)="","NOT DECLARED",IF(ISNA(_xlfn.TEXTBEFORE(VLOOKUP($F256,Declarations!B$6:C$185,2,FALSE)," ")),VLOOKUP($F256,Declarations!B$6:C$185,2,FALSE),_xlfn.TEXTBEFORE(VLOOKUP($F256,Declarations!B$6:C$185,2,FALSE)," "))))</f>
        <v/>
      </c>
      <c r="C256" s="79" t="str">
        <f>IF(ISNA(VLOOKUP($F256,Declarations!B$6:C$185,2,FALSE)),"",IF(VLOOKUP($F256,Declarations!B$6:C$185,2,FALSE)="","NOT DECLARED",IF(ISNA(_xlfn.TEXTAFTER(VLOOKUP($F256,Declarations!B$6:C$185,2,FALSE)," ")),VLOOKUP($F256,Declarations!B$6:C$185,2,FALSE),_xlfn.TEXTAFTER(VLOOKUP($F256,Declarations!B$6:C$185,2,FALSE)," "))))</f>
        <v/>
      </c>
      <c r="D256" s="79" t="str">
        <f>IF(ISNA(VLOOKUP($F256,Declarations!$B$6:$F$185,5,FALSE)),"",IF(VLOOKUP($F256,Declarations!$B$6:$F$185,5,FALSE)="","NOT DECLARED",VLOOKUP($F256,Declarations!$B$6:$F$185,5,FALSE)))</f>
        <v/>
      </c>
      <c r="E256" s="112" t="str">
        <f>IF(ISNA(VLOOKUP($F256,Declarations!$B$6:$D$185,3,FALSE)),"",IF(VLOOKUP($F256,Declarations!$B$6:$D$185,3,FALSE)="","NOT DECLARED",VLOOKUP($F256,Declarations!$B$6:$D$185,3,FALSE)&amp;LEFT(VLOOKUP($F256,Declarations!$B$6:$E$185,4,FALSE))))</f>
        <v/>
      </c>
      <c r="F256" s="20"/>
      <c r="G256" s="21"/>
      <c r="H256" s="281"/>
      <c r="I256" s="8" t="str">
        <f>IF(ISNA(VLOOKUP(F256,Declarations!B$6:C$185,2,FALSE)),"",IF(VLOOKUP(F256,Declarations!B$6:C$185,2,FALSE)="","NOT DECLARED",VLOOKUP(F256,Declarations!B$6:C$185,2,FALSE)))</f>
        <v/>
      </c>
      <c r="J256" s="2">
        <f>IF(LOWER(LEFT(G256,1))="n",1,VLOOKUP(G256,ScoringTable!E$2:I$95,5))</f>
        <v>0</v>
      </c>
      <c r="K256" s="112" t="str">
        <f>IF(OR(E256="",G256=""),"",IF(RIGHT(E256,1)="G",_xlfn.XLOOKUP(G256,Data!$D$13:$L$13,Data!$D$9:$L$9,"",-1,1),_xlfn.XLOOKUP(G256,Data!$D$6:$L$6,Data!$D$2:$L$2,"",-1,1)))</f>
        <v/>
      </c>
      <c r="L256" s="160" t="str" cm="1">
        <f t="array" ref="L256">IFERROR(_xlfn.IFNA(
                      _xlfn.IFS(
                      F256="", "",
                      AND(E256="U12B",G256&gt;=Data!$M$6), "U12 Boys record",
                      AND(E256="U12G",G256&gt;=Data!$M$13), "U12 Girls record"
                       ),""), "")</f>
        <v/>
      </c>
      <c r="M256" s="18" cm="1">
        <f t="array" ref="M256">_xlfn.IFS($G256="",0,AND(NOT(ISNUMBER($G256)),LOWER(LEFT($G256,1))&lt;&gt;"n"),"Not a valid distance",OR(LOWER(LEFT($G256,1))="n",$G256&lt;ScoringTable!$P$161),1,RIGHT($E256,1)="B",_xlfn.XLOOKUP($G256,ScoringTable!$P$2:$P$161,ScoringTable!$L$2:$L$161,,-1),TRUE,_xlfn.XLOOKUP($G256,ScoringTable!$V$2:$V$161,ScoringTable!$R$2:$R$161,,-1))</f>
        <v>0</v>
      </c>
    </row>
    <row r="257" spans="1:13" ht="16.05" customHeight="1">
      <c r="A257" s="80" t="s">
        <v>104</v>
      </c>
      <c r="B257" s="79" t="str">
        <f>IF(ISNA(VLOOKUP($F257,Declarations!B$6:C$185,2,FALSE)),"",IF(VLOOKUP($F257,Declarations!B$6:C$185,2,FALSE)="","NOT DECLARED",IF(ISNA(_xlfn.TEXTBEFORE(VLOOKUP($F257,Declarations!B$6:C$185,2,FALSE)," ")),VLOOKUP($F257,Declarations!B$6:C$185,2,FALSE),_xlfn.TEXTBEFORE(VLOOKUP($F257,Declarations!B$6:C$185,2,FALSE)," "))))</f>
        <v/>
      </c>
      <c r="C257" s="79" t="str">
        <f>IF(ISNA(VLOOKUP($F257,Declarations!B$6:C$185,2,FALSE)),"",IF(VLOOKUP($F257,Declarations!B$6:C$185,2,FALSE)="","NOT DECLARED",IF(ISNA(_xlfn.TEXTAFTER(VLOOKUP($F257,Declarations!B$6:C$185,2,FALSE)," ")),VLOOKUP($F257,Declarations!B$6:C$185,2,FALSE),_xlfn.TEXTAFTER(VLOOKUP($F257,Declarations!B$6:C$185,2,FALSE)," "))))</f>
        <v/>
      </c>
      <c r="D257" s="79" t="str">
        <f>IF(ISNA(VLOOKUP($F257,Declarations!$B$6:$F$185,5,FALSE)),"",IF(VLOOKUP($F257,Declarations!$B$6:$F$185,5,FALSE)="","NOT DECLARED",VLOOKUP($F257,Declarations!$B$6:$F$185,5,FALSE)))</f>
        <v/>
      </c>
      <c r="E257" s="112" t="str">
        <f>IF(ISNA(VLOOKUP($F257,Declarations!$B$6:$D$185,3,FALSE)),"",IF(VLOOKUP($F257,Declarations!$B$6:$D$185,3,FALSE)="","NOT DECLARED",VLOOKUP($F257,Declarations!$B$6:$D$185,3,FALSE)&amp;LEFT(VLOOKUP($F257,Declarations!$B$6:$E$185,4,FALSE))))</f>
        <v/>
      </c>
      <c r="F257" s="20"/>
      <c r="G257" s="21"/>
      <c r="H257" s="281"/>
      <c r="I257" s="8" t="str">
        <f>IF(ISNA(VLOOKUP(F257,Declarations!B$6:C$185,2,FALSE)),"",IF(VLOOKUP(F257,Declarations!B$6:C$185,2,FALSE)="","NOT DECLARED",VLOOKUP(F257,Declarations!B$6:C$185,2,FALSE)))</f>
        <v/>
      </c>
      <c r="J257" s="2">
        <f>IF(LOWER(LEFT(G257,1))="n",1,VLOOKUP(G257,ScoringTable!E$2:I$95,5))</f>
        <v>0</v>
      </c>
      <c r="K257" s="112" t="str">
        <f>IF(OR(E257="",G257=""),"",IF(RIGHT(E257,1)="G",_xlfn.XLOOKUP(G257,Data!$D$13:$L$13,Data!$D$9:$L$9,"",-1,1),_xlfn.XLOOKUP(G257,Data!$D$6:$L$6,Data!$D$2:$L$2,"",-1,1)))</f>
        <v/>
      </c>
      <c r="L257" s="160" t="str" cm="1">
        <f t="array" ref="L257">IFERROR(_xlfn.IFNA(
                      _xlfn.IFS(
                      F257="", "",
                      AND(E257="U12B",G257&gt;=Data!$M$6), "U12 Boys record",
                      AND(E257="U12G",G257&gt;=Data!$M$13), "U12 Girls record"
                       ),""), "")</f>
        <v/>
      </c>
      <c r="M257" s="18" cm="1">
        <f t="array" ref="M257">_xlfn.IFS($G257="",0,AND(NOT(ISNUMBER($G257)),LOWER(LEFT($G257,1))&lt;&gt;"n"),"Not a valid distance",OR(LOWER(LEFT($G257,1))="n",$G257&lt;ScoringTable!$P$161),1,RIGHT($E257,1)="B",_xlfn.XLOOKUP($G257,ScoringTable!$P$2:$P$161,ScoringTable!$L$2:$L$161,,-1),TRUE,_xlfn.XLOOKUP($G257,ScoringTable!$V$2:$V$161,ScoringTable!$R$2:$R$161,,-1))</f>
        <v>0</v>
      </c>
    </row>
    <row r="258" spans="1:13" ht="16.05" customHeight="1">
      <c r="A258" s="80" t="s">
        <v>104</v>
      </c>
      <c r="B258" s="79" t="str">
        <f>IF(ISNA(VLOOKUP($F258,Declarations!B$6:C$185,2,FALSE)),"",IF(VLOOKUP($F258,Declarations!B$6:C$185,2,FALSE)="","NOT DECLARED",IF(ISNA(_xlfn.TEXTBEFORE(VLOOKUP($F258,Declarations!B$6:C$185,2,FALSE)," ")),VLOOKUP($F258,Declarations!B$6:C$185,2,FALSE),_xlfn.TEXTBEFORE(VLOOKUP($F258,Declarations!B$6:C$185,2,FALSE)," "))))</f>
        <v/>
      </c>
      <c r="C258" s="79" t="str">
        <f>IF(ISNA(VLOOKUP($F258,Declarations!B$6:C$185,2,FALSE)),"",IF(VLOOKUP($F258,Declarations!B$6:C$185,2,FALSE)="","NOT DECLARED",IF(ISNA(_xlfn.TEXTAFTER(VLOOKUP($F258,Declarations!B$6:C$185,2,FALSE)," ")),VLOOKUP($F258,Declarations!B$6:C$185,2,FALSE),_xlfn.TEXTAFTER(VLOOKUP($F258,Declarations!B$6:C$185,2,FALSE)," "))))</f>
        <v/>
      </c>
      <c r="D258" s="79" t="str">
        <f>IF(ISNA(VLOOKUP($F258,Declarations!$B$6:$F$185,5,FALSE)),"",IF(VLOOKUP($F258,Declarations!$B$6:$F$185,5,FALSE)="","NOT DECLARED",VLOOKUP($F258,Declarations!$B$6:$F$185,5,FALSE)))</f>
        <v/>
      </c>
      <c r="E258" s="112" t="str">
        <f>IF(ISNA(VLOOKUP($F258,Declarations!$B$6:$D$185,3,FALSE)),"",IF(VLOOKUP($F258,Declarations!$B$6:$D$185,3,FALSE)="","NOT DECLARED",VLOOKUP($F258,Declarations!$B$6:$D$185,3,FALSE)&amp;LEFT(VLOOKUP($F258,Declarations!$B$6:$E$185,4,FALSE))))</f>
        <v/>
      </c>
      <c r="F258" s="20"/>
      <c r="G258" s="21"/>
      <c r="H258" s="281"/>
      <c r="I258" s="8" t="str">
        <f>IF(ISNA(VLOOKUP(F258,Declarations!B$6:C$185,2,FALSE)),"",IF(VLOOKUP(F258,Declarations!B$6:C$185,2,FALSE)="","NOT DECLARED",VLOOKUP(F258,Declarations!B$6:C$185,2,FALSE)))</f>
        <v/>
      </c>
      <c r="J258" s="2">
        <f>IF(LOWER(LEFT(G258,1))="n",1,VLOOKUP(G258,ScoringTable!E$2:I$95,5))</f>
        <v>0</v>
      </c>
      <c r="K258" s="112" t="str">
        <f>IF(OR(E258="",G258=""),"",IF(RIGHT(E258,1)="G",_xlfn.XLOOKUP(G258,Data!$D$13:$L$13,Data!$D$9:$L$9,"",-1,1),_xlfn.XLOOKUP(G258,Data!$D$6:$L$6,Data!$D$2:$L$2,"",-1,1)))</f>
        <v/>
      </c>
      <c r="L258" s="160" t="str" cm="1">
        <f t="array" ref="L258">IFERROR(_xlfn.IFNA(
                      _xlfn.IFS(
                      F258="", "",
                      AND(E258="U12B",G258&gt;=Data!$M$6), "U12 Boys record",
                      AND(E258="U12G",G258&gt;=Data!$M$13), "U12 Girls record"
                       ),""), "")</f>
        <v/>
      </c>
      <c r="M258" s="18" cm="1">
        <f t="array" ref="M258">_xlfn.IFS($G258="",0,AND(NOT(ISNUMBER($G258)),LOWER(LEFT($G258,1))&lt;&gt;"n"),"Not a valid distance",OR(LOWER(LEFT($G258,1))="n",$G258&lt;ScoringTable!$P$161),1,RIGHT($E258,1)="B",_xlfn.XLOOKUP($G258,ScoringTable!$P$2:$P$161,ScoringTable!$L$2:$L$161,,-1),TRUE,_xlfn.XLOOKUP($G258,ScoringTable!$V$2:$V$161,ScoringTable!$R$2:$R$161,,-1))</f>
        <v>0</v>
      </c>
    </row>
    <row r="259" spans="1:13" ht="16.05" customHeight="1">
      <c r="A259" s="80" t="s">
        <v>104</v>
      </c>
      <c r="B259" s="79" t="str">
        <f>IF(ISNA(VLOOKUP($F259,Declarations!B$6:C$185,2,FALSE)),"",IF(VLOOKUP($F259,Declarations!B$6:C$185,2,FALSE)="","NOT DECLARED",IF(ISNA(_xlfn.TEXTBEFORE(VLOOKUP($F259,Declarations!B$6:C$185,2,FALSE)," ")),VLOOKUP($F259,Declarations!B$6:C$185,2,FALSE),_xlfn.TEXTBEFORE(VLOOKUP($F259,Declarations!B$6:C$185,2,FALSE)," "))))</f>
        <v/>
      </c>
      <c r="C259" s="79" t="str">
        <f>IF(ISNA(VLOOKUP($F259,Declarations!B$6:C$185,2,FALSE)),"",IF(VLOOKUP($F259,Declarations!B$6:C$185,2,FALSE)="","NOT DECLARED",IF(ISNA(_xlfn.TEXTAFTER(VLOOKUP($F259,Declarations!B$6:C$185,2,FALSE)," ")),VLOOKUP($F259,Declarations!B$6:C$185,2,FALSE),_xlfn.TEXTAFTER(VLOOKUP($F259,Declarations!B$6:C$185,2,FALSE)," "))))</f>
        <v/>
      </c>
      <c r="D259" s="79" t="str">
        <f>IF(ISNA(VLOOKUP($F259,Declarations!$B$6:$F$185,5,FALSE)),"",IF(VLOOKUP($F259,Declarations!$B$6:$F$185,5,FALSE)="","NOT DECLARED",VLOOKUP($F259,Declarations!$B$6:$F$185,5,FALSE)))</f>
        <v/>
      </c>
      <c r="E259" s="112" t="str">
        <f>IF(ISNA(VLOOKUP($F259,Declarations!$B$6:$D$185,3,FALSE)),"",IF(VLOOKUP($F259,Declarations!$B$6:$D$185,3,FALSE)="","NOT DECLARED",VLOOKUP($F259,Declarations!$B$6:$D$185,3,FALSE)&amp;LEFT(VLOOKUP($F259,Declarations!$B$6:$E$185,4,FALSE))))</f>
        <v/>
      </c>
      <c r="F259" s="20"/>
      <c r="G259" s="21"/>
      <c r="H259" s="281"/>
      <c r="I259" s="8" t="str">
        <f>IF(ISNA(VLOOKUP(F259,Declarations!B$6:C$185,2,FALSE)),"",IF(VLOOKUP(F259,Declarations!B$6:C$185,2,FALSE)="","NOT DECLARED",VLOOKUP(F259,Declarations!B$6:C$185,2,FALSE)))</f>
        <v/>
      </c>
      <c r="J259" s="2">
        <f>IF(LOWER(LEFT(G259,1))="n",1,VLOOKUP(G259,ScoringTable!E$2:I$95,5))</f>
        <v>0</v>
      </c>
      <c r="K259" s="112" t="str">
        <f>IF(OR(E259="",G259=""),"",IF(RIGHT(E259,1)="G",_xlfn.XLOOKUP(G259,Data!$D$13:$L$13,Data!$D$9:$L$9,"",-1,1),_xlfn.XLOOKUP(G259,Data!$D$6:$L$6,Data!$D$2:$L$2,"",-1,1)))</f>
        <v/>
      </c>
      <c r="L259" s="160" t="str" cm="1">
        <f t="array" ref="L259">IFERROR(_xlfn.IFNA(
                      _xlfn.IFS(
                      F259="", "",
                      AND(E259="U12B",G259&gt;=Data!$M$6), "U12 Boys record",
                      AND(E259="U12G",G259&gt;=Data!$M$13), "U12 Girls record"
                       ),""), "")</f>
        <v/>
      </c>
      <c r="M259" s="18" cm="1">
        <f t="array" ref="M259">_xlfn.IFS($G259="",0,AND(NOT(ISNUMBER($G259)),LOWER(LEFT($G259,1))&lt;&gt;"n"),"Not a valid distance",OR(LOWER(LEFT($G259,1))="n",$G259&lt;ScoringTable!$P$161),1,RIGHT($E259,1)="B",_xlfn.XLOOKUP($G259,ScoringTable!$P$2:$P$161,ScoringTable!$L$2:$L$161,,-1),TRUE,_xlfn.XLOOKUP($G259,ScoringTable!$V$2:$V$161,ScoringTable!$R$2:$R$161,,-1))</f>
        <v>0</v>
      </c>
    </row>
    <row r="260" spans="1:13" ht="16.05" customHeight="1">
      <c r="A260" s="80" t="s">
        <v>104</v>
      </c>
      <c r="B260" s="79" t="str">
        <f>IF(ISNA(VLOOKUP($F260,Declarations!B$6:C$185,2,FALSE)),"",IF(VLOOKUP($F260,Declarations!B$6:C$185,2,FALSE)="","NOT DECLARED",IF(ISNA(_xlfn.TEXTBEFORE(VLOOKUP($F260,Declarations!B$6:C$185,2,FALSE)," ")),VLOOKUP($F260,Declarations!B$6:C$185,2,FALSE),_xlfn.TEXTBEFORE(VLOOKUP($F260,Declarations!B$6:C$185,2,FALSE)," "))))</f>
        <v/>
      </c>
      <c r="C260" s="79" t="str">
        <f>IF(ISNA(VLOOKUP($F260,Declarations!B$6:C$185,2,FALSE)),"",IF(VLOOKUP($F260,Declarations!B$6:C$185,2,FALSE)="","NOT DECLARED",IF(ISNA(_xlfn.TEXTAFTER(VLOOKUP($F260,Declarations!B$6:C$185,2,FALSE)," ")),VLOOKUP($F260,Declarations!B$6:C$185,2,FALSE),_xlfn.TEXTAFTER(VLOOKUP($F260,Declarations!B$6:C$185,2,FALSE)," "))))</f>
        <v/>
      </c>
      <c r="D260" s="79" t="str">
        <f>IF(ISNA(VLOOKUP($F260,Declarations!$B$6:$F$185,5,FALSE)),"",IF(VLOOKUP($F260,Declarations!$B$6:$F$185,5,FALSE)="","NOT DECLARED",VLOOKUP($F260,Declarations!$B$6:$F$185,5,FALSE)))</f>
        <v/>
      </c>
      <c r="E260" s="112" t="str">
        <f>IF(ISNA(VLOOKUP($F260,Declarations!$B$6:$D$185,3,FALSE)),"",IF(VLOOKUP($F260,Declarations!$B$6:$D$185,3,FALSE)="","NOT DECLARED",VLOOKUP($F260,Declarations!$B$6:$D$185,3,FALSE)&amp;LEFT(VLOOKUP($F260,Declarations!$B$6:$E$185,4,FALSE))))</f>
        <v/>
      </c>
      <c r="F260" s="20"/>
      <c r="G260" s="21"/>
      <c r="H260" s="281"/>
      <c r="I260" s="8" t="str">
        <f>IF(ISNA(VLOOKUP(F260,Declarations!B$6:C$185,2,FALSE)),"",IF(VLOOKUP(F260,Declarations!B$6:C$185,2,FALSE)="","NOT DECLARED",VLOOKUP(F260,Declarations!B$6:C$185,2,FALSE)))</f>
        <v/>
      </c>
      <c r="J260" s="2">
        <f>IF(LOWER(LEFT(G260,1))="n",1,VLOOKUP(G260,ScoringTable!E$2:I$95,5))</f>
        <v>0</v>
      </c>
      <c r="K260" s="112" t="str">
        <f>IF(OR(E260="",G260=""),"",IF(RIGHT(E260,1)="G",_xlfn.XLOOKUP(G260,Data!$D$13:$L$13,Data!$D$9:$L$9,"",-1,1),_xlfn.XLOOKUP(G260,Data!$D$6:$L$6,Data!$D$2:$L$2,"",-1,1)))</f>
        <v/>
      </c>
      <c r="L260" s="160" t="str" cm="1">
        <f t="array" ref="L260">IFERROR(_xlfn.IFNA(
                      _xlfn.IFS(
                      F260="", "",
                      AND(E260="U12B",G260&gt;=Data!$M$6), "U12 Boys record",
                      AND(E260="U12G",G260&gt;=Data!$M$13), "U12 Girls record"
                       ),""), "")</f>
        <v/>
      </c>
      <c r="M260" s="18" cm="1">
        <f t="array" ref="M260">_xlfn.IFS($G260="",0,AND(NOT(ISNUMBER($G260)),LOWER(LEFT($G260,1))&lt;&gt;"n"),"Not a valid distance",OR(LOWER(LEFT($G260,1))="n",$G260&lt;ScoringTable!$P$161),1,RIGHT($E260,1)="B",_xlfn.XLOOKUP($G260,ScoringTable!$P$2:$P$161,ScoringTable!$L$2:$L$161,,-1),TRUE,_xlfn.XLOOKUP($G260,ScoringTable!$V$2:$V$161,ScoringTable!$R$2:$R$161,,-1))</f>
        <v>0</v>
      </c>
    </row>
    <row r="261" spans="1:13" ht="16.05" customHeight="1">
      <c r="A261" s="80" t="s">
        <v>104</v>
      </c>
      <c r="B261" s="79" t="str">
        <f>IF(ISNA(VLOOKUP($F261,Declarations!B$6:C$185,2,FALSE)),"",IF(VLOOKUP($F261,Declarations!B$6:C$185,2,FALSE)="","NOT DECLARED",IF(ISNA(_xlfn.TEXTBEFORE(VLOOKUP($F261,Declarations!B$6:C$185,2,FALSE)," ")),VLOOKUP($F261,Declarations!B$6:C$185,2,FALSE),_xlfn.TEXTBEFORE(VLOOKUP($F261,Declarations!B$6:C$185,2,FALSE)," "))))</f>
        <v/>
      </c>
      <c r="C261" s="79" t="str">
        <f>IF(ISNA(VLOOKUP($F261,Declarations!B$6:C$185,2,FALSE)),"",IF(VLOOKUP($F261,Declarations!B$6:C$185,2,FALSE)="","NOT DECLARED",IF(ISNA(_xlfn.TEXTAFTER(VLOOKUP($F261,Declarations!B$6:C$185,2,FALSE)," ")),VLOOKUP($F261,Declarations!B$6:C$185,2,FALSE),_xlfn.TEXTAFTER(VLOOKUP($F261,Declarations!B$6:C$185,2,FALSE)," "))))</f>
        <v/>
      </c>
      <c r="D261" s="79" t="str">
        <f>IF(ISNA(VLOOKUP($F261,Declarations!$B$6:$F$185,5,FALSE)),"",IF(VLOOKUP($F261,Declarations!$B$6:$F$185,5,FALSE)="","NOT DECLARED",VLOOKUP($F261,Declarations!$B$6:$F$185,5,FALSE)))</f>
        <v/>
      </c>
      <c r="E261" s="112" t="str">
        <f>IF(ISNA(VLOOKUP($F261,Declarations!$B$6:$D$185,3,FALSE)),"",IF(VLOOKUP($F261,Declarations!$B$6:$D$185,3,FALSE)="","NOT DECLARED",VLOOKUP($F261,Declarations!$B$6:$D$185,3,FALSE)&amp;LEFT(VLOOKUP($F261,Declarations!$B$6:$E$185,4,FALSE))))</f>
        <v/>
      </c>
      <c r="F261" s="20"/>
      <c r="G261" s="21"/>
      <c r="H261" s="281"/>
      <c r="I261" s="8" t="str">
        <f>IF(ISNA(VLOOKUP(F261,Declarations!B$6:C$185,2,FALSE)),"",IF(VLOOKUP(F261,Declarations!B$6:C$185,2,FALSE)="","NOT DECLARED",VLOOKUP(F261,Declarations!B$6:C$185,2,FALSE)))</f>
        <v/>
      </c>
      <c r="J261" s="2">
        <f>IF(LOWER(LEFT(G261,1))="n",1,VLOOKUP(G261,ScoringTable!E$2:I$95,5))</f>
        <v>0</v>
      </c>
      <c r="K261" s="112" t="str">
        <f>IF(OR(E261="",G261=""),"",IF(RIGHT(E261,1)="G",_xlfn.XLOOKUP(G261,Data!$D$13:$L$13,Data!$D$9:$L$9,"",-1,1),_xlfn.XLOOKUP(G261,Data!$D$6:$L$6,Data!$D$2:$L$2,"",-1,1)))</f>
        <v/>
      </c>
      <c r="L261" s="160" t="str" cm="1">
        <f t="array" ref="L261">IFERROR(_xlfn.IFNA(
                      _xlfn.IFS(
                      F261="", "",
                      AND(E261="U12B",G261&gt;=Data!$M$6), "U12 Boys record",
                      AND(E261="U12G",G261&gt;=Data!$M$13), "U12 Girls record"
                       ),""), "")</f>
        <v/>
      </c>
      <c r="M261" s="18" cm="1">
        <f t="array" ref="M261">_xlfn.IFS($G261="",0,AND(NOT(ISNUMBER($G261)),LOWER(LEFT($G261,1))&lt;&gt;"n"),"Not a valid distance",OR(LOWER(LEFT($G261,1))="n",$G261&lt;ScoringTable!$P$161),1,RIGHT($E261,1)="B",_xlfn.XLOOKUP($G261,ScoringTable!$P$2:$P$161,ScoringTable!$L$2:$L$161,,-1),TRUE,_xlfn.XLOOKUP($G261,ScoringTable!$V$2:$V$161,ScoringTable!$R$2:$R$161,,-1))</f>
        <v>0</v>
      </c>
    </row>
    <row r="262" spans="1:13" ht="16.05" customHeight="1">
      <c r="A262" s="80" t="s">
        <v>104</v>
      </c>
      <c r="B262" s="79" t="str">
        <f>IF(ISNA(VLOOKUP($F262,Declarations!B$6:C$185,2,FALSE)),"",IF(VLOOKUP($F262,Declarations!B$6:C$185,2,FALSE)="","NOT DECLARED",IF(ISNA(_xlfn.TEXTBEFORE(VLOOKUP($F262,Declarations!B$6:C$185,2,FALSE)," ")),VLOOKUP($F262,Declarations!B$6:C$185,2,FALSE),_xlfn.TEXTBEFORE(VLOOKUP($F262,Declarations!B$6:C$185,2,FALSE)," "))))</f>
        <v/>
      </c>
      <c r="C262" s="79" t="str">
        <f>IF(ISNA(VLOOKUP($F262,Declarations!B$6:C$185,2,FALSE)),"",IF(VLOOKUP($F262,Declarations!B$6:C$185,2,FALSE)="","NOT DECLARED",IF(ISNA(_xlfn.TEXTAFTER(VLOOKUP($F262,Declarations!B$6:C$185,2,FALSE)," ")),VLOOKUP($F262,Declarations!B$6:C$185,2,FALSE),_xlfn.TEXTAFTER(VLOOKUP($F262,Declarations!B$6:C$185,2,FALSE)," "))))</f>
        <v/>
      </c>
      <c r="D262" s="79" t="str">
        <f>IF(ISNA(VLOOKUP($F262,Declarations!$B$6:$F$185,5,FALSE)),"",IF(VLOOKUP($F262,Declarations!$B$6:$F$185,5,FALSE)="","NOT DECLARED",VLOOKUP($F262,Declarations!$B$6:$F$185,5,FALSE)))</f>
        <v/>
      </c>
      <c r="E262" s="112" t="str">
        <f>IF(ISNA(VLOOKUP($F262,Declarations!$B$6:$D$185,3,FALSE)),"",IF(VLOOKUP($F262,Declarations!$B$6:$D$185,3,FALSE)="","NOT DECLARED",VLOOKUP($F262,Declarations!$B$6:$D$185,3,FALSE)&amp;LEFT(VLOOKUP($F262,Declarations!$B$6:$E$185,4,FALSE))))</f>
        <v/>
      </c>
      <c r="F262" s="20"/>
      <c r="G262" s="21"/>
      <c r="H262" s="281"/>
      <c r="I262" s="8" t="str">
        <f>IF(ISNA(VLOOKUP(F262,Declarations!B$6:C$185,2,FALSE)),"",IF(VLOOKUP(F262,Declarations!B$6:C$185,2,FALSE)="","NOT DECLARED",VLOOKUP(F262,Declarations!B$6:C$185,2,FALSE)))</f>
        <v/>
      </c>
      <c r="J262" s="2">
        <f>IF(LOWER(LEFT(G262,1))="n",1,VLOOKUP(G262,ScoringTable!E$2:I$95,5))</f>
        <v>0</v>
      </c>
      <c r="K262" s="112" t="str">
        <f>IF(OR(E262="",G262=""),"",IF(RIGHT(E262,1)="G",_xlfn.XLOOKUP(G262,Data!$D$13:$L$13,Data!$D$9:$L$9,"",-1,1),_xlfn.XLOOKUP(G262,Data!$D$6:$L$6,Data!$D$2:$L$2,"",-1,1)))</f>
        <v/>
      </c>
      <c r="L262" s="160" t="str" cm="1">
        <f t="array" ref="L262">IFERROR(_xlfn.IFNA(
                      _xlfn.IFS(
                      F262="", "",
                      AND(E262="U12B",G262&gt;=Data!$M$6), "U12 Boys record",
                      AND(E262="U12G",G262&gt;=Data!$M$13), "U12 Girls record"
                       ),""), "")</f>
        <v/>
      </c>
      <c r="M262" s="18" cm="1">
        <f t="array" ref="M262">_xlfn.IFS($G262="",0,AND(NOT(ISNUMBER($G262)),LOWER(LEFT($G262,1))&lt;&gt;"n"),"Not a valid distance",OR(LOWER(LEFT($G262,1))="n",$G262&lt;ScoringTable!$P$161),1,RIGHT($E262,1)="B",_xlfn.XLOOKUP($G262,ScoringTable!$P$2:$P$161,ScoringTable!$L$2:$L$161,,-1),TRUE,_xlfn.XLOOKUP($G262,ScoringTable!$V$2:$V$161,ScoringTable!$R$2:$R$161,,-1))</f>
        <v>0</v>
      </c>
    </row>
    <row r="263" spans="1:13" ht="16.05" customHeight="1">
      <c r="A263" s="80" t="s">
        <v>104</v>
      </c>
      <c r="B263" s="79" t="str">
        <f>IF(ISNA(VLOOKUP($F263,Declarations!B$6:C$185,2,FALSE)),"",IF(VLOOKUP($F263,Declarations!B$6:C$185,2,FALSE)="","NOT DECLARED",IF(ISNA(_xlfn.TEXTBEFORE(VLOOKUP($F263,Declarations!B$6:C$185,2,FALSE)," ")),VLOOKUP($F263,Declarations!B$6:C$185,2,FALSE),_xlfn.TEXTBEFORE(VLOOKUP($F263,Declarations!B$6:C$185,2,FALSE)," "))))</f>
        <v/>
      </c>
      <c r="C263" s="79" t="str">
        <f>IF(ISNA(VLOOKUP($F263,Declarations!B$6:C$185,2,FALSE)),"",IF(VLOOKUP($F263,Declarations!B$6:C$185,2,FALSE)="","NOT DECLARED",IF(ISNA(_xlfn.TEXTAFTER(VLOOKUP($F263,Declarations!B$6:C$185,2,FALSE)," ")),VLOOKUP($F263,Declarations!B$6:C$185,2,FALSE),_xlfn.TEXTAFTER(VLOOKUP($F263,Declarations!B$6:C$185,2,FALSE)," "))))</f>
        <v/>
      </c>
      <c r="D263" s="79" t="str">
        <f>IF(ISNA(VLOOKUP($F263,Declarations!$B$6:$F$185,5,FALSE)),"",IF(VLOOKUP($F263,Declarations!$B$6:$F$185,5,FALSE)="","NOT DECLARED",VLOOKUP($F263,Declarations!$B$6:$F$185,5,FALSE)))</f>
        <v/>
      </c>
      <c r="E263" s="112" t="str">
        <f>IF(ISNA(VLOOKUP($F263,Declarations!$B$6:$D$185,3,FALSE)),"",IF(VLOOKUP($F263,Declarations!$B$6:$D$185,3,FALSE)="","NOT DECLARED",VLOOKUP($F263,Declarations!$B$6:$D$185,3,FALSE)&amp;LEFT(VLOOKUP($F263,Declarations!$B$6:$E$185,4,FALSE))))</f>
        <v/>
      </c>
      <c r="F263" s="20"/>
      <c r="G263" s="21"/>
      <c r="H263" s="281"/>
      <c r="I263" s="8" t="str">
        <f>IF(ISNA(VLOOKUP(F263,Declarations!B$6:C$185,2,FALSE)),"",IF(VLOOKUP(F263,Declarations!B$6:C$185,2,FALSE)="","NOT DECLARED",VLOOKUP(F263,Declarations!B$6:C$185,2,FALSE)))</f>
        <v/>
      </c>
      <c r="J263" s="2">
        <f>IF(LOWER(LEFT(G263,1))="n",1,VLOOKUP(G263,ScoringTable!E$2:I$95,5))</f>
        <v>0</v>
      </c>
      <c r="K263" s="112" t="str">
        <f>IF(OR(E263="",G263=""),"",IF(RIGHT(E263,1)="G",_xlfn.XLOOKUP(G263,Data!$D$13:$L$13,Data!$D$9:$L$9,"",-1,1),_xlfn.XLOOKUP(G263,Data!$D$6:$L$6,Data!$D$2:$L$2,"",-1,1)))</f>
        <v/>
      </c>
      <c r="L263" s="160" t="str" cm="1">
        <f t="array" ref="L263">IFERROR(_xlfn.IFNA(
                      _xlfn.IFS(
                      F263="", "",
                      AND(E263="U12B",G263&gt;=Data!$M$6), "U12 Boys record",
                      AND(E263="U12G",G263&gt;=Data!$M$13), "U12 Girls record"
                       ),""), "")</f>
        <v/>
      </c>
      <c r="M263" s="18" cm="1">
        <f t="array" ref="M263">_xlfn.IFS($G263="",0,AND(NOT(ISNUMBER($G263)),LOWER(LEFT($G263,1))&lt;&gt;"n"),"Not a valid distance",OR(LOWER(LEFT($G263,1))="n",$G263&lt;ScoringTable!$P$161),1,RIGHT($E263,1)="B",_xlfn.XLOOKUP($G263,ScoringTable!$P$2:$P$161,ScoringTable!$L$2:$L$161,,-1),TRUE,_xlfn.XLOOKUP($G263,ScoringTable!$V$2:$V$161,ScoringTable!$R$2:$R$161,,-1))</f>
        <v>0</v>
      </c>
    </row>
    <row r="264" spans="1:13" ht="16.05" customHeight="1">
      <c r="A264" s="80" t="s">
        <v>104</v>
      </c>
      <c r="B264" s="79" t="str">
        <f>IF(ISNA(VLOOKUP($F264,Declarations!B$6:C$185,2,FALSE)),"",IF(VLOOKUP($F264,Declarations!B$6:C$185,2,FALSE)="","NOT DECLARED",IF(ISNA(_xlfn.TEXTBEFORE(VLOOKUP($F264,Declarations!B$6:C$185,2,FALSE)," ")),VLOOKUP($F264,Declarations!B$6:C$185,2,FALSE),_xlfn.TEXTBEFORE(VLOOKUP($F264,Declarations!B$6:C$185,2,FALSE)," "))))</f>
        <v/>
      </c>
      <c r="C264" s="79" t="str">
        <f>IF(ISNA(VLOOKUP($F264,Declarations!B$6:C$185,2,FALSE)),"",IF(VLOOKUP($F264,Declarations!B$6:C$185,2,FALSE)="","NOT DECLARED",IF(ISNA(_xlfn.TEXTAFTER(VLOOKUP($F264,Declarations!B$6:C$185,2,FALSE)," ")),VLOOKUP($F264,Declarations!B$6:C$185,2,FALSE),_xlfn.TEXTAFTER(VLOOKUP($F264,Declarations!B$6:C$185,2,FALSE)," "))))</f>
        <v/>
      </c>
      <c r="D264" s="79" t="str">
        <f>IF(ISNA(VLOOKUP($F264,Declarations!$B$6:$F$185,5,FALSE)),"",IF(VLOOKUP($F264,Declarations!$B$6:$F$185,5,FALSE)="","NOT DECLARED",VLOOKUP($F264,Declarations!$B$6:$F$185,5,FALSE)))</f>
        <v/>
      </c>
      <c r="E264" s="112" t="str">
        <f>IF(ISNA(VLOOKUP($F264,Declarations!$B$6:$D$185,3,FALSE)),"",IF(VLOOKUP($F264,Declarations!$B$6:$D$185,3,FALSE)="","NOT DECLARED",VLOOKUP($F264,Declarations!$B$6:$D$185,3,FALSE)&amp;LEFT(VLOOKUP($F264,Declarations!$B$6:$E$185,4,FALSE))))</f>
        <v/>
      </c>
      <c r="F264" s="20"/>
      <c r="G264" s="21"/>
      <c r="H264" s="281"/>
      <c r="I264" s="8" t="str">
        <f>IF(ISNA(VLOOKUP(F264,Declarations!B$6:C$185,2,FALSE)),"",IF(VLOOKUP(F264,Declarations!B$6:C$185,2,FALSE)="","NOT DECLARED",VLOOKUP(F264,Declarations!B$6:C$185,2,FALSE)))</f>
        <v/>
      </c>
      <c r="J264" s="2">
        <f>IF(LOWER(LEFT(G264,1))="n",1,VLOOKUP(G264,ScoringTable!E$2:I$95,5))</f>
        <v>0</v>
      </c>
      <c r="K264" s="112" t="str">
        <f>IF(OR(E264="",G264=""),"",IF(RIGHT(E264,1)="G",_xlfn.XLOOKUP(G264,Data!$D$13:$L$13,Data!$D$9:$L$9,"",-1,1),_xlfn.XLOOKUP(G264,Data!$D$6:$L$6,Data!$D$2:$L$2,"",-1,1)))</f>
        <v/>
      </c>
      <c r="L264" s="160" t="str" cm="1">
        <f t="array" ref="L264">IFERROR(_xlfn.IFNA(
                      _xlfn.IFS(
                      F264="", "",
                      AND(E264="U12B",G264&gt;=Data!$M$6), "U12 Boys record",
                      AND(E264="U12G",G264&gt;=Data!$M$13), "U12 Girls record"
                       ),""), "")</f>
        <v/>
      </c>
      <c r="M264" s="18" cm="1">
        <f t="array" ref="M264">_xlfn.IFS($G264="",0,AND(NOT(ISNUMBER($G264)),LOWER(LEFT($G264,1))&lt;&gt;"n"),"Not a valid distance",OR(LOWER(LEFT($G264,1))="n",$G264&lt;ScoringTable!$P$161),1,RIGHT($E264,1)="B",_xlfn.XLOOKUP($G264,ScoringTable!$P$2:$P$161,ScoringTable!$L$2:$L$161,,-1),TRUE,_xlfn.XLOOKUP($G264,ScoringTable!$V$2:$V$161,ScoringTable!$R$2:$R$161,,-1))</f>
        <v>0</v>
      </c>
    </row>
    <row r="265" spans="1:13" ht="16.05" customHeight="1">
      <c r="A265" s="80" t="s">
        <v>104</v>
      </c>
      <c r="B265" s="79" t="str">
        <f>IF(ISNA(VLOOKUP($F265,Declarations!B$6:C$185,2,FALSE)),"",IF(VLOOKUP($F265,Declarations!B$6:C$185,2,FALSE)="","NOT DECLARED",IF(ISNA(_xlfn.TEXTBEFORE(VLOOKUP($F265,Declarations!B$6:C$185,2,FALSE)," ")),VLOOKUP($F265,Declarations!B$6:C$185,2,FALSE),_xlfn.TEXTBEFORE(VLOOKUP($F265,Declarations!B$6:C$185,2,FALSE)," "))))</f>
        <v/>
      </c>
      <c r="C265" s="79" t="str">
        <f>IF(ISNA(VLOOKUP($F265,Declarations!B$6:C$185,2,FALSE)),"",IF(VLOOKUP($F265,Declarations!B$6:C$185,2,FALSE)="","NOT DECLARED",IF(ISNA(_xlfn.TEXTAFTER(VLOOKUP($F265,Declarations!B$6:C$185,2,FALSE)," ")),VLOOKUP($F265,Declarations!B$6:C$185,2,FALSE),_xlfn.TEXTAFTER(VLOOKUP($F265,Declarations!B$6:C$185,2,FALSE)," "))))</f>
        <v/>
      </c>
      <c r="D265" s="79" t="str">
        <f>IF(ISNA(VLOOKUP($F265,Declarations!$B$6:$F$185,5,FALSE)),"",IF(VLOOKUP($F265,Declarations!$B$6:$F$185,5,FALSE)="","NOT DECLARED",VLOOKUP($F265,Declarations!$B$6:$F$185,5,FALSE)))</f>
        <v/>
      </c>
      <c r="E265" s="112" t="str">
        <f>IF(ISNA(VLOOKUP($F265,Declarations!$B$6:$D$185,3,FALSE)),"",IF(VLOOKUP($F265,Declarations!$B$6:$D$185,3,FALSE)="","NOT DECLARED",VLOOKUP($F265,Declarations!$B$6:$D$185,3,FALSE)&amp;LEFT(VLOOKUP($F265,Declarations!$B$6:$E$185,4,FALSE))))</f>
        <v/>
      </c>
      <c r="F265" s="20"/>
      <c r="G265" s="21"/>
      <c r="H265" s="281"/>
      <c r="I265" s="8" t="str">
        <f>IF(ISNA(VLOOKUP(F265,Declarations!B$6:C$185,2,FALSE)),"",IF(VLOOKUP(F265,Declarations!B$6:C$185,2,FALSE)="","NOT DECLARED",VLOOKUP(F265,Declarations!B$6:C$185,2,FALSE)))</f>
        <v/>
      </c>
      <c r="J265" s="2">
        <f>IF(LOWER(LEFT(G265,1))="n",1,VLOOKUP(G265,ScoringTable!E$2:I$95,5))</f>
        <v>0</v>
      </c>
      <c r="K265" s="112" t="str">
        <f>IF(OR(E265="",G265=""),"",IF(RIGHT(E265,1)="G",_xlfn.XLOOKUP(G265,Data!$D$13:$L$13,Data!$D$9:$L$9,"",-1,1),_xlfn.XLOOKUP(G265,Data!$D$6:$L$6,Data!$D$2:$L$2,"",-1,1)))</f>
        <v/>
      </c>
      <c r="L265" s="160" t="str" cm="1">
        <f t="array" ref="L265">IFERROR(_xlfn.IFNA(
                      _xlfn.IFS(
                      F265="", "",
                      AND(E265="U12B",G265&gt;=Data!$M$6), "U12 Boys record",
                      AND(E265="U12G",G265&gt;=Data!$M$13), "U12 Girls record"
                       ),""), "")</f>
        <v/>
      </c>
      <c r="M265" s="18" cm="1">
        <f t="array" ref="M265">_xlfn.IFS($G265="",0,AND(NOT(ISNUMBER($G265)),LOWER(LEFT($G265,1))&lt;&gt;"n"),"Not a valid distance",OR(LOWER(LEFT($G265,1))="n",$G265&lt;ScoringTable!$P$161),1,RIGHT($E265,1)="B",_xlfn.XLOOKUP($G265,ScoringTable!$P$2:$P$161,ScoringTable!$L$2:$L$161,,-1),TRUE,_xlfn.XLOOKUP($G265,ScoringTable!$V$2:$V$161,ScoringTable!$R$2:$R$161,,-1))</f>
        <v>0</v>
      </c>
    </row>
    <row r="266" spans="1:13" ht="16.05" customHeight="1">
      <c r="A266" s="80" t="s">
        <v>104</v>
      </c>
      <c r="B266" s="79" t="str">
        <f>IF(ISNA(VLOOKUP($F266,Declarations!B$6:C$185,2,FALSE)),"",IF(VLOOKUP($F266,Declarations!B$6:C$185,2,FALSE)="","NOT DECLARED",IF(ISNA(_xlfn.TEXTBEFORE(VLOOKUP($F266,Declarations!B$6:C$185,2,FALSE)," ")),VLOOKUP($F266,Declarations!B$6:C$185,2,FALSE),_xlfn.TEXTBEFORE(VLOOKUP($F266,Declarations!B$6:C$185,2,FALSE)," "))))</f>
        <v/>
      </c>
      <c r="C266" s="79" t="str">
        <f>IF(ISNA(VLOOKUP($F266,Declarations!B$6:C$185,2,FALSE)),"",IF(VLOOKUP($F266,Declarations!B$6:C$185,2,FALSE)="","NOT DECLARED",IF(ISNA(_xlfn.TEXTAFTER(VLOOKUP($F266,Declarations!B$6:C$185,2,FALSE)," ")),VLOOKUP($F266,Declarations!B$6:C$185,2,FALSE),_xlfn.TEXTAFTER(VLOOKUP($F266,Declarations!B$6:C$185,2,FALSE)," "))))</f>
        <v/>
      </c>
      <c r="D266" s="79" t="str">
        <f>IF(ISNA(VLOOKUP($F266,Declarations!$B$6:$F$185,5,FALSE)),"",IF(VLOOKUP($F266,Declarations!$B$6:$F$185,5,FALSE)="","NOT DECLARED",VLOOKUP($F266,Declarations!$B$6:$F$185,5,FALSE)))</f>
        <v/>
      </c>
      <c r="E266" s="112" t="str">
        <f>IF(ISNA(VLOOKUP($F266,Declarations!$B$6:$D$185,3,FALSE)),"",IF(VLOOKUP($F266,Declarations!$B$6:$D$185,3,FALSE)="","NOT DECLARED",VLOOKUP($F266,Declarations!$B$6:$D$185,3,FALSE)&amp;LEFT(VLOOKUP($F266,Declarations!$B$6:$E$185,4,FALSE))))</f>
        <v/>
      </c>
      <c r="F266" s="20"/>
      <c r="G266" s="21"/>
      <c r="H266" s="281"/>
      <c r="I266" s="8" t="str">
        <f>IF(ISNA(VLOOKUP(F266,Declarations!B$6:C$185,2,FALSE)),"",IF(VLOOKUP(F266,Declarations!B$6:C$185,2,FALSE)="","NOT DECLARED",VLOOKUP(F266,Declarations!B$6:C$185,2,FALSE)))</f>
        <v/>
      </c>
      <c r="J266" s="2">
        <f>IF(LOWER(LEFT(G266,1))="n",1,VLOOKUP(G266,ScoringTable!E$2:I$95,5))</f>
        <v>0</v>
      </c>
      <c r="K266" s="112" t="str">
        <f>IF(OR(E266="",G266=""),"",IF(RIGHT(E266,1)="G",_xlfn.XLOOKUP(G266,Data!$D$13:$L$13,Data!$D$9:$L$9,"",-1,1),_xlfn.XLOOKUP(G266,Data!$D$6:$L$6,Data!$D$2:$L$2,"",-1,1)))</f>
        <v/>
      </c>
      <c r="L266" s="160" t="str" cm="1">
        <f t="array" ref="L266">IFERROR(_xlfn.IFNA(
                      _xlfn.IFS(
                      F266="", "",
                      AND(E266="U12B",G266&gt;=Data!$M$6), "U12 Boys record",
                      AND(E266="U12G",G266&gt;=Data!$M$13), "U12 Girls record"
                       ),""), "")</f>
        <v/>
      </c>
      <c r="M266" s="18" cm="1">
        <f t="array" ref="M266">_xlfn.IFS($G266="",0,AND(NOT(ISNUMBER($G266)),LOWER(LEFT($G266,1))&lt;&gt;"n"),"Not a valid distance",OR(LOWER(LEFT($G266,1))="n",$G266&lt;ScoringTable!$P$161),1,RIGHT($E266,1)="B",_xlfn.XLOOKUP($G266,ScoringTable!$P$2:$P$161,ScoringTable!$L$2:$L$161,,-1),TRUE,_xlfn.XLOOKUP($G266,ScoringTable!$V$2:$V$161,ScoringTable!$R$2:$R$161,,-1))</f>
        <v>0</v>
      </c>
    </row>
    <row r="267" spans="1:13" ht="16.05" customHeight="1">
      <c r="A267" s="80" t="s">
        <v>104</v>
      </c>
      <c r="B267" s="79" t="str">
        <f>IF(ISNA(VLOOKUP($F267,Declarations!B$6:C$185,2,FALSE)),"",IF(VLOOKUP($F267,Declarations!B$6:C$185,2,FALSE)="","NOT DECLARED",IF(ISNA(_xlfn.TEXTBEFORE(VLOOKUP($F267,Declarations!B$6:C$185,2,FALSE)," ")),VLOOKUP($F267,Declarations!B$6:C$185,2,FALSE),_xlfn.TEXTBEFORE(VLOOKUP($F267,Declarations!B$6:C$185,2,FALSE)," "))))</f>
        <v/>
      </c>
      <c r="C267" s="79" t="str">
        <f>IF(ISNA(VLOOKUP($F267,Declarations!B$6:C$185,2,FALSE)),"",IF(VLOOKUP($F267,Declarations!B$6:C$185,2,FALSE)="","NOT DECLARED",IF(ISNA(_xlfn.TEXTAFTER(VLOOKUP($F267,Declarations!B$6:C$185,2,FALSE)," ")),VLOOKUP($F267,Declarations!B$6:C$185,2,FALSE),_xlfn.TEXTAFTER(VLOOKUP($F267,Declarations!B$6:C$185,2,FALSE)," "))))</f>
        <v/>
      </c>
      <c r="D267" s="79" t="str">
        <f>IF(ISNA(VLOOKUP($F267,Declarations!$B$6:$F$185,5,FALSE)),"",IF(VLOOKUP($F267,Declarations!$B$6:$F$185,5,FALSE)="","NOT DECLARED",VLOOKUP($F267,Declarations!$B$6:$F$185,5,FALSE)))</f>
        <v/>
      </c>
      <c r="E267" s="112" t="str">
        <f>IF(ISNA(VLOOKUP($F267,Declarations!$B$6:$D$185,3,FALSE)),"",IF(VLOOKUP($F267,Declarations!$B$6:$D$185,3,FALSE)="","NOT DECLARED",VLOOKUP($F267,Declarations!$B$6:$D$185,3,FALSE)&amp;LEFT(VLOOKUP($F267,Declarations!$B$6:$E$185,4,FALSE))))</f>
        <v/>
      </c>
      <c r="F267" s="20"/>
      <c r="G267" s="21"/>
      <c r="H267" s="281"/>
      <c r="I267" s="8" t="str">
        <f>IF(ISNA(VLOOKUP(F267,Declarations!B$6:C$185,2,FALSE)),"",IF(VLOOKUP(F267,Declarations!B$6:C$185,2,FALSE)="","NOT DECLARED",VLOOKUP(F267,Declarations!B$6:C$185,2,FALSE)))</f>
        <v/>
      </c>
      <c r="J267" s="2">
        <f>IF(LOWER(LEFT(G267,1))="n",1,VLOOKUP(G267,ScoringTable!E$2:I$95,5))</f>
        <v>0</v>
      </c>
      <c r="K267" s="112" t="str">
        <f>IF(OR(E267="",G267=""),"",IF(RIGHT(E267,1)="G",_xlfn.XLOOKUP(G267,Data!$D$13:$L$13,Data!$D$9:$L$9,"",-1,1),_xlfn.XLOOKUP(G267,Data!$D$6:$L$6,Data!$D$2:$L$2,"",-1,1)))</f>
        <v/>
      </c>
      <c r="L267" s="160" t="str" cm="1">
        <f t="array" ref="L267">IFERROR(_xlfn.IFNA(
                      _xlfn.IFS(
                      F267="", "",
                      AND(E267="U12B",G267&gt;=Data!$M$6), "U12 Boys record",
                      AND(E267="U12G",G267&gt;=Data!$M$13), "U12 Girls record"
                       ),""), "")</f>
        <v/>
      </c>
      <c r="M267" s="18" cm="1">
        <f t="array" ref="M267">_xlfn.IFS($G267="",0,AND(NOT(ISNUMBER($G267)),LOWER(LEFT($G267,1))&lt;&gt;"n"),"Not a valid distance",OR(LOWER(LEFT($G267,1))="n",$G267&lt;ScoringTable!$P$161),1,RIGHT($E267,1)="B",_xlfn.XLOOKUP($G267,ScoringTable!$P$2:$P$161,ScoringTable!$L$2:$L$161,,-1),TRUE,_xlfn.XLOOKUP($G267,ScoringTable!$V$2:$V$161,ScoringTable!$R$2:$R$161,,-1))</f>
        <v>0</v>
      </c>
    </row>
    <row r="268" spans="1:13" ht="16.05" customHeight="1">
      <c r="A268" s="80" t="s">
        <v>104</v>
      </c>
      <c r="B268" s="79" t="str">
        <f>IF(ISNA(VLOOKUP($F268,Declarations!B$6:C$185,2,FALSE)),"",IF(VLOOKUP($F268,Declarations!B$6:C$185,2,FALSE)="","NOT DECLARED",IF(ISNA(_xlfn.TEXTBEFORE(VLOOKUP($F268,Declarations!B$6:C$185,2,FALSE)," ")),VLOOKUP($F268,Declarations!B$6:C$185,2,FALSE),_xlfn.TEXTBEFORE(VLOOKUP($F268,Declarations!B$6:C$185,2,FALSE)," "))))</f>
        <v/>
      </c>
      <c r="C268" s="79" t="str">
        <f>IF(ISNA(VLOOKUP($F268,Declarations!B$6:C$185,2,FALSE)),"",IF(VLOOKUP($F268,Declarations!B$6:C$185,2,FALSE)="","NOT DECLARED",IF(ISNA(_xlfn.TEXTAFTER(VLOOKUP($F268,Declarations!B$6:C$185,2,FALSE)," ")),VLOOKUP($F268,Declarations!B$6:C$185,2,FALSE),_xlfn.TEXTAFTER(VLOOKUP($F268,Declarations!B$6:C$185,2,FALSE)," "))))</f>
        <v/>
      </c>
      <c r="D268" s="79" t="str">
        <f>IF(ISNA(VLOOKUP($F268,Declarations!$B$6:$F$185,5,FALSE)),"",IF(VLOOKUP($F268,Declarations!$B$6:$F$185,5,FALSE)="","NOT DECLARED",VLOOKUP($F268,Declarations!$B$6:$F$185,5,FALSE)))</f>
        <v/>
      </c>
      <c r="E268" s="112" t="str">
        <f>IF(ISNA(VLOOKUP($F268,Declarations!$B$6:$D$185,3,FALSE)),"",IF(VLOOKUP($F268,Declarations!$B$6:$D$185,3,FALSE)="","NOT DECLARED",VLOOKUP($F268,Declarations!$B$6:$D$185,3,FALSE)&amp;LEFT(VLOOKUP($F268,Declarations!$B$6:$E$185,4,FALSE))))</f>
        <v/>
      </c>
      <c r="F268" s="20"/>
      <c r="G268" s="21"/>
      <c r="H268" s="281"/>
      <c r="I268" s="8" t="str">
        <f>IF(ISNA(VLOOKUP(F268,Declarations!B$6:C$185,2,FALSE)),"",IF(VLOOKUP(F268,Declarations!B$6:C$185,2,FALSE)="","NOT DECLARED",VLOOKUP(F268,Declarations!B$6:C$185,2,FALSE)))</f>
        <v/>
      </c>
      <c r="J268" s="2">
        <f>IF(LOWER(LEFT(G268,1))="n",1,VLOOKUP(G268,ScoringTable!E$2:I$95,5))</f>
        <v>0</v>
      </c>
      <c r="K268" s="112" t="str">
        <f>IF(OR(E268="",G268=""),"",IF(RIGHT(E268,1)="G",_xlfn.XLOOKUP(G268,Data!$D$13:$L$13,Data!$D$9:$L$9,"",-1,1),_xlfn.XLOOKUP(G268,Data!$D$6:$L$6,Data!$D$2:$L$2,"",-1,1)))</f>
        <v/>
      </c>
      <c r="L268" s="160" t="str" cm="1">
        <f t="array" ref="L268">IFERROR(_xlfn.IFNA(
                      _xlfn.IFS(
                      F268="", "",
                      AND(E268="U12B",G268&gt;=Data!$M$6), "U12 Boys record",
                      AND(E268="U12G",G268&gt;=Data!$M$13), "U12 Girls record"
                       ),""), "")</f>
        <v/>
      </c>
      <c r="M268" s="18" cm="1">
        <f t="array" ref="M268">_xlfn.IFS($G268="",0,AND(NOT(ISNUMBER($G268)),LOWER(LEFT($G268,1))&lt;&gt;"n"),"Not a valid distance",OR(LOWER(LEFT($G268,1))="n",$G268&lt;ScoringTable!$P$161),1,RIGHT($E268,1)="B",_xlfn.XLOOKUP($G268,ScoringTable!$P$2:$P$161,ScoringTable!$L$2:$L$161,,-1),TRUE,_xlfn.XLOOKUP($G268,ScoringTable!$V$2:$V$161,ScoringTable!$R$2:$R$161,,-1))</f>
        <v>0</v>
      </c>
    </row>
    <row r="269" spans="1:13" ht="16.05" customHeight="1">
      <c r="A269" s="80" t="s">
        <v>104</v>
      </c>
      <c r="B269" s="79" t="str">
        <f>IF(ISNA(VLOOKUP($F269,Declarations!B$6:C$185,2,FALSE)),"",IF(VLOOKUP($F269,Declarations!B$6:C$185,2,FALSE)="","NOT DECLARED",IF(ISNA(_xlfn.TEXTBEFORE(VLOOKUP($F269,Declarations!B$6:C$185,2,FALSE)," ")),VLOOKUP($F269,Declarations!B$6:C$185,2,FALSE),_xlfn.TEXTBEFORE(VLOOKUP($F269,Declarations!B$6:C$185,2,FALSE)," "))))</f>
        <v/>
      </c>
      <c r="C269" s="79" t="str">
        <f>IF(ISNA(VLOOKUP($F269,Declarations!B$6:C$185,2,FALSE)),"",IF(VLOOKUP($F269,Declarations!B$6:C$185,2,FALSE)="","NOT DECLARED",IF(ISNA(_xlfn.TEXTAFTER(VLOOKUP($F269,Declarations!B$6:C$185,2,FALSE)," ")),VLOOKUP($F269,Declarations!B$6:C$185,2,FALSE),_xlfn.TEXTAFTER(VLOOKUP($F269,Declarations!B$6:C$185,2,FALSE)," "))))</f>
        <v/>
      </c>
      <c r="D269" s="79" t="str">
        <f>IF(ISNA(VLOOKUP($F269,Declarations!$B$6:$F$185,5,FALSE)),"",IF(VLOOKUP($F269,Declarations!$B$6:$F$185,5,FALSE)="","NOT DECLARED",VLOOKUP($F269,Declarations!$B$6:$F$185,5,FALSE)))</f>
        <v/>
      </c>
      <c r="E269" s="112" t="str">
        <f>IF(ISNA(VLOOKUP($F269,Declarations!$B$6:$D$185,3,FALSE)),"",IF(VLOOKUP($F269,Declarations!$B$6:$D$185,3,FALSE)="","NOT DECLARED",VLOOKUP($F269,Declarations!$B$6:$D$185,3,FALSE)&amp;LEFT(VLOOKUP($F269,Declarations!$B$6:$E$185,4,FALSE))))</f>
        <v/>
      </c>
      <c r="F269" s="20"/>
      <c r="G269" s="21"/>
      <c r="H269" s="281"/>
      <c r="I269" s="8" t="str">
        <f>IF(ISNA(VLOOKUP(F269,Declarations!B$6:C$185,2,FALSE)),"",IF(VLOOKUP(F269,Declarations!B$6:C$185,2,FALSE)="","NOT DECLARED",VLOOKUP(F269,Declarations!B$6:C$185,2,FALSE)))</f>
        <v/>
      </c>
      <c r="J269" s="2">
        <f>IF(LOWER(LEFT(G269,1))="n",1,VLOOKUP(G269,ScoringTable!E$2:I$95,5))</f>
        <v>0</v>
      </c>
      <c r="K269" s="112" t="str">
        <f>IF(OR(E269="",G269=""),"",IF(RIGHT(E269,1)="G",_xlfn.XLOOKUP(G269,Data!$D$13:$L$13,Data!$D$9:$L$9,"",-1,1),_xlfn.XLOOKUP(G269,Data!$D$6:$L$6,Data!$D$2:$L$2,"",-1,1)))</f>
        <v/>
      </c>
      <c r="L269" s="160" t="str" cm="1">
        <f t="array" ref="L269">IFERROR(_xlfn.IFNA(
                      _xlfn.IFS(
                      F269="", "",
                      AND(E269="U12B",G269&gt;=Data!$M$6), "U12 Boys record",
                      AND(E269="U12G",G269&gt;=Data!$M$13), "U12 Girls record"
                       ),""), "")</f>
        <v/>
      </c>
      <c r="M269" s="18" cm="1">
        <f t="array" ref="M269">_xlfn.IFS($G269="",0,AND(NOT(ISNUMBER($G269)),LOWER(LEFT($G269,1))&lt;&gt;"n"),"Not a valid distance",OR(LOWER(LEFT($G269,1))="n",$G269&lt;ScoringTable!$P$161),1,RIGHT($E269,1)="B",_xlfn.XLOOKUP($G269,ScoringTable!$P$2:$P$161,ScoringTable!$L$2:$L$161,,-1),TRUE,_xlfn.XLOOKUP($G269,ScoringTable!$V$2:$V$161,ScoringTable!$R$2:$R$161,,-1))</f>
        <v>0</v>
      </c>
    </row>
    <row r="270" spans="1:13" ht="16.05" customHeight="1">
      <c r="A270" s="80" t="s">
        <v>104</v>
      </c>
      <c r="B270" s="79" t="str">
        <f>IF(ISNA(VLOOKUP($F270,Declarations!B$6:C$185,2,FALSE)),"",IF(VLOOKUP($F270,Declarations!B$6:C$185,2,FALSE)="","NOT DECLARED",IF(ISNA(_xlfn.TEXTBEFORE(VLOOKUP($F270,Declarations!B$6:C$185,2,FALSE)," ")),VLOOKUP($F270,Declarations!B$6:C$185,2,FALSE),_xlfn.TEXTBEFORE(VLOOKUP($F270,Declarations!B$6:C$185,2,FALSE)," "))))</f>
        <v/>
      </c>
      <c r="C270" s="79" t="str">
        <f>IF(ISNA(VLOOKUP($F270,Declarations!B$6:C$185,2,FALSE)),"",IF(VLOOKUP($F270,Declarations!B$6:C$185,2,FALSE)="","NOT DECLARED",IF(ISNA(_xlfn.TEXTAFTER(VLOOKUP($F270,Declarations!B$6:C$185,2,FALSE)," ")),VLOOKUP($F270,Declarations!B$6:C$185,2,FALSE),_xlfn.TEXTAFTER(VLOOKUP($F270,Declarations!B$6:C$185,2,FALSE)," "))))</f>
        <v/>
      </c>
      <c r="D270" s="79" t="str">
        <f>IF(ISNA(VLOOKUP($F270,Declarations!$B$6:$F$185,5,FALSE)),"",IF(VLOOKUP($F270,Declarations!$B$6:$F$185,5,FALSE)="","NOT DECLARED",VLOOKUP($F270,Declarations!$B$6:$F$185,5,FALSE)))</f>
        <v/>
      </c>
      <c r="E270" s="112" t="str">
        <f>IF(ISNA(VLOOKUP($F270,Declarations!$B$6:$D$185,3,FALSE)),"",IF(VLOOKUP($F270,Declarations!$B$6:$D$185,3,FALSE)="","NOT DECLARED",VLOOKUP($F270,Declarations!$B$6:$D$185,3,FALSE)&amp;LEFT(VLOOKUP($F270,Declarations!$B$6:$E$185,4,FALSE))))</f>
        <v/>
      </c>
      <c r="F270" s="20"/>
      <c r="G270" s="21"/>
      <c r="H270" s="281"/>
      <c r="I270" s="8" t="str">
        <f>IF(ISNA(VLOOKUP(F270,Declarations!B$6:C$185,2,FALSE)),"",IF(VLOOKUP(F270,Declarations!B$6:C$185,2,FALSE)="","NOT DECLARED",VLOOKUP(F270,Declarations!B$6:C$185,2,FALSE)))</f>
        <v/>
      </c>
      <c r="J270" s="2">
        <f>IF(LOWER(LEFT(G270,1))="n",1,VLOOKUP(G270,ScoringTable!E$2:I$95,5))</f>
        <v>0</v>
      </c>
      <c r="K270" s="112" t="str">
        <f>IF(OR(E270="",G270=""),"",IF(RIGHT(E270,1)="G",_xlfn.XLOOKUP(G270,Data!$D$13:$L$13,Data!$D$9:$L$9,"",-1,1),_xlfn.XLOOKUP(G270,Data!$D$6:$L$6,Data!$D$2:$L$2,"",-1,1)))</f>
        <v/>
      </c>
      <c r="L270" s="160" t="str" cm="1">
        <f t="array" ref="L270">IFERROR(_xlfn.IFNA(
                      _xlfn.IFS(
                      F270="", "",
                      AND(E270="U12B",G270&gt;=Data!$M$6), "U12 Boys record",
                      AND(E270="U12G",G270&gt;=Data!$M$13), "U12 Girls record"
                       ),""), "")</f>
        <v/>
      </c>
      <c r="M270" s="18" cm="1">
        <f t="array" ref="M270">_xlfn.IFS($G270="",0,AND(NOT(ISNUMBER($G270)),LOWER(LEFT($G270,1))&lt;&gt;"n"),"Not a valid distance",OR(LOWER(LEFT($G270,1))="n",$G270&lt;ScoringTable!$P$161),1,RIGHT($E270,1)="B",_xlfn.XLOOKUP($G270,ScoringTable!$P$2:$P$161,ScoringTable!$L$2:$L$161,,-1),TRUE,_xlfn.XLOOKUP($G270,ScoringTable!$V$2:$V$161,ScoringTable!$R$2:$R$161,,-1))</f>
        <v>0</v>
      </c>
    </row>
    <row r="271" spans="1:13" ht="16.05" customHeight="1">
      <c r="A271" s="80" t="s">
        <v>104</v>
      </c>
      <c r="B271" s="79" t="str">
        <f>IF(ISNA(VLOOKUP($F271,Declarations!B$6:C$185,2,FALSE)),"",IF(VLOOKUP($F271,Declarations!B$6:C$185,2,FALSE)="","NOT DECLARED",IF(ISNA(_xlfn.TEXTBEFORE(VLOOKUP($F271,Declarations!B$6:C$185,2,FALSE)," ")),VLOOKUP($F271,Declarations!B$6:C$185,2,FALSE),_xlfn.TEXTBEFORE(VLOOKUP($F271,Declarations!B$6:C$185,2,FALSE)," "))))</f>
        <v/>
      </c>
      <c r="C271" s="79" t="str">
        <f>IF(ISNA(VLOOKUP($F271,Declarations!B$6:C$185,2,FALSE)),"",IF(VLOOKUP($F271,Declarations!B$6:C$185,2,FALSE)="","NOT DECLARED",IF(ISNA(_xlfn.TEXTAFTER(VLOOKUP($F271,Declarations!B$6:C$185,2,FALSE)," ")),VLOOKUP($F271,Declarations!B$6:C$185,2,FALSE),_xlfn.TEXTAFTER(VLOOKUP($F271,Declarations!B$6:C$185,2,FALSE)," "))))</f>
        <v/>
      </c>
      <c r="D271" s="79" t="str">
        <f>IF(ISNA(VLOOKUP($F271,Declarations!$B$6:$F$185,5,FALSE)),"",IF(VLOOKUP($F271,Declarations!$B$6:$F$185,5,FALSE)="","NOT DECLARED",VLOOKUP($F271,Declarations!$B$6:$F$185,5,FALSE)))</f>
        <v/>
      </c>
      <c r="E271" s="112" t="str">
        <f>IF(ISNA(VLOOKUP($F271,Declarations!$B$6:$D$185,3,FALSE)),"",IF(VLOOKUP($F271,Declarations!$B$6:$D$185,3,FALSE)="","NOT DECLARED",VLOOKUP($F271,Declarations!$B$6:$D$185,3,FALSE)&amp;LEFT(VLOOKUP($F271,Declarations!$B$6:$E$185,4,FALSE))))</f>
        <v/>
      </c>
      <c r="F271" s="20"/>
      <c r="G271" s="21"/>
      <c r="H271" s="281"/>
      <c r="I271" s="8" t="str">
        <f>IF(ISNA(VLOOKUP(F271,Declarations!B$6:C$185,2,FALSE)),"",IF(VLOOKUP(F271,Declarations!B$6:C$185,2,FALSE)="","NOT DECLARED",VLOOKUP(F271,Declarations!B$6:C$185,2,FALSE)))</f>
        <v/>
      </c>
      <c r="J271" s="2">
        <f>IF(LOWER(LEFT(G271,1))="n",1,VLOOKUP(G271,ScoringTable!E$2:I$95,5))</f>
        <v>0</v>
      </c>
      <c r="K271" s="112" t="str">
        <f>IF(OR(E271="",G271=""),"",IF(RIGHT(E271,1)="G",_xlfn.XLOOKUP(G271,Data!$D$13:$L$13,Data!$D$9:$L$9,"",-1,1),_xlfn.XLOOKUP(G271,Data!$D$6:$L$6,Data!$D$2:$L$2,"",-1,1)))</f>
        <v/>
      </c>
      <c r="L271" s="160" t="str" cm="1">
        <f t="array" ref="L271">IFERROR(_xlfn.IFNA(
                      _xlfn.IFS(
                      F271="", "",
                      AND(E271="U12B",G271&gt;=Data!$M$6), "U12 Boys record",
                      AND(E271="U12G",G271&gt;=Data!$M$13), "U12 Girls record"
                       ),""), "")</f>
        <v/>
      </c>
      <c r="M271" s="18" cm="1">
        <f t="array" ref="M271">_xlfn.IFS($G271="",0,AND(NOT(ISNUMBER($G271)),LOWER(LEFT($G271,1))&lt;&gt;"n"),"Not a valid distance",OR(LOWER(LEFT($G271,1))="n",$G271&lt;ScoringTable!$P$161),1,RIGHT($E271,1)="B",_xlfn.XLOOKUP($G271,ScoringTable!$P$2:$P$161,ScoringTable!$L$2:$L$161,,-1),TRUE,_xlfn.XLOOKUP($G271,ScoringTable!$V$2:$V$161,ScoringTable!$R$2:$R$161,,-1))</f>
        <v>0</v>
      </c>
    </row>
    <row r="272" spans="1:13" ht="16.05" customHeight="1">
      <c r="A272" s="80" t="s">
        <v>104</v>
      </c>
      <c r="B272" s="79" t="str">
        <f>IF(ISNA(VLOOKUP($F272,Declarations!B$6:C$185,2,FALSE)),"",IF(VLOOKUP($F272,Declarations!B$6:C$185,2,FALSE)="","NOT DECLARED",IF(ISNA(_xlfn.TEXTBEFORE(VLOOKUP($F272,Declarations!B$6:C$185,2,FALSE)," ")),VLOOKUP($F272,Declarations!B$6:C$185,2,FALSE),_xlfn.TEXTBEFORE(VLOOKUP($F272,Declarations!B$6:C$185,2,FALSE)," "))))</f>
        <v/>
      </c>
      <c r="C272" s="79" t="str">
        <f>IF(ISNA(VLOOKUP($F272,Declarations!B$6:C$185,2,FALSE)),"",IF(VLOOKUP($F272,Declarations!B$6:C$185,2,FALSE)="","NOT DECLARED",IF(ISNA(_xlfn.TEXTAFTER(VLOOKUP($F272,Declarations!B$6:C$185,2,FALSE)," ")),VLOOKUP($F272,Declarations!B$6:C$185,2,FALSE),_xlfn.TEXTAFTER(VLOOKUP($F272,Declarations!B$6:C$185,2,FALSE)," "))))</f>
        <v/>
      </c>
      <c r="D272" s="79" t="str">
        <f>IF(ISNA(VLOOKUP($F272,Declarations!$B$6:$F$185,5,FALSE)),"",IF(VLOOKUP($F272,Declarations!$B$6:$F$185,5,FALSE)="","NOT DECLARED",VLOOKUP($F272,Declarations!$B$6:$F$185,5,FALSE)))</f>
        <v/>
      </c>
      <c r="E272" s="112" t="str">
        <f>IF(ISNA(VLOOKUP($F272,Declarations!$B$6:$D$185,3,FALSE)),"",IF(VLOOKUP($F272,Declarations!$B$6:$D$185,3,FALSE)="","NOT DECLARED",VLOOKUP($F272,Declarations!$B$6:$D$185,3,FALSE)&amp;LEFT(VLOOKUP($F272,Declarations!$B$6:$E$185,4,FALSE))))</f>
        <v/>
      </c>
      <c r="F272" s="20"/>
      <c r="G272" s="21"/>
      <c r="H272" s="281"/>
      <c r="I272" s="8" t="str">
        <f>IF(ISNA(VLOOKUP(F272,Declarations!B$6:C$185,2,FALSE)),"",IF(VLOOKUP(F272,Declarations!B$6:C$185,2,FALSE)="","NOT DECLARED",VLOOKUP(F272,Declarations!B$6:C$185,2,FALSE)))</f>
        <v/>
      </c>
      <c r="J272" s="2">
        <f>IF(LOWER(LEFT(G272,1))="n",1,VLOOKUP(G272,ScoringTable!E$2:I$95,5))</f>
        <v>0</v>
      </c>
      <c r="K272" s="112" t="str">
        <f>IF(OR(E272="",G272=""),"",IF(RIGHT(E272,1)="G",_xlfn.XLOOKUP(G272,Data!$D$13:$L$13,Data!$D$9:$L$9,"",-1,1),_xlfn.XLOOKUP(G272,Data!$D$6:$L$6,Data!$D$2:$L$2,"",-1,1)))</f>
        <v/>
      </c>
      <c r="L272" s="160" t="str" cm="1">
        <f t="array" ref="L272">IFERROR(_xlfn.IFNA(
                      _xlfn.IFS(
                      F272="", "",
                      AND(E272="U12B",G272&gt;=Data!$M$6), "U12 Boys record",
                      AND(E272="U12G",G272&gt;=Data!$M$13), "U12 Girls record"
                       ),""), "")</f>
        <v/>
      </c>
      <c r="M272" s="18" cm="1">
        <f t="array" ref="M272">_xlfn.IFS($G272="",0,AND(NOT(ISNUMBER($G272)),LOWER(LEFT($G272,1))&lt;&gt;"n"),"Not a valid distance",OR(LOWER(LEFT($G272,1))="n",$G272&lt;ScoringTable!$P$161),1,RIGHT($E272,1)="B",_xlfn.XLOOKUP($G272,ScoringTable!$P$2:$P$161,ScoringTable!$L$2:$L$161,,-1),TRUE,_xlfn.XLOOKUP($G272,ScoringTable!$V$2:$V$161,ScoringTable!$R$2:$R$161,,-1))</f>
        <v>0</v>
      </c>
    </row>
    <row r="273" spans="1:13" ht="16.05" customHeight="1">
      <c r="A273" s="80" t="s">
        <v>104</v>
      </c>
      <c r="B273" s="79" t="str">
        <f>IF(ISNA(VLOOKUP($F273,Declarations!B$6:C$185,2,FALSE)),"",IF(VLOOKUP($F273,Declarations!B$6:C$185,2,FALSE)="","NOT DECLARED",IF(ISNA(_xlfn.TEXTBEFORE(VLOOKUP($F273,Declarations!B$6:C$185,2,FALSE)," ")),VLOOKUP($F273,Declarations!B$6:C$185,2,FALSE),_xlfn.TEXTBEFORE(VLOOKUP($F273,Declarations!B$6:C$185,2,FALSE)," "))))</f>
        <v/>
      </c>
      <c r="C273" s="79" t="str">
        <f>IF(ISNA(VLOOKUP($F273,Declarations!B$6:C$185,2,FALSE)),"",IF(VLOOKUP($F273,Declarations!B$6:C$185,2,FALSE)="","NOT DECLARED",IF(ISNA(_xlfn.TEXTAFTER(VLOOKUP($F273,Declarations!B$6:C$185,2,FALSE)," ")),VLOOKUP($F273,Declarations!B$6:C$185,2,FALSE),_xlfn.TEXTAFTER(VLOOKUP($F273,Declarations!B$6:C$185,2,FALSE)," "))))</f>
        <v/>
      </c>
      <c r="D273" s="79" t="str">
        <f>IF(ISNA(VLOOKUP($F273,Declarations!$B$6:$F$185,5,FALSE)),"",IF(VLOOKUP($F273,Declarations!$B$6:$F$185,5,FALSE)="","NOT DECLARED",VLOOKUP($F273,Declarations!$B$6:$F$185,5,FALSE)))</f>
        <v/>
      </c>
      <c r="E273" s="112" t="str">
        <f>IF(ISNA(VLOOKUP($F273,Declarations!$B$6:$D$185,3,FALSE)),"",IF(VLOOKUP($F273,Declarations!$B$6:$D$185,3,FALSE)="","NOT DECLARED",VLOOKUP($F273,Declarations!$B$6:$D$185,3,FALSE)&amp;LEFT(VLOOKUP($F273,Declarations!$B$6:$E$185,4,FALSE))))</f>
        <v/>
      </c>
      <c r="F273" s="20"/>
      <c r="G273" s="21"/>
      <c r="H273" s="281"/>
      <c r="I273" s="8" t="str">
        <f>IF(ISNA(VLOOKUP(F273,Declarations!B$6:C$185,2,FALSE)),"",IF(VLOOKUP(F273,Declarations!B$6:C$185,2,FALSE)="","NOT DECLARED",VLOOKUP(F273,Declarations!B$6:C$185,2,FALSE)))</f>
        <v/>
      </c>
      <c r="J273" s="2">
        <f>IF(LOWER(LEFT(G273,1))="n",1,VLOOKUP(G273,ScoringTable!E$2:I$95,5))</f>
        <v>0</v>
      </c>
      <c r="K273" s="112" t="str">
        <f>IF(OR(E273="",G273=""),"",IF(RIGHT(E273,1)="G",_xlfn.XLOOKUP(G273,Data!$D$13:$L$13,Data!$D$9:$L$9,"",-1,1),_xlfn.XLOOKUP(G273,Data!$D$6:$L$6,Data!$D$2:$L$2,"",-1,1)))</f>
        <v/>
      </c>
      <c r="L273" s="160" t="str" cm="1">
        <f t="array" ref="L273">IFERROR(_xlfn.IFNA(
                      _xlfn.IFS(
                      F273="", "",
                      AND(E273="U12B",G273&gt;=Data!$M$6), "U12 Boys record",
                      AND(E273="U12G",G273&gt;=Data!$M$13), "U12 Girls record"
                       ),""), "")</f>
        <v/>
      </c>
      <c r="M273" s="18" cm="1">
        <f t="array" ref="M273">_xlfn.IFS($G273="",0,AND(NOT(ISNUMBER($G273)),LOWER(LEFT($G273,1))&lt;&gt;"n"),"Not a valid distance",OR(LOWER(LEFT($G273,1))="n",$G273&lt;ScoringTable!$P$161),1,RIGHT($E273,1)="B",_xlfn.XLOOKUP($G273,ScoringTable!$P$2:$P$161,ScoringTable!$L$2:$L$161,,-1),TRUE,_xlfn.XLOOKUP($G273,ScoringTable!$V$2:$V$161,ScoringTable!$R$2:$R$161,,-1))</f>
        <v>0</v>
      </c>
    </row>
    <row r="274" spans="1:13" ht="16.05" customHeight="1">
      <c r="A274" s="80" t="s">
        <v>104</v>
      </c>
      <c r="B274" s="79" t="str">
        <f>IF(ISNA(VLOOKUP($F274,Declarations!B$6:C$185,2,FALSE)),"",IF(VLOOKUP($F274,Declarations!B$6:C$185,2,FALSE)="","NOT DECLARED",IF(ISNA(_xlfn.TEXTBEFORE(VLOOKUP($F274,Declarations!B$6:C$185,2,FALSE)," ")),VLOOKUP($F274,Declarations!B$6:C$185,2,FALSE),_xlfn.TEXTBEFORE(VLOOKUP($F274,Declarations!B$6:C$185,2,FALSE)," "))))</f>
        <v/>
      </c>
      <c r="C274" s="79" t="str">
        <f>IF(ISNA(VLOOKUP($F274,Declarations!B$6:C$185,2,FALSE)),"",IF(VLOOKUP($F274,Declarations!B$6:C$185,2,FALSE)="","NOT DECLARED",IF(ISNA(_xlfn.TEXTAFTER(VLOOKUP($F274,Declarations!B$6:C$185,2,FALSE)," ")),VLOOKUP($F274,Declarations!B$6:C$185,2,FALSE),_xlfn.TEXTAFTER(VLOOKUP($F274,Declarations!B$6:C$185,2,FALSE)," "))))</f>
        <v/>
      </c>
      <c r="D274" s="79" t="str">
        <f>IF(ISNA(VLOOKUP($F274,Declarations!$B$6:$F$185,5,FALSE)),"",IF(VLOOKUP($F274,Declarations!$B$6:$F$185,5,FALSE)="","NOT DECLARED",VLOOKUP($F274,Declarations!$B$6:$F$185,5,FALSE)))</f>
        <v/>
      </c>
      <c r="E274" s="112" t="str">
        <f>IF(ISNA(VLOOKUP($F274,Declarations!$B$6:$D$185,3,FALSE)),"",IF(VLOOKUP($F274,Declarations!$B$6:$D$185,3,FALSE)="","NOT DECLARED",VLOOKUP($F274,Declarations!$B$6:$D$185,3,FALSE)&amp;LEFT(VLOOKUP($F274,Declarations!$B$6:$E$185,4,FALSE))))</f>
        <v/>
      </c>
      <c r="F274" s="20"/>
      <c r="G274" s="21"/>
      <c r="H274" s="281"/>
      <c r="I274" s="8" t="str">
        <f>IF(ISNA(VLOOKUP(F274,Declarations!B$6:C$185,2,FALSE)),"",IF(VLOOKUP(F274,Declarations!B$6:C$185,2,FALSE)="","NOT DECLARED",VLOOKUP(F274,Declarations!B$6:C$185,2,FALSE)))</f>
        <v/>
      </c>
      <c r="J274" s="2">
        <f>IF(LOWER(LEFT(G274,1))="n",1,VLOOKUP(G274,ScoringTable!E$2:I$95,5))</f>
        <v>0</v>
      </c>
      <c r="K274" s="112" t="str">
        <f>IF(OR(E274="",G274=""),"",IF(RIGHT(E274,1)="G",_xlfn.XLOOKUP(G274,Data!$D$13:$L$13,Data!$D$9:$L$9,"",-1,1),_xlfn.XLOOKUP(G274,Data!$D$6:$L$6,Data!$D$2:$L$2,"",-1,1)))</f>
        <v/>
      </c>
      <c r="L274" s="160" t="str" cm="1">
        <f t="array" ref="L274">IFERROR(_xlfn.IFNA(
                      _xlfn.IFS(
                      F274="", "",
                      AND(E274="U12B",G274&gt;=Data!$M$6), "U12 Boys record",
                      AND(E274="U12G",G274&gt;=Data!$M$13), "U12 Girls record"
                       ),""), "")</f>
        <v/>
      </c>
      <c r="M274" s="18" cm="1">
        <f t="array" ref="M274">_xlfn.IFS($G274="",0,AND(NOT(ISNUMBER($G274)),LOWER(LEFT($G274,1))&lt;&gt;"n"),"Not a valid distance",OR(LOWER(LEFT($G274,1))="n",$G274&lt;ScoringTable!$P$161),1,RIGHT($E274,1)="B",_xlfn.XLOOKUP($G274,ScoringTable!$P$2:$P$161,ScoringTable!$L$2:$L$161,,-1),TRUE,_xlfn.XLOOKUP($G274,ScoringTable!$V$2:$V$161,ScoringTable!$R$2:$R$161,,-1))</f>
        <v>0</v>
      </c>
    </row>
    <row r="275" spans="1:13" ht="16.05" customHeight="1">
      <c r="A275" s="80" t="s">
        <v>104</v>
      </c>
      <c r="B275" s="79" t="str">
        <f>IF(ISNA(VLOOKUP($F275,Declarations!B$6:C$185,2,FALSE)),"",IF(VLOOKUP($F275,Declarations!B$6:C$185,2,FALSE)="","NOT DECLARED",IF(ISNA(_xlfn.TEXTBEFORE(VLOOKUP($F275,Declarations!B$6:C$185,2,FALSE)," ")),VLOOKUP($F275,Declarations!B$6:C$185,2,FALSE),_xlfn.TEXTBEFORE(VLOOKUP($F275,Declarations!B$6:C$185,2,FALSE)," "))))</f>
        <v/>
      </c>
      <c r="C275" s="79" t="str">
        <f>IF(ISNA(VLOOKUP($F275,Declarations!B$6:C$185,2,FALSE)),"",IF(VLOOKUP($F275,Declarations!B$6:C$185,2,FALSE)="","NOT DECLARED",IF(ISNA(_xlfn.TEXTAFTER(VLOOKUP($F275,Declarations!B$6:C$185,2,FALSE)," ")),VLOOKUP($F275,Declarations!B$6:C$185,2,FALSE),_xlfn.TEXTAFTER(VLOOKUP($F275,Declarations!B$6:C$185,2,FALSE)," "))))</f>
        <v/>
      </c>
      <c r="D275" s="79" t="str">
        <f>IF(ISNA(VLOOKUP($F275,Declarations!$B$6:$F$185,5,FALSE)),"",IF(VLOOKUP($F275,Declarations!$B$6:$F$185,5,FALSE)="","NOT DECLARED",VLOOKUP($F275,Declarations!$B$6:$F$185,5,FALSE)))</f>
        <v/>
      </c>
      <c r="E275" s="112" t="str">
        <f>IF(ISNA(VLOOKUP($F275,Declarations!$B$6:$D$185,3,FALSE)),"",IF(VLOOKUP($F275,Declarations!$B$6:$D$185,3,FALSE)="","NOT DECLARED",VLOOKUP($F275,Declarations!$B$6:$D$185,3,FALSE)&amp;LEFT(VLOOKUP($F275,Declarations!$B$6:$E$185,4,FALSE))))</f>
        <v/>
      </c>
      <c r="F275" s="20"/>
      <c r="G275" s="21"/>
      <c r="H275" s="281"/>
      <c r="I275" s="8" t="str">
        <f>IF(ISNA(VLOOKUP(F275,Declarations!B$6:C$185,2,FALSE)),"",IF(VLOOKUP(F275,Declarations!B$6:C$185,2,FALSE)="","NOT DECLARED",VLOOKUP(F275,Declarations!B$6:C$185,2,FALSE)))</f>
        <v/>
      </c>
      <c r="J275" s="2">
        <f>IF(LOWER(LEFT(G275,1))="n",1,VLOOKUP(G275,ScoringTable!E$2:I$95,5))</f>
        <v>0</v>
      </c>
      <c r="K275" s="112" t="str">
        <f>IF(OR(E275="",G275=""),"",IF(RIGHT(E275,1)="G",_xlfn.XLOOKUP(G275,Data!$D$13:$L$13,Data!$D$9:$L$9,"",-1,1),_xlfn.XLOOKUP(G275,Data!$D$6:$L$6,Data!$D$2:$L$2,"",-1,1)))</f>
        <v/>
      </c>
      <c r="L275" s="160" t="str" cm="1">
        <f t="array" ref="L275">IFERROR(_xlfn.IFNA(
                      _xlfn.IFS(
                      F275="", "",
                      AND(E275="U12B",G275&gt;=Data!$M$6), "U12 Boys record",
                      AND(E275="U12G",G275&gt;=Data!$M$13), "U12 Girls record"
                       ),""), "")</f>
        <v/>
      </c>
      <c r="M275" s="18" cm="1">
        <f t="array" ref="M275">_xlfn.IFS($G275="",0,AND(NOT(ISNUMBER($G275)),LOWER(LEFT($G275,1))&lt;&gt;"n"),"Not a valid distance",OR(LOWER(LEFT($G275,1))="n",$G275&lt;ScoringTable!$P$161),1,RIGHT($E275,1)="B",_xlfn.XLOOKUP($G275,ScoringTable!$P$2:$P$161,ScoringTable!$L$2:$L$161,,-1),TRUE,_xlfn.XLOOKUP($G275,ScoringTable!$V$2:$V$161,ScoringTable!$R$2:$R$161,,-1))</f>
        <v>0</v>
      </c>
    </row>
    <row r="276" spans="1:13" ht="16.05" customHeight="1">
      <c r="A276" s="80" t="s">
        <v>104</v>
      </c>
      <c r="B276" s="79" t="str">
        <f>IF(ISNA(VLOOKUP($F276,Declarations!B$6:C$185,2,FALSE)),"",IF(VLOOKUP($F276,Declarations!B$6:C$185,2,FALSE)="","NOT DECLARED",IF(ISNA(_xlfn.TEXTBEFORE(VLOOKUP($F276,Declarations!B$6:C$185,2,FALSE)," ")),VLOOKUP($F276,Declarations!B$6:C$185,2,FALSE),_xlfn.TEXTBEFORE(VLOOKUP($F276,Declarations!B$6:C$185,2,FALSE)," "))))</f>
        <v/>
      </c>
      <c r="C276" s="79" t="str">
        <f>IF(ISNA(VLOOKUP($F276,Declarations!B$6:C$185,2,FALSE)),"",IF(VLOOKUP($F276,Declarations!B$6:C$185,2,FALSE)="","NOT DECLARED",IF(ISNA(_xlfn.TEXTAFTER(VLOOKUP($F276,Declarations!B$6:C$185,2,FALSE)," ")),VLOOKUP($F276,Declarations!B$6:C$185,2,FALSE),_xlfn.TEXTAFTER(VLOOKUP($F276,Declarations!B$6:C$185,2,FALSE)," "))))</f>
        <v/>
      </c>
      <c r="D276" s="79" t="str">
        <f>IF(ISNA(VLOOKUP($F276,Declarations!$B$6:$F$185,5,FALSE)),"",IF(VLOOKUP($F276,Declarations!$B$6:$F$185,5,FALSE)="","NOT DECLARED",VLOOKUP($F276,Declarations!$B$6:$F$185,5,FALSE)))</f>
        <v/>
      </c>
      <c r="E276" s="112" t="str">
        <f>IF(ISNA(VLOOKUP($F276,Declarations!$B$6:$D$185,3,FALSE)),"",IF(VLOOKUP($F276,Declarations!$B$6:$D$185,3,FALSE)="","NOT DECLARED",VLOOKUP($F276,Declarations!$B$6:$D$185,3,FALSE)&amp;LEFT(VLOOKUP($F276,Declarations!$B$6:$E$185,4,FALSE))))</f>
        <v/>
      </c>
      <c r="F276" s="20"/>
      <c r="G276" s="21"/>
      <c r="H276" s="281"/>
      <c r="I276" s="8" t="str">
        <f>IF(ISNA(VLOOKUP(F276,Declarations!B$6:C$185,2,FALSE)),"",IF(VLOOKUP(F276,Declarations!B$6:C$185,2,FALSE)="","NOT DECLARED",VLOOKUP(F276,Declarations!B$6:C$185,2,FALSE)))</f>
        <v/>
      </c>
      <c r="J276" s="2">
        <f>IF(LOWER(LEFT(G276,1))="n",1,VLOOKUP(G276,ScoringTable!E$2:I$95,5))</f>
        <v>0</v>
      </c>
      <c r="K276" s="112" t="str">
        <f>IF(OR(E276="",G276=""),"",IF(RIGHT(E276,1)="G",_xlfn.XLOOKUP(G276,Data!$D$13:$L$13,Data!$D$9:$L$9,"",-1,1),_xlfn.XLOOKUP(G276,Data!$D$6:$L$6,Data!$D$2:$L$2,"",-1,1)))</f>
        <v/>
      </c>
      <c r="L276" s="160" t="str" cm="1">
        <f t="array" ref="L276">IFERROR(_xlfn.IFNA(
                      _xlfn.IFS(
                      F276="", "",
                      AND(E276="U12B",G276&gt;=Data!$M$6), "U12 Boys record",
                      AND(E276="U12G",G276&gt;=Data!$M$13), "U12 Girls record"
                       ),""), "")</f>
        <v/>
      </c>
      <c r="M276" s="18" cm="1">
        <f t="array" ref="M276">_xlfn.IFS($G276="",0,AND(NOT(ISNUMBER($G276)),LOWER(LEFT($G276,1))&lt;&gt;"n"),"Not a valid distance",OR(LOWER(LEFT($G276,1))="n",$G276&lt;ScoringTable!$P$161),1,RIGHT($E276,1)="B",_xlfn.XLOOKUP($G276,ScoringTable!$P$2:$P$161,ScoringTable!$L$2:$L$161,,-1),TRUE,_xlfn.XLOOKUP($G276,ScoringTable!$V$2:$V$161,ScoringTable!$R$2:$R$161,,-1))</f>
        <v>0</v>
      </c>
    </row>
    <row r="277" spans="1:13" ht="16.05" customHeight="1">
      <c r="A277" s="80" t="s">
        <v>104</v>
      </c>
      <c r="B277" s="79" t="str">
        <f>IF(ISNA(VLOOKUP($F277,Declarations!B$6:C$185,2,FALSE)),"",IF(VLOOKUP($F277,Declarations!B$6:C$185,2,FALSE)="","NOT DECLARED",IF(ISNA(_xlfn.TEXTBEFORE(VLOOKUP($F277,Declarations!B$6:C$185,2,FALSE)," ")),VLOOKUP($F277,Declarations!B$6:C$185,2,FALSE),_xlfn.TEXTBEFORE(VLOOKUP($F277,Declarations!B$6:C$185,2,FALSE)," "))))</f>
        <v/>
      </c>
      <c r="C277" s="79" t="str">
        <f>IF(ISNA(VLOOKUP($F277,Declarations!B$6:C$185,2,FALSE)),"",IF(VLOOKUP($F277,Declarations!B$6:C$185,2,FALSE)="","NOT DECLARED",IF(ISNA(_xlfn.TEXTAFTER(VLOOKUP($F277,Declarations!B$6:C$185,2,FALSE)," ")),VLOOKUP($F277,Declarations!B$6:C$185,2,FALSE),_xlfn.TEXTAFTER(VLOOKUP($F277,Declarations!B$6:C$185,2,FALSE)," "))))</f>
        <v/>
      </c>
      <c r="D277" s="79" t="str">
        <f>IF(ISNA(VLOOKUP($F277,Declarations!$B$6:$F$185,5,FALSE)),"",IF(VLOOKUP($F277,Declarations!$B$6:$F$185,5,FALSE)="","NOT DECLARED",VLOOKUP($F277,Declarations!$B$6:$F$185,5,FALSE)))</f>
        <v/>
      </c>
      <c r="E277" s="112" t="str">
        <f>IF(ISNA(VLOOKUP($F277,Declarations!$B$6:$D$185,3,FALSE)),"",IF(VLOOKUP($F277,Declarations!$B$6:$D$185,3,FALSE)="","NOT DECLARED",VLOOKUP($F277,Declarations!$B$6:$D$185,3,FALSE)&amp;LEFT(VLOOKUP($F277,Declarations!$B$6:$E$185,4,FALSE))))</f>
        <v/>
      </c>
      <c r="F277" s="20"/>
      <c r="G277" s="21"/>
      <c r="H277" s="281"/>
      <c r="I277" s="8" t="str">
        <f>IF(ISNA(VLOOKUP(F277,Declarations!B$6:C$185,2,FALSE)),"",IF(VLOOKUP(F277,Declarations!B$6:C$185,2,FALSE)="","NOT DECLARED",VLOOKUP(F277,Declarations!B$6:C$185,2,FALSE)))</f>
        <v/>
      </c>
      <c r="J277" s="2">
        <f>IF(LOWER(LEFT(G277,1))="n",1,VLOOKUP(G277,ScoringTable!E$2:I$95,5))</f>
        <v>0</v>
      </c>
      <c r="K277" s="112" t="str">
        <f>IF(OR(E277="",G277=""),"",IF(RIGHT(E277,1)="G",_xlfn.XLOOKUP(G277,Data!$D$13:$L$13,Data!$D$9:$L$9,"",-1,1),_xlfn.XLOOKUP(G277,Data!$D$6:$L$6,Data!$D$2:$L$2,"",-1,1)))</f>
        <v/>
      </c>
      <c r="L277" s="160" t="str" cm="1">
        <f t="array" ref="L277">IFERROR(_xlfn.IFNA(
                      _xlfn.IFS(
                      F277="", "",
                      AND(E277="U12B",G277&gt;=Data!$M$6), "U12 Boys record",
                      AND(E277="U12G",G277&gt;=Data!$M$13), "U12 Girls record"
                       ),""), "")</f>
        <v/>
      </c>
      <c r="M277" s="18" cm="1">
        <f t="array" ref="M277">_xlfn.IFS($G277="",0,AND(NOT(ISNUMBER($G277)),LOWER(LEFT($G277,1))&lt;&gt;"n"),"Not a valid distance",OR(LOWER(LEFT($G277,1))="n",$G277&lt;ScoringTable!$P$161),1,RIGHT($E277,1)="B",_xlfn.XLOOKUP($G277,ScoringTable!$P$2:$P$161,ScoringTable!$L$2:$L$161,,-1),TRUE,_xlfn.XLOOKUP($G277,ScoringTable!$V$2:$V$161,ScoringTable!$R$2:$R$161,,-1))</f>
        <v>0</v>
      </c>
    </row>
    <row r="278" spans="1:13" ht="16.05" customHeight="1">
      <c r="A278" s="80" t="s">
        <v>104</v>
      </c>
      <c r="B278" s="79" t="str">
        <f>IF(ISNA(VLOOKUP($F278,Declarations!B$6:C$185,2,FALSE)),"",IF(VLOOKUP($F278,Declarations!B$6:C$185,2,FALSE)="","NOT DECLARED",IF(ISNA(_xlfn.TEXTBEFORE(VLOOKUP($F278,Declarations!B$6:C$185,2,FALSE)," ")),VLOOKUP($F278,Declarations!B$6:C$185,2,FALSE),_xlfn.TEXTBEFORE(VLOOKUP($F278,Declarations!B$6:C$185,2,FALSE)," "))))</f>
        <v/>
      </c>
      <c r="C278" s="79" t="str">
        <f>IF(ISNA(VLOOKUP($F278,Declarations!B$6:C$185,2,FALSE)),"",IF(VLOOKUP($F278,Declarations!B$6:C$185,2,FALSE)="","NOT DECLARED",IF(ISNA(_xlfn.TEXTAFTER(VLOOKUP($F278,Declarations!B$6:C$185,2,FALSE)," ")),VLOOKUP($F278,Declarations!B$6:C$185,2,FALSE),_xlfn.TEXTAFTER(VLOOKUP($F278,Declarations!B$6:C$185,2,FALSE)," "))))</f>
        <v/>
      </c>
      <c r="D278" s="79" t="str">
        <f>IF(ISNA(VLOOKUP($F278,Declarations!$B$6:$F$185,5,FALSE)),"",IF(VLOOKUP($F278,Declarations!$B$6:$F$185,5,FALSE)="","NOT DECLARED",VLOOKUP($F278,Declarations!$B$6:$F$185,5,FALSE)))</f>
        <v/>
      </c>
      <c r="E278" s="112" t="str">
        <f>IF(ISNA(VLOOKUP($F278,Declarations!$B$6:$D$185,3,FALSE)),"",IF(VLOOKUP($F278,Declarations!$B$6:$D$185,3,FALSE)="","NOT DECLARED",VLOOKUP($F278,Declarations!$B$6:$D$185,3,FALSE)&amp;LEFT(VLOOKUP($F278,Declarations!$B$6:$E$185,4,FALSE))))</f>
        <v/>
      </c>
      <c r="F278" s="20"/>
      <c r="G278" s="21"/>
      <c r="H278" s="281"/>
      <c r="I278" s="8" t="str">
        <f>IF(ISNA(VLOOKUP(F278,Declarations!B$6:C$185,2,FALSE)),"",IF(VLOOKUP(F278,Declarations!B$6:C$185,2,FALSE)="","NOT DECLARED",VLOOKUP(F278,Declarations!B$6:C$185,2,FALSE)))</f>
        <v/>
      </c>
      <c r="J278" s="2">
        <f>IF(LOWER(LEFT(G278,1))="n",1,VLOOKUP(G278,ScoringTable!E$2:I$95,5))</f>
        <v>0</v>
      </c>
      <c r="K278" s="112" t="str">
        <f>IF(OR(E278="",G278=""),"",IF(RIGHT(E278,1)="G",_xlfn.XLOOKUP(G278,Data!$D$13:$L$13,Data!$D$9:$L$9,"",-1,1),_xlfn.XLOOKUP(G278,Data!$D$6:$L$6,Data!$D$2:$L$2,"",-1,1)))</f>
        <v/>
      </c>
      <c r="L278" s="160" t="str" cm="1">
        <f t="array" ref="L278">IFERROR(_xlfn.IFNA(
                      _xlfn.IFS(
                      F278="", "",
                      AND(E278="U12B",G278&gt;=Data!$M$6), "U12 Boys record",
                      AND(E278="U12G",G278&gt;=Data!$M$13), "U12 Girls record"
                       ),""), "")</f>
        <v/>
      </c>
      <c r="M278" s="18" cm="1">
        <f t="array" ref="M278">_xlfn.IFS($G278="",0,AND(NOT(ISNUMBER($G278)),LOWER(LEFT($G278,1))&lt;&gt;"n"),"Not a valid distance",OR(LOWER(LEFT($G278,1))="n",$G278&lt;ScoringTable!$P$161),1,RIGHT($E278,1)="B",_xlfn.XLOOKUP($G278,ScoringTable!$P$2:$P$161,ScoringTable!$L$2:$L$161,,-1),TRUE,_xlfn.XLOOKUP($G278,ScoringTable!$V$2:$V$161,ScoringTable!$R$2:$R$161,,-1))</f>
        <v>0</v>
      </c>
    </row>
    <row r="279" spans="1:13" ht="16.05" customHeight="1">
      <c r="A279" s="80" t="s">
        <v>104</v>
      </c>
      <c r="B279" s="79" t="str">
        <f>IF(ISNA(VLOOKUP($F279,Declarations!B$6:C$185,2,FALSE)),"",IF(VLOOKUP($F279,Declarations!B$6:C$185,2,FALSE)="","NOT DECLARED",IF(ISNA(_xlfn.TEXTBEFORE(VLOOKUP($F279,Declarations!B$6:C$185,2,FALSE)," ")),VLOOKUP($F279,Declarations!B$6:C$185,2,FALSE),_xlfn.TEXTBEFORE(VLOOKUP($F279,Declarations!B$6:C$185,2,FALSE)," "))))</f>
        <v/>
      </c>
      <c r="C279" s="79" t="str">
        <f>IF(ISNA(VLOOKUP($F279,Declarations!B$6:C$185,2,FALSE)),"",IF(VLOOKUP($F279,Declarations!B$6:C$185,2,FALSE)="","NOT DECLARED",IF(ISNA(_xlfn.TEXTAFTER(VLOOKUP($F279,Declarations!B$6:C$185,2,FALSE)," ")),VLOOKUP($F279,Declarations!B$6:C$185,2,FALSE),_xlfn.TEXTAFTER(VLOOKUP($F279,Declarations!B$6:C$185,2,FALSE)," "))))</f>
        <v/>
      </c>
      <c r="D279" s="79" t="str">
        <f>IF(ISNA(VLOOKUP($F279,Declarations!$B$6:$F$185,5,FALSE)),"",IF(VLOOKUP($F279,Declarations!$B$6:$F$185,5,FALSE)="","NOT DECLARED",VLOOKUP($F279,Declarations!$B$6:$F$185,5,FALSE)))</f>
        <v/>
      </c>
      <c r="E279" s="112" t="str">
        <f>IF(ISNA(VLOOKUP($F279,Declarations!$B$6:$D$185,3,FALSE)),"",IF(VLOOKUP($F279,Declarations!$B$6:$D$185,3,FALSE)="","NOT DECLARED",VLOOKUP($F279,Declarations!$B$6:$D$185,3,FALSE)&amp;LEFT(VLOOKUP($F279,Declarations!$B$6:$E$185,4,FALSE))))</f>
        <v/>
      </c>
      <c r="F279" s="20"/>
      <c r="G279" s="21"/>
      <c r="H279" s="281"/>
      <c r="I279" s="8" t="str">
        <f>IF(ISNA(VLOOKUP(F279,Declarations!B$6:C$185,2,FALSE)),"",IF(VLOOKUP(F279,Declarations!B$6:C$185,2,FALSE)="","NOT DECLARED",VLOOKUP(F279,Declarations!B$6:C$185,2,FALSE)))</f>
        <v/>
      </c>
      <c r="J279" s="2">
        <f>IF(LOWER(LEFT(G279,1))="n",1,VLOOKUP(G279,ScoringTable!E$2:I$95,5))</f>
        <v>0</v>
      </c>
      <c r="K279" s="112" t="str">
        <f>IF(OR(E279="",G279=""),"",IF(RIGHT(E279,1)="G",_xlfn.XLOOKUP(G279,Data!$D$13:$L$13,Data!$D$9:$L$9,"",-1,1),_xlfn.XLOOKUP(G279,Data!$D$6:$L$6,Data!$D$2:$L$2,"",-1,1)))</f>
        <v/>
      </c>
      <c r="L279" s="160" t="str" cm="1">
        <f t="array" ref="L279">IFERROR(_xlfn.IFNA(
                      _xlfn.IFS(
                      F279="", "",
                      AND(E279="U12B",G279&gt;=Data!$M$6), "U12 Boys record",
                      AND(E279="U12G",G279&gt;=Data!$M$13), "U12 Girls record"
                       ),""), "")</f>
        <v/>
      </c>
      <c r="M279" s="18" cm="1">
        <f t="array" ref="M279">_xlfn.IFS($G279="",0,AND(NOT(ISNUMBER($G279)),LOWER(LEFT($G279,1))&lt;&gt;"n"),"Not a valid distance",OR(LOWER(LEFT($G279,1))="n",$G279&lt;ScoringTable!$P$161),1,RIGHT($E279,1)="B",_xlfn.XLOOKUP($G279,ScoringTable!$P$2:$P$161,ScoringTable!$L$2:$L$161,,-1),TRUE,_xlfn.XLOOKUP($G279,ScoringTable!$V$2:$V$161,ScoringTable!$R$2:$R$161,,-1))</f>
        <v>0</v>
      </c>
    </row>
    <row r="280" spans="1:13" ht="16.05" customHeight="1">
      <c r="A280" s="80" t="s">
        <v>104</v>
      </c>
      <c r="B280" s="79" t="str">
        <f>IF(ISNA(VLOOKUP($F280,Declarations!B$6:C$185,2,FALSE)),"",IF(VLOOKUP($F280,Declarations!B$6:C$185,2,FALSE)="","NOT DECLARED",IF(ISNA(_xlfn.TEXTBEFORE(VLOOKUP($F280,Declarations!B$6:C$185,2,FALSE)," ")),VLOOKUP($F280,Declarations!B$6:C$185,2,FALSE),_xlfn.TEXTBEFORE(VLOOKUP($F280,Declarations!B$6:C$185,2,FALSE)," "))))</f>
        <v/>
      </c>
      <c r="C280" s="79" t="str">
        <f>IF(ISNA(VLOOKUP($F280,Declarations!B$6:C$185,2,FALSE)),"",IF(VLOOKUP($F280,Declarations!B$6:C$185,2,FALSE)="","NOT DECLARED",IF(ISNA(_xlfn.TEXTAFTER(VLOOKUP($F280,Declarations!B$6:C$185,2,FALSE)," ")),VLOOKUP($F280,Declarations!B$6:C$185,2,FALSE),_xlfn.TEXTAFTER(VLOOKUP($F280,Declarations!B$6:C$185,2,FALSE)," "))))</f>
        <v/>
      </c>
      <c r="D280" s="79" t="str">
        <f>IF(ISNA(VLOOKUP($F280,Declarations!$B$6:$F$185,5,FALSE)),"",IF(VLOOKUP($F280,Declarations!$B$6:$F$185,5,FALSE)="","NOT DECLARED",VLOOKUP($F280,Declarations!$B$6:$F$185,5,FALSE)))</f>
        <v/>
      </c>
      <c r="E280" s="112" t="str">
        <f>IF(ISNA(VLOOKUP($F280,Declarations!$B$6:$D$185,3,FALSE)),"",IF(VLOOKUP($F280,Declarations!$B$6:$D$185,3,FALSE)="","NOT DECLARED",VLOOKUP($F280,Declarations!$B$6:$D$185,3,FALSE)&amp;LEFT(VLOOKUP($F280,Declarations!$B$6:$E$185,4,FALSE))))</f>
        <v/>
      </c>
      <c r="F280" s="20"/>
      <c r="G280" s="21"/>
      <c r="H280" s="281"/>
      <c r="I280" s="8" t="str">
        <f>IF(ISNA(VLOOKUP(F280,Declarations!B$6:C$185,2,FALSE)),"",IF(VLOOKUP(F280,Declarations!B$6:C$185,2,FALSE)="","NOT DECLARED",VLOOKUP(F280,Declarations!B$6:C$185,2,FALSE)))</f>
        <v/>
      </c>
      <c r="J280" s="2">
        <f>IF(LOWER(LEFT(G280,1))="n",1,VLOOKUP(G280,ScoringTable!E$2:I$95,5))</f>
        <v>0</v>
      </c>
      <c r="K280" s="112" t="str">
        <f>IF(OR(E280="",G280=""),"",IF(RIGHT(E280,1)="G",_xlfn.XLOOKUP(G280,Data!$D$13:$L$13,Data!$D$9:$L$9,"",-1,1),_xlfn.XLOOKUP(G280,Data!$D$6:$L$6,Data!$D$2:$L$2,"",-1,1)))</f>
        <v/>
      </c>
      <c r="L280" s="160" t="str" cm="1">
        <f t="array" ref="L280">IFERROR(_xlfn.IFNA(
                      _xlfn.IFS(
                      F280="", "",
                      AND(E280="U12B",G280&gt;=Data!$M$6), "U12 Boys record",
                      AND(E280="U12G",G280&gt;=Data!$M$13), "U12 Girls record"
                       ),""), "")</f>
        <v/>
      </c>
      <c r="M280" s="18" cm="1">
        <f t="array" ref="M280">_xlfn.IFS($G280="",0,AND(NOT(ISNUMBER($G280)),LOWER(LEFT($G280,1))&lt;&gt;"n"),"Not a valid distance",OR(LOWER(LEFT($G280,1))="n",$G280&lt;ScoringTable!$P$161),1,RIGHT($E280,1)="B",_xlfn.XLOOKUP($G280,ScoringTable!$P$2:$P$161,ScoringTable!$L$2:$L$161,,-1),TRUE,_xlfn.XLOOKUP($G280,ScoringTable!$V$2:$V$161,ScoringTable!$R$2:$R$161,,-1))</f>
        <v>0</v>
      </c>
    </row>
    <row r="281" spans="1:13" ht="16.05" customHeight="1">
      <c r="A281" s="80" t="s">
        <v>104</v>
      </c>
      <c r="B281" s="79" t="str">
        <f>IF(ISNA(VLOOKUP($F281,Declarations!B$6:C$185,2,FALSE)),"",IF(VLOOKUP($F281,Declarations!B$6:C$185,2,FALSE)="","NOT DECLARED",IF(ISNA(_xlfn.TEXTBEFORE(VLOOKUP($F281,Declarations!B$6:C$185,2,FALSE)," ")),VLOOKUP($F281,Declarations!B$6:C$185,2,FALSE),_xlfn.TEXTBEFORE(VLOOKUP($F281,Declarations!B$6:C$185,2,FALSE)," "))))</f>
        <v/>
      </c>
      <c r="C281" s="79" t="str">
        <f>IF(ISNA(VLOOKUP($F281,Declarations!B$6:C$185,2,FALSE)),"",IF(VLOOKUP($F281,Declarations!B$6:C$185,2,FALSE)="","NOT DECLARED",IF(ISNA(_xlfn.TEXTAFTER(VLOOKUP($F281,Declarations!B$6:C$185,2,FALSE)," ")),VLOOKUP($F281,Declarations!B$6:C$185,2,FALSE),_xlfn.TEXTAFTER(VLOOKUP($F281,Declarations!B$6:C$185,2,FALSE)," "))))</f>
        <v/>
      </c>
      <c r="D281" s="79" t="str">
        <f>IF(ISNA(VLOOKUP($F281,Declarations!$B$6:$F$185,5,FALSE)),"",IF(VLOOKUP($F281,Declarations!$B$6:$F$185,5,FALSE)="","NOT DECLARED",VLOOKUP($F281,Declarations!$B$6:$F$185,5,FALSE)))</f>
        <v/>
      </c>
      <c r="E281" s="112" t="str">
        <f>IF(ISNA(VLOOKUP($F281,Declarations!$B$6:$D$185,3,FALSE)),"",IF(VLOOKUP($F281,Declarations!$B$6:$D$185,3,FALSE)="","NOT DECLARED",VLOOKUP($F281,Declarations!$B$6:$D$185,3,FALSE)&amp;LEFT(VLOOKUP($F281,Declarations!$B$6:$E$185,4,FALSE))))</f>
        <v/>
      </c>
      <c r="F281" s="20"/>
      <c r="G281" s="21"/>
      <c r="H281" s="281"/>
      <c r="I281" s="8" t="str">
        <f>IF(ISNA(VLOOKUP(F281,Declarations!B$6:C$185,2,FALSE)),"",IF(VLOOKUP(F281,Declarations!B$6:C$185,2,FALSE)="","NOT DECLARED",VLOOKUP(F281,Declarations!B$6:C$185,2,FALSE)))</f>
        <v/>
      </c>
      <c r="J281" s="2">
        <f>IF(LOWER(LEFT(G281,1))="n",1,VLOOKUP(G281,ScoringTable!E$2:I$95,5))</f>
        <v>0</v>
      </c>
      <c r="K281" s="112" t="str">
        <f>IF(OR(E281="",G281=""),"",IF(RIGHT(E281,1)="G",_xlfn.XLOOKUP(G281,Data!$D$13:$L$13,Data!$D$9:$L$9,"",-1,1),_xlfn.XLOOKUP(G281,Data!$D$6:$L$6,Data!$D$2:$L$2,"",-1,1)))</f>
        <v/>
      </c>
      <c r="L281" s="160" t="str" cm="1">
        <f t="array" ref="L281">IFERROR(_xlfn.IFNA(
                      _xlfn.IFS(
                      F281="", "",
                      AND(E281="U12B",G281&gt;=Data!$M$6), "U12 Boys record",
                      AND(E281="U12G",G281&gt;=Data!$M$13), "U12 Girls record"
                       ),""), "")</f>
        <v/>
      </c>
      <c r="M281" s="18" cm="1">
        <f t="array" ref="M281">_xlfn.IFS($G281="",0,AND(NOT(ISNUMBER($G281)),LOWER(LEFT($G281,1))&lt;&gt;"n"),"Not a valid distance",OR(LOWER(LEFT($G281,1))="n",$G281&lt;ScoringTable!$P$161),1,RIGHT($E281,1)="B",_xlfn.XLOOKUP($G281,ScoringTable!$P$2:$P$161,ScoringTable!$L$2:$L$161,,-1),TRUE,_xlfn.XLOOKUP($G281,ScoringTable!$V$2:$V$161,ScoringTable!$R$2:$R$161,,-1))</f>
        <v>0</v>
      </c>
    </row>
    <row r="282" spans="1:13" ht="16.05" customHeight="1">
      <c r="A282" s="80" t="s">
        <v>104</v>
      </c>
      <c r="B282" s="79" t="str">
        <f>IF(ISNA(VLOOKUP($F282,Declarations!B$6:C$185,2,FALSE)),"",IF(VLOOKUP($F282,Declarations!B$6:C$185,2,FALSE)="","NOT DECLARED",IF(ISNA(_xlfn.TEXTBEFORE(VLOOKUP($F282,Declarations!B$6:C$185,2,FALSE)," ")),VLOOKUP($F282,Declarations!B$6:C$185,2,FALSE),_xlfn.TEXTBEFORE(VLOOKUP($F282,Declarations!B$6:C$185,2,FALSE)," "))))</f>
        <v/>
      </c>
      <c r="C282" s="79" t="str">
        <f>IF(ISNA(VLOOKUP($F282,Declarations!B$6:C$185,2,FALSE)),"",IF(VLOOKUP($F282,Declarations!B$6:C$185,2,FALSE)="","NOT DECLARED",IF(ISNA(_xlfn.TEXTAFTER(VLOOKUP($F282,Declarations!B$6:C$185,2,FALSE)," ")),VLOOKUP($F282,Declarations!B$6:C$185,2,FALSE),_xlfn.TEXTAFTER(VLOOKUP($F282,Declarations!B$6:C$185,2,FALSE)," "))))</f>
        <v/>
      </c>
      <c r="D282" s="79" t="str">
        <f>IF(ISNA(VLOOKUP($F282,Declarations!$B$6:$F$185,5,FALSE)),"",IF(VLOOKUP($F282,Declarations!$B$6:$F$185,5,FALSE)="","NOT DECLARED",VLOOKUP($F282,Declarations!$B$6:$F$185,5,FALSE)))</f>
        <v/>
      </c>
      <c r="E282" s="112" t="str">
        <f>IF(ISNA(VLOOKUP($F282,Declarations!$B$6:$D$185,3,FALSE)),"",IF(VLOOKUP($F282,Declarations!$B$6:$D$185,3,FALSE)="","NOT DECLARED",VLOOKUP($F282,Declarations!$B$6:$D$185,3,FALSE)&amp;LEFT(VLOOKUP($F282,Declarations!$B$6:$E$185,4,FALSE))))</f>
        <v/>
      </c>
      <c r="F282" s="20"/>
      <c r="G282" s="21"/>
      <c r="H282" s="281"/>
      <c r="I282" s="8" t="str">
        <f>IF(ISNA(VLOOKUP(F282,Declarations!B$6:C$185,2,FALSE)),"",IF(VLOOKUP(F282,Declarations!B$6:C$185,2,FALSE)="","NOT DECLARED",VLOOKUP(F282,Declarations!B$6:C$185,2,FALSE)))</f>
        <v/>
      </c>
      <c r="J282" s="2">
        <f>IF(LOWER(LEFT(G282,1))="n",1,VLOOKUP(G282,ScoringTable!E$2:I$95,5))</f>
        <v>0</v>
      </c>
      <c r="K282" s="112" t="str">
        <f>IF(OR(E282="",G282=""),"",IF(RIGHT(E282,1)="G",_xlfn.XLOOKUP(G282,Data!$D$13:$L$13,Data!$D$9:$L$9,"",-1,1),_xlfn.XLOOKUP(G282,Data!$D$6:$L$6,Data!$D$2:$L$2,"",-1,1)))</f>
        <v/>
      </c>
      <c r="L282" s="160" t="str" cm="1">
        <f t="array" ref="L282">IFERROR(_xlfn.IFNA(
                      _xlfn.IFS(
                      F282="", "",
                      AND(E282="U12B",G282&gt;=Data!$M$6), "U12 Boys record",
                      AND(E282="U12G",G282&gt;=Data!$M$13), "U12 Girls record"
                       ),""), "")</f>
        <v/>
      </c>
      <c r="M282" s="18" cm="1">
        <f t="array" ref="M282">_xlfn.IFS($G282="",0,AND(NOT(ISNUMBER($G282)),LOWER(LEFT($G282,1))&lt;&gt;"n"),"Not a valid distance",OR(LOWER(LEFT($G282,1))="n",$G282&lt;ScoringTable!$P$161),1,RIGHT($E282,1)="B",_xlfn.XLOOKUP($G282,ScoringTable!$P$2:$P$161,ScoringTable!$L$2:$L$161,,-1),TRUE,_xlfn.XLOOKUP($G282,ScoringTable!$V$2:$V$161,ScoringTable!$R$2:$R$161,,-1))</f>
        <v>0</v>
      </c>
    </row>
    <row r="283" spans="1:13" ht="16.05" customHeight="1">
      <c r="A283" s="80" t="s">
        <v>104</v>
      </c>
      <c r="B283" s="79" t="str">
        <f>IF(ISNA(VLOOKUP($F283,Declarations!B$6:C$185,2,FALSE)),"",IF(VLOOKUP($F283,Declarations!B$6:C$185,2,FALSE)="","NOT DECLARED",IF(ISNA(_xlfn.TEXTBEFORE(VLOOKUP($F283,Declarations!B$6:C$185,2,FALSE)," ")),VLOOKUP($F283,Declarations!B$6:C$185,2,FALSE),_xlfn.TEXTBEFORE(VLOOKUP($F283,Declarations!B$6:C$185,2,FALSE)," "))))</f>
        <v/>
      </c>
      <c r="C283" s="79" t="str">
        <f>IF(ISNA(VLOOKUP($F283,Declarations!B$6:C$185,2,FALSE)),"",IF(VLOOKUP($F283,Declarations!B$6:C$185,2,FALSE)="","NOT DECLARED",IF(ISNA(_xlfn.TEXTAFTER(VLOOKUP($F283,Declarations!B$6:C$185,2,FALSE)," ")),VLOOKUP($F283,Declarations!B$6:C$185,2,FALSE),_xlfn.TEXTAFTER(VLOOKUP($F283,Declarations!B$6:C$185,2,FALSE)," "))))</f>
        <v/>
      </c>
      <c r="D283" s="79" t="str">
        <f>IF(ISNA(VLOOKUP($F283,Declarations!$B$6:$F$185,5,FALSE)),"",IF(VLOOKUP($F283,Declarations!$B$6:$F$185,5,FALSE)="","NOT DECLARED",VLOOKUP($F283,Declarations!$B$6:$F$185,5,FALSE)))</f>
        <v/>
      </c>
      <c r="E283" s="112" t="str">
        <f>IF(ISNA(VLOOKUP($F283,Declarations!$B$6:$D$185,3,FALSE)),"",IF(VLOOKUP($F283,Declarations!$B$6:$D$185,3,FALSE)="","NOT DECLARED",VLOOKUP($F283,Declarations!$B$6:$D$185,3,FALSE)&amp;LEFT(VLOOKUP($F283,Declarations!$B$6:$E$185,4,FALSE))))</f>
        <v/>
      </c>
      <c r="F283" s="20"/>
      <c r="G283" s="21"/>
      <c r="H283" s="281"/>
      <c r="I283" s="8" t="str">
        <f>IF(ISNA(VLOOKUP(F283,Declarations!B$6:C$185,2,FALSE)),"",IF(VLOOKUP(F283,Declarations!B$6:C$185,2,FALSE)="","NOT DECLARED",VLOOKUP(F283,Declarations!B$6:C$185,2,FALSE)))</f>
        <v/>
      </c>
      <c r="J283" s="2">
        <f>IF(LOWER(LEFT(G283,1))="n",1,VLOOKUP(G283,ScoringTable!E$2:I$95,5))</f>
        <v>0</v>
      </c>
      <c r="K283" s="112" t="str">
        <f>IF(OR(E283="",G283=""),"",IF(RIGHT(E283,1)="G",_xlfn.XLOOKUP(G283,Data!$D$13:$L$13,Data!$D$9:$L$9,"",-1,1),_xlfn.XLOOKUP(G283,Data!$D$6:$L$6,Data!$D$2:$L$2,"",-1,1)))</f>
        <v/>
      </c>
      <c r="L283" s="160" t="str" cm="1">
        <f t="array" ref="L283">IFERROR(_xlfn.IFNA(
                      _xlfn.IFS(
                      F283="", "",
                      AND(E283="U12B",G283&gt;=Data!$M$6), "U12 Boys record",
                      AND(E283="U12G",G283&gt;=Data!$M$13), "U12 Girls record"
                       ),""), "")</f>
        <v/>
      </c>
      <c r="M283" s="18" cm="1">
        <f t="array" ref="M283">_xlfn.IFS($G283="",0,AND(NOT(ISNUMBER($G283)),LOWER(LEFT($G283,1))&lt;&gt;"n"),"Not a valid distance",OR(LOWER(LEFT($G283,1))="n",$G283&lt;ScoringTable!$P$161),1,RIGHT($E283,1)="B",_xlfn.XLOOKUP($G283,ScoringTable!$P$2:$P$161,ScoringTable!$L$2:$L$161,,-1),TRUE,_xlfn.XLOOKUP($G283,ScoringTable!$V$2:$V$161,ScoringTable!$R$2:$R$161,,-1))</f>
        <v>0</v>
      </c>
    </row>
    <row r="284" spans="1:13" ht="16.05" customHeight="1">
      <c r="A284" s="80" t="s">
        <v>104</v>
      </c>
      <c r="B284" s="79" t="str">
        <f>IF(ISNA(VLOOKUP($F284,Declarations!B$6:C$185,2,FALSE)),"",IF(VLOOKUP($F284,Declarations!B$6:C$185,2,FALSE)="","NOT DECLARED",IF(ISNA(_xlfn.TEXTBEFORE(VLOOKUP($F284,Declarations!B$6:C$185,2,FALSE)," ")),VLOOKUP($F284,Declarations!B$6:C$185,2,FALSE),_xlfn.TEXTBEFORE(VLOOKUP($F284,Declarations!B$6:C$185,2,FALSE)," "))))</f>
        <v/>
      </c>
      <c r="C284" s="79" t="str">
        <f>IF(ISNA(VLOOKUP($F284,Declarations!B$6:C$185,2,FALSE)),"",IF(VLOOKUP($F284,Declarations!B$6:C$185,2,FALSE)="","NOT DECLARED",IF(ISNA(_xlfn.TEXTAFTER(VLOOKUP($F284,Declarations!B$6:C$185,2,FALSE)," ")),VLOOKUP($F284,Declarations!B$6:C$185,2,FALSE),_xlfn.TEXTAFTER(VLOOKUP($F284,Declarations!B$6:C$185,2,FALSE)," "))))</f>
        <v/>
      </c>
      <c r="D284" s="79" t="str">
        <f>IF(ISNA(VLOOKUP($F284,Declarations!$B$6:$F$185,5,FALSE)),"",IF(VLOOKUP($F284,Declarations!$B$6:$F$185,5,FALSE)="","NOT DECLARED",VLOOKUP($F284,Declarations!$B$6:$F$185,5,FALSE)))</f>
        <v/>
      </c>
      <c r="E284" s="112" t="str">
        <f>IF(ISNA(VLOOKUP($F284,Declarations!$B$6:$D$185,3,FALSE)),"",IF(VLOOKUP($F284,Declarations!$B$6:$D$185,3,FALSE)="","NOT DECLARED",VLOOKUP($F284,Declarations!$B$6:$D$185,3,FALSE)&amp;LEFT(VLOOKUP($F284,Declarations!$B$6:$E$185,4,FALSE))))</f>
        <v/>
      </c>
      <c r="F284" s="20"/>
      <c r="G284" s="21"/>
      <c r="H284" s="281"/>
      <c r="I284" s="8" t="str">
        <f>IF(ISNA(VLOOKUP(F284,Declarations!B$6:C$185,2,FALSE)),"",IF(VLOOKUP(F284,Declarations!B$6:C$185,2,FALSE)="","NOT DECLARED",VLOOKUP(F284,Declarations!B$6:C$185,2,FALSE)))</f>
        <v/>
      </c>
      <c r="J284" s="2">
        <f>IF(LOWER(LEFT(G284,1))="n",1,VLOOKUP(G284,ScoringTable!E$2:I$95,5))</f>
        <v>0</v>
      </c>
      <c r="K284" s="112" t="str">
        <f>IF(OR(E284="",G284=""),"",IF(RIGHT(E284,1)="G",_xlfn.XLOOKUP(G284,Data!$D$13:$L$13,Data!$D$9:$L$9,"",-1,1),_xlfn.XLOOKUP(G284,Data!$D$6:$L$6,Data!$D$2:$L$2,"",-1,1)))</f>
        <v/>
      </c>
      <c r="L284" s="160" t="str" cm="1">
        <f t="array" ref="L284">IFERROR(_xlfn.IFNA(
                      _xlfn.IFS(
                      F284="", "",
                      AND(E284="U12B",G284&gt;=Data!$M$6), "U12 Boys record",
                      AND(E284="U12G",G284&gt;=Data!$M$13), "U12 Girls record"
                       ),""), "")</f>
        <v/>
      </c>
      <c r="M284" s="18" cm="1">
        <f t="array" ref="M284">_xlfn.IFS($G284="",0,AND(NOT(ISNUMBER($G284)),LOWER(LEFT($G284,1))&lt;&gt;"n"),"Not a valid distance",OR(LOWER(LEFT($G284,1))="n",$G284&lt;ScoringTable!$P$161),1,RIGHT($E284,1)="B",_xlfn.XLOOKUP($G284,ScoringTable!$P$2:$P$161,ScoringTable!$L$2:$L$161,,-1),TRUE,_xlfn.XLOOKUP($G284,ScoringTable!$V$2:$V$161,ScoringTable!$R$2:$R$161,,-1))</f>
        <v>0</v>
      </c>
    </row>
    <row r="285" spans="1:13" ht="16.05" customHeight="1">
      <c r="A285" s="80" t="s">
        <v>104</v>
      </c>
      <c r="B285" s="79" t="str">
        <f>IF(ISNA(VLOOKUP($F285,Declarations!B$6:C$185,2,FALSE)),"",IF(VLOOKUP($F285,Declarations!B$6:C$185,2,FALSE)="","NOT DECLARED",IF(ISNA(_xlfn.TEXTBEFORE(VLOOKUP($F285,Declarations!B$6:C$185,2,FALSE)," ")),VLOOKUP($F285,Declarations!B$6:C$185,2,FALSE),_xlfn.TEXTBEFORE(VLOOKUP($F285,Declarations!B$6:C$185,2,FALSE)," "))))</f>
        <v/>
      </c>
      <c r="C285" s="79" t="str">
        <f>IF(ISNA(VLOOKUP($F285,Declarations!B$6:C$185,2,FALSE)),"",IF(VLOOKUP($F285,Declarations!B$6:C$185,2,FALSE)="","NOT DECLARED",IF(ISNA(_xlfn.TEXTAFTER(VLOOKUP($F285,Declarations!B$6:C$185,2,FALSE)," ")),VLOOKUP($F285,Declarations!B$6:C$185,2,FALSE),_xlfn.TEXTAFTER(VLOOKUP($F285,Declarations!B$6:C$185,2,FALSE)," "))))</f>
        <v/>
      </c>
      <c r="D285" s="79" t="str">
        <f>IF(ISNA(VLOOKUP($F285,Declarations!$B$6:$F$185,5,FALSE)),"",IF(VLOOKUP($F285,Declarations!$B$6:$F$185,5,FALSE)="","NOT DECLARED",VLOOKUP($F285,Declarations!$B$6:$F$185,5,FALSE)))</f>
        <v/>
      </c>
      <c r="E285" s="112" t="str">
        <f>IF(ISNA(VLOOKUP($F285,Declarations!$B$6:$D$185,3,FALSE)),"",IF(VLOOKUP($F285,Declarations!$B$6:$D$185,3,FALSE)="","NOT DECLARED",VLOOKUP($F285,Declarations!$B$6:$D$185,3,FALSE)&amp;LEFT(VLOOKUP($F285,Declarations!$B$6:$E$185,4,FALSE))))</f>
        <v/>
      </c>
      <c r="F285" s="20"/>
      <c r="G285" s="21"/>
      <c r="H285" s="281"/>
      <c r="I285" s="8" t="str">
        <f>IF(ISNA(VLOOKUP(F285,Declarations!B$6:C$185,2,FALSE)),"",IF(VLOOKUP(F285,Declarations!B$6:C$185,2,FALSE)="","NOT DECLARED",VLOOKUP(F285,Declarations!B$6:C$185,2,FALSE)))</f>
        <v/>
      </c>
      <c r="J285" s="2">
        <f>IF(LOWER(LEFT(G285,1))="n",1,VLOOKUP(G285,ScoringTable!E$2:I$95,5))</f>
        <v>0</v>
      </c>
      <c r="K285" s="112" t="str">
        <f>IF(OR(E285="",G285=""),"",IF(RIGHT(E285,1)="G",_xlfn.XLOOKUP(G285,Data!$D$13:$L$13,Data!$D$9:$L$9,"",-1,1),_xlfn.XLOOKUP(G285,Data!$D$6:$L$6,Data!$D$2:$L$2,"",-1,1)))</f>
        <v/>
      </c>
      <c r="L285" s="160" t="str" cm="1">
        <f t="array" ref="L285">IFERROR(_xlfn.IFNA(
                      _xlfn.IFS(
                      F285="", "",
                      AND(E285="U12B",G285&gt;=Data!$M$6), "U12 Boys record",
                      AND(E285="U12G",G285&gt;=Data!$M$13), "U12 Girls record"
                       ),""), "")</f>
        <v/>
      </c>
      <c r="M285" s="18" cm="1">
        <f t="array" ref="M285">_xlfn.IFS($G285="",0,AND(NOT(ISNUMBER($G285)),LOWER(LEFT($G285,1))&lt;&gt;"n"),"Not a valid distance",OR(LOWER(LEFT($G285,1))="n",$G285&lt;ScoringTable!$P$161),1,RIGHT($E285,1)="B",_xlfn.XLOOKUP($G285,ScoringTable!$P$2:$P$161,ScoringTable!$L$2:$L$161,,-1),TRUE,_xlfn.XLOOKUP($G285,ScoringTable!$V$2:$V$161,ScoringTable!$R$2:$R$161,,-1))</f>
        <v>0</v>
      </c>
    </row>
    <row r="286" spans="1:13" ht="16.05" customHeight="1">
      <c r="A286" s="80" t="s">
        <v>104</v>
      </c>
      <c r="B286" s="79" t="str">
        <f>IF(ISNA(VLOOKUP($F286,Declarations!B$6:C$185,2,FALSE)),"",IF(VLOOKUP($F286,Declarations!B$6:C$185,2,FALSE)="","NOT DECLARED",IF(ISNA(_xlfn.TEXTBEFORE(VLOOKUP($F286,Declarations!B$6:C$185,2,FALSE)," ")),VLOOKUP($F286,Declarations!B$6:C$185,2,FALSE),_xlfn.TEXTBEFORE(VLOOKUP($F286,Declarations!B$6:C$185,2,FALSE)," "))))</f>
        <v/>
      </c>
      <c r="C286" s="79" t="str">
        <f>IF(ISNA(VLOOKUP($F286,Declarations!B$6:C$185,2,FALSE)),"",IF(VLOOKUP($F286,Declarations!B$6:C$185,2,FALSE)="","NOT DECLARED",IF(ISNA(_xlfn.TEXTAFTER(VLOOKUP($F286,Declarations!B$6:C$185,2,FALSE)," ")),VLOOKUP($F286,Declarations!B$6:C$185,2,FALSE),_xlfn.TEXTAFTER(VLOOKUP($F286,Declarations!B$6:C$185,2,FALSE)," "))))</f>
        <v/>
      </c>
      <c r="D286" s="79" t="str">
        <f>IF(ISNA(VLOOKUP($F286,Declarations!$B$6:$F$185,5,FALSE)),"",IF(VLOOKUP($F286,Declarations!$B$6:$F$185,5,FALSE)="","NOT DECLARED",VLOOKUP($F286,Declarations!$B$6:$F$185,5,FALSE)))</f>
        <v/>
      </c>
      <c r="E286" s="112" t="str">
        <f>IF(ISNA(VLOOKUP($F286,Declarations!$B$6:$D$185,3,FALSE)),"",IF(VLOOKUP($F286,Declarations!$B$6:$D$185,3,FALSE)="","NOT DECLARED",VLOOKUP($F286,Declarations!$B$6:$D$185,3,FALSE)&amp;LEFT(VLOOKUP($F286,Declarations!$B$6:$E$185,4,FALSE))))</f>
        <v/>
      </c>
      <c r="F286" s="20"/>
      <c r="G286" s="21"/>
      <c r="H286" s="281"/>
      <c r="I286" s="8" t="str">
        <f>IF(ISNA(VLOOKUP(F286,Declarations!B$6:C$185,2,FALSE)),"",IF(VLOOKUP(F286,Declarations!B$6:C$185,2,FALSE)="","NOT DECLARED",VLOOKUP(F286,Declarations!B$6:C$185,2,FALSE)))</f>
        <v/>
      </c>
      <c r="J286" s="2">
        <f>IF(LOWER(LEFT(G286,1))="n",1,VLOOKUP(G286,ScoringTable!E$2:I$95,5))</f>
        <v>0</v>
      </c>
      <c r="K286" s="112" t="str">
        <f>IF(OR(E286="",G286=""),"",IF(RIGHT(E286,1)="G",_xlfn.XLOOKUP(G286,Data!$D$13:$L$13,Data!$D$9:$L$9,"",-1,1),_xlfn.XLOOKUP(G286,Data!$D$6:$L$6,Data!$D$2:$L$2,"",-1,1)))</f>
        <v/>
      </c>
      <c r="L286" s="160" t="str" cm="1">
        <f t="array" ref="L286">IFERROR(_xlfn.IFNA(
                      _xlfn.IFS(
                      F286="", "",
                      AND(E286="U12B",G286&gt;=Data!$M$6), "U12 Boys record",
                      AND(E286="U12G",G286&gt;=Data!$M$13), "U12 Girls record"
                       ),""), "")</f>
        <v/>
      </c>
      <c r="M286" s="18" cm="1">
        <f t="array" ref="M286">_xlfn.IFS($G286="",0,AND(NOT(ISNUMBER($G286)),LOWER(LEFT($G286,1))&lt;&gt;"n"),"Not a valid distance",OR(LOWER(LEFT($G286,1))="n",$G286&lt;ScoringTable!$P$161),1,RIGHT($E286,1)="B",_xlfn.XLOOKUP($G286,ScoringTable!$P$2:$P$161,ScoringTable!$L$2:$L$161,,-1),TRUE,_xlfn.XLOOKUP($G286,ScoringTable!$V$2:$V$161,ScoringTable!$R$2:$R$161,,-1))</f>
        <v>0</v>
      </c>
    </row>
    <row r="287" spans="1:13" ht="16.05" customHeight="1">
      <c r="A287" s="80" t="s">
        <v>104</v>
      </c>
      <c r="B287" s="79" t="str">
        <f>IF(ISNA(VLOOKUP($F287,Declarations!B$6:C$185,2,FALSE)),"",IF(VLOOKUP($F287,Declarations!B$6:C$185,2,FALSE)="","NOT DECLARED",IF(ISNA(_xlfn.TEXTBEFORE(VLOOKUP($F287,Declarations!B$6:C$185,2,FALSE)," ")),VLOOKUP($F287,Declarations!B$6:C$185,2,FALSE),_xlfn.TEXTBEFORE(VLOOKUP($F287,Declarations!B$6:C$185,2,FALSE)," "))))</f>
        <v/>
      </c>
      <c r="C287" s="79" t="str">
        <f>IF(ISNA(VLOOKUP($F287,Declarations!B$6:C$185,2,FALSE)),"",IF(VLOOKUP($F287,Declarations!B$6:C$185,2,FALSE)="","NOT DECLARED",IF(ISNA(_xlfn.TEXTAFTER(VLOOKUP($F287,Declarations!B$6:C$185,2,FALSE)," ")),VLOOKUP($F287,Declarations!B$6:C$185,2,FALSE),_xlfn.TEXTAFTER(VLOOKUP($F287,Declarations!B$6:C$185,2,FALSE)," "))))</f>
        <v/>
      </c>
      <c r="D287" s="79" t="str">
        <f>IF(ISNA(VLOOKUP($F287,Declarations!$B$6:$F$185,5,FALSE)),"",IF(VLOOKUP($F287,Declarations!$B$6:$F$185,5,FALSE)="","NOT DECLARED",VLOOKUP($F287,Declarations!$B$6:$F$185,5,FALSE)))</f>
        <v/>
      </c>
      <c r="E287" s="112" t="str">
        <f>IF(ISNA(VLOOKUP($F287,Declarations!$B$6:$D$185,3,FALSE)),"",IF(VLOOKUP($F287,Declarations!$B$6:$D$185,3,FALSE)="","NOT DECLARED",VLOOKUP($F287,Declarations!$B$6:$D$185,3,FALSE)&amp;LEFT(VLOOKUP($F287,Declarations!$B$6:$E$185,4,FALSE))))</f>
        <v/>
      </c>
      <c r="F287" s="20"/>
      <c r="G287" s="21"/>
      <c r="H287" s="281"/>
      <c r="I287" s="8" t="str">
        <f>IF(ISNA(VLOOKUP(F287,Declarations!B$6:C$185,2,FALSE)),"",IF(VLOOKUP(F287,Declarations!B$6:C$185,2,FALSE)="","NOT DECLARED",VLOOKUP(F287,Declarations!B$6:C$185,2,FALSE)))</f>
        <v/>
      </c>
      <c r="J287" s="2">
        <f>IF(LOWER(LEFT(G287,1))="n",1,VLOOKUP(G287,ScoringTable!E$2:I$95,5))</f>
        <v>0</v>
      </c>
      <c r="K287" s="112" t="str">
        <f>IF(OR(E287="",G287=""),"",IF(RIGHT(E287,1)="G",_xlfn.XLOOKUP(G287,Data!$D$13:$L$13,Data!$D$9:$L$9,"",-1,1),_xlfn.XLOOKUP(G287,Data!$D$6:$L$6,Data!$D$2:$L$2,"",-1,1)))</f>
        <v/>
      </c>
      <c r="L287" s="160" t="str" cm="1">
        <f t="array" ref="L287">IFERROR(_xlfn.IFNA(
                      _xlfn.IFS(
                      F287="", "",
                      AND(E287="U12B",G287&gt;=Data!$M$6), "U12 Boys record",
                      AND(E287="U12G",G287&gt;=Data!$M$13), "U12 Girls record"
                       ),""), "")</f>
        <v/>
      </c>
      <c r="M287" s="18" cm="1">
        <f t="array" ref="M287">_xlfn.IFS($G287="",0,AND(NOT(ISNUMBER($G287)),LOWER(LEFT($G287,1))&lt;&gt;"n"),"Not a valid distance",OR(LOWER(LEFT($G287,1))="n",$G287&lt;ScoringTable!$P$161),1,RIGHT($E287,1)="B",_xlfn.XLOOKUP($G287,ScoringTable!$P$2:$P$161,ScoringTable!$L$2:$L$161,,-1),TRUE,_xlfn.XLOOKUP($G287,ScoringTable!$V$2:$V$161,ScoringTable!$R$2:$R$161,,-1))</f>
        <v>0</v>
      </c>
    </row>
    <row r="288" spans="1:13" ht="16.05" customHeight="1">
      <c r="A288" s="80" t="s">
        <v>104</v>
      </c>
      <c r="B288" s="79" t="str">
        <f>IF(ISNA(VLOOKUP($F288,Declarations!B$6:C$185,2,FALSE)),"",IF(VLOOKUP($F288,Declarations!B$6:C$185,2,FALSE)="","NOT DECLARED",IF(ISNA(_xlfn.TEXTBEFORE(VLOOKUP($F288,Declarations!B$6:C$185,2,FALSE)," ")),VLOOKUP($F288,Declarations!B$6:C$185,2,FALSE),_xlfn.TEXTBEFORE(VLOOKUP($F288,Declarations!B$6:C$185,2,FALSE)," "))))</f>
        <v/>
      </c>
      <c r="C288" s="79" t="str">
        <f>IF(ISNA(VLOOKUP($F288,Declarations!B$6:C$185,2,FALSE)),"",IF(VLOOKUP($F288,Declarations!B$6:C$185,2,FALSE)="","NOT DECLARED",IF(ISNA(_xlfn.TEXTAFTER(VLOOKUP($F288,Declarations!B$6:C$185,2,FALSE)," ")),VLOOKUP($F288,Declarations!B$6:C$185,2,FALSE),_xlfn.TEXTAFTER(VLOOKUP($F288,Declarations!B$6:C$185,2,FALSE)," "))))</f>
        <v/>
      </c>
      <c r="D288" s="79" t="str">
        <f>IF(ISNA(VLOOKUP($F288,Declarations!$B$6:$F$185,5,FALSE)),"",IF(VLOOKUP($F288,Declarations!$B$6:$F$185,5,FALSE)="","NOT DECLARED",VLOOKUP($F288,Declarations!$B$6:$F$185,5,FALSE)))</f>
        <v/>
      </c>
      <c r="E288" s="112" t="str">
        <f>IF(ISNA(VLOOKUP($F288,Declarations!$B$6:$D$185,3,FALSE)),"",IF(VLOOKUP($F288,Declarations!$B$6:$D$185,3,FALSE)="","NOT DECLARED",VLOOKUP($F288,Declarations!$B$6:$D$185,3,FALSE)&amp;LEFT(VLOOKUP($F288,Declarations!$B$6:$E$185,4,FALSE))))</f>
        <v/>
      </c>
      <c r="F288" s="20"/>
      <c r="G288" s="21"/>
      <c r="H288" s="281"/>
      <c r="I288" s="8" t="str">
        <f>IF(ISNA(VLOOKUP(F288,Declarations!B$6:C$185,2,FALSE)),"",IF(VLOOKUP(F288,Declarations!B$6:C$185,2,FALSE)="","NOT DECLARED",VLOOKUP(F288,Declarations!B$6:C$185,2,FALSE)))</f>
        <v/>
      </c>
      <c r="J288" s="2">
        <f>IF(LOWER(LEFT(G288,1))="n",1,VLOOKUP(G288,ScoringTable!E$2:I$95,5))</f>
        <v>0</v>
      </c>
      <c r="K288" s="112" t="str">
        <f>IF(OR(E288="",G288=""),"",IF(RIGHT(E288,1)="G",_xlfn.XLOOKUP(G288,Data!$D$13:$L$13,Data!$D$9:$L$9,"",-1,1),_xlfn.XLOOKUP(G288,Data!$D$6:$L$6,Data!$D$2:$L$2,"",-1,1)))</f>
        <v/>
      </c>
      <c r="L288" s="160" t="str" cm="1">
        <f t="array" ref="L288">IFERROR(_xlfn.IFNA(
                      _xlfn.IFS(
                      F288="", "",
                      AND(E288="U12B",G288&gt;=Data!$M$6), "U12 Boys record",
                      AND(E288="U12G",G288&gt;=Data!$M$13), "U12 Girls record"
                       ),""), "")</f>
        <v/>
      </c>
      <c r="M288" s="18" cm="1">
        <f t="array" ref="M288">_xlfn.IFS($G288="",0,AND(NOT(ISNUMBER($G288)),LOWER(LEFT($G288,1))&lt;&gt;"n"),"Not a valid distance",OR(LOWER(LEFT($G288,1))="n",$G288&lt;ScoringTable!$P$161),1,RIGHT($E288,1)="B",_xlfn.XLOOKUP($G288,ScoringTable!$P$2:$P$161,ScoringTable!$L$2:$L$161,,-1),TRUE,_xlfn.XLOOKUP($G288,ScoringTable!$V$2:$V$161,ScoringTable!$R$2:$R$161,,-1))</f>
        <v>0</v>
      </c>
    </row>
    <row r="289" spans="1:13" ht="16.05" customHeight="1">
      <c r="A289" s="80" t="s">
        <v>104</v>
      </c>
      <c r="B289" s="79" t="str">
        <f>IF(ISNA(VLOOKUP($F289,Declarations!B$6:C$185,2,FALSE)),"",IF(VLOOKUP($F289,Declarations!B$6:C$185,2,FALSE)="","NOT DECLARED",IF(ISNA(_xlfn.TEXTBEFORE(VLOOKUP($F289,Declarations!B$6:C$185,2,FALSE)," ")),VLOOKUP($F289,Declarations!B$6:C$185,2,FALSE),_xlfn.TEXTBEFORE(VLOOKUP($F289,Declarations!B$6:C$185,2,FALSE)," "))))</f>
        <v/>
      </c>
      <c r="C289" s="79" t="str">
        <f>IF(ISNA(VLOOKUP($F289,Declarations!B$6:C$185,2,FALSE)),"",IF(VLOOKUP($F289,Declarations!B$6:C$185,2,FALSE)="","NOT DECLARED",IF(ISNA(_xlfn.TEXTAFTER(VLOOKUP($F289,Declarations!B$6:C$185,2,FALSE)," ")),VLOOKUP($F289,Declarations!B$6:C$185,2,FALSE),_xlfn.TEXTAFTER(VLOOKUP($F289,Declarations!B$6:C$185,2,FALSE)," "))))</f>
        <v/>
      </c>
      <c r="D289" s="79" t="str">
        <f>IF(ISNA(VLOOKUP($F289,Declarations!$B$6:$F$185,5,FALSE)),"",IF(VLOOKUP($F289,Declarations!$B$6:$F$185,5,FALSE)="","NOT DECLARED",VLOOKUP($F289,Declarations!$B$6:$F$185,5,FALSE)))</f>
        <v/>
      </c>
      <c r="E289" s="112" t="str">
        <f>IF(ISNA(VLOOKUP($F289,Declarations!$B$6:$D$185,3,FALSE)),"",IF(VLOOKUP($F289,Declarations!$B$6:$D$185,3,FALSE)="","NOT DECLARED",VLOOKUP($F289,Declarations!$B$6:$D$185,3,FALSE)&amp;LEFT(VLOOKUP($F289,Declarations!$B$6:$E$185,4,FALSE))))</f>
        <v/>
      </c>
      <c r="F289" s="20"/>
      <c r="G289" s="21"/>
      <c r="H289" s="281"/>
      <c r="I289" s="8" t="str">
        <f>IF(ISNA(VLOOKUP(F289,Declarations!B$6:C$185,2,FALSE)),"",IF(VLOOKUP(F289,Declarations!B$6:C$185,2,FALSE)="","NOT DECLARED",VLOOKUP(F289,Declarations!B$6:C$185,2,FALSE)))</f>
        <v/>
      </c>
      <c r="J289" s="2">
        <f>IF(LOWER(LEFT(G289,1))="n",1,VLOOKUP(G289,ScoringTable!E$2:I$95,5))</f>
        <v>0</v>
      </c>
      <c r="K289" s="112" t="str">
        <f>IF(OR(E289="",G289=""),"",IF(RIGHT(E289,1)="G",_xlfn.XLOOKUP(G289,Data!$D$13:$L$13,Data!$D$9:$L$9,"",-1,1),_xlfn.XLOOKUP(G289,Data!$D$6:$L$6,Data!$D$2:$L$2,"",-1,1)))</f>
        <v/>
      </c>
      <c r="L289" s="160" t="str" cm="1">
        <f t="array" ref="L289">IFERROR(_xlfn.IFNA(
                      _xlfn.IFS(
                      F289="", "",
                      AND(E289="U12B",G289&gt;=Data!$M$6), "U12 Boys record",
                      AND(E289="U12G",G289&gt;=Data!$M$13), "U12 Girls record"
                       ),""), "")</f>
        <v/>
      </c>
      <c r="M289" s="18" cm="1">
        <f t="array" ref="M289">_xlfn.IFS($G289="",0,AND(NOT(ISNUMBER($G289)),LOWER(LEFT($G289,1))&lt;&gt;"n"),"Not a valid distance",OR(LOWER(LEFT($G289,1))="n",$G289&lt;ScoringTable!$P$161),1,RIGHT($E289,1)="B",_xlfn.XLOOKUP($G289,ScoringTable!$P$2:$P$161,ScoringTable!$L$2:$L$161,,-1),TRUE,_xlfn.XLOOKUP($G289,ScoringTable!$V$2:$V$161,ScoringTable!$R$2:$R$161,,-1))</f>
        <v>0</v>
      </c>
    </row>
    <row r="290" spans="1:13" ht="16.05" customHeight="1">
      <c r="A290" s="80" t="s">
        <v>104</v>
      </c>
      <c r="B290" s="79" t="str">
        <f>IF(ISNA(VLOOKUP($F290,Declarations!B$6:C$185,2,FALSE)),"",IF(VLOOKUP($F290,Declarations!B$6:C$185,2,FALSE)="","NOT DECLARED",IF(ISNA(_xlfn.TEXTBEFORE(VLOOKUP($F290,Declarations!B$6:C$185,2,FALSE)," ")),VLOOKUP($F290,Declarations!B$6:C$185,2,FALSE),_xlfn.TEXTBEFORE(VLOOKUP($F290,Declarations!B$6:C$185,2,FALSE)," "))))</f>
        <v/>
      </c>
      <c r="C290" s="79" t="str">
        <f>IF(ISNA(VLOOKUP($F290,Declarations!B$6:C$185,2,FALSE)),"",IF(VLOOKUP($F290,Declarations!B$6:C$185,2,FALSE)="","NOT DECLARED",IF(ISNA(_xlfn.TEXTAFTER(VLOOKUP($F290,Declarations!B$6:C$185,2,FALSE)," ")),VLOOKUP($F290,Declarations!B$6:C$185,2,FALSE),_xlfn.TEXTAFTER(VLOOKUP($F290,Declarations!B$6:C$185,2,FALSE)," "))))</f>
        <v/>
      </c>
      <c r="D290" s="79" t="str">
        <f>IF(ISNA(VLOOKUP($F290,Declarations!$B$6:$F$185,5,FALSE)),"",IF(VLOOKUP($F290,Declarations!$B$6:$F$185,5,FALSE)="","NOT DECLARED",VLOOKUP($F290,Declarations!$B$6:$F$185,5,FALSE)))</f>
        <v/>
      </c>
      <c r="E290" s="112" t="str">
        <f>IF(ISNA(VLOOKUP($F290,Declarations!$B$6:$D$185,3,FALSE)),"",IF(VLOOKUP($F290,Declarations!$B$6:$D$185,3,FALSE)="","NOT DECLARED",VLOOKUP($F290,Declarations!$B$6:$D$185,3,FALSE)&amp;LEFT(VLOOKUP($F290,Declarations!$B$6:$E$185,4,FALSE))))</f>
        <v/>
      </c>
      <c r="F290" s="20"/>
      <c r="G290" s="21"/>
      <c r="H290" s="281"/>
      <c r="I290" s="8" t="str">
        <f>IF(ISNA(VLOOKUP(F290,Declarations!B$6:C$185,2,FALSE)),"",IF(VLOOKUP(F290,Declarations!B$6:C$185,2,FALSE)="","NOT DECLARED",VLOOKUP(F290,Declarations!B$6:C$185,2,FALSE)))</f>
        <v/>
      </c>
      <c r="J290" s="2">
        <f>IF(LOWER(LEFT(G290,1))="n",1,VLOOKUP(G290,ScoringTable!E$2:I$95,5))</f>
        <v>0</v>
      </c>
      <c r="K290" s="112" t="str">
        <f>IF(OR(E290="",G290=""),"",IF(RIGHT(E290,1)="G",_xlfn.XLOOKUP(G290,Data!$D$13:$L$13,Data!$D$9:$L$9,"",-1,1),_xlfn.XLOOKUP(G290,Data!$D$6:$L$6,Data!$D$2:$L$2,"",-1,1)))</f>
        <v/>
      </c>
      <c r="L290" s="160" t="str" cm="1">
        <f t="array" ref="L290">IFERROR(_xlfn.IFNA(
                      _xlfn.IFS(
                      F290="", "",
                      AND(E290="U12B",G290&gt;=Data!$M$6), "U12 Boys record",
                      AND(E290="U12G",G290&gt;=Data!$M$13), "U12 Girls record"
                       ),""), "")</f>
        <v/>
      </c>
      <c r="M290" s="18" cm="1">
        <f t="array" ref="M290">_xlfn.IFS($G290="",0,AND(NOT(ISNUMBER($G290)),LOWER(LEFT($G290,1))&lt;&gt;"n"),"Not a valid distance",OR(LOWER(LEFT($G290,1))="n",$G290&lt;ScoringTable!$P$161),1,RIGHT($E290,1)="B",_xlfn.XLOOKUP($G290,ScoringTable!$P$2:$P$161,ScoringTable!$L$2:$L$161,,-1),TRUE,_xlfn.XLOOKUP($G290,ScoringTable!$V$2:$V$161,ScoringTable!$R$2:$R$161,,-1))</f>
        <v>0</v>
      </c>
    </row>
    <row r="291" spans="1:13" ht="16.05" customHeight="1">
      <c r="A291" s="80" t="s">
        <v>104</v>
      </c>
      <c r="B291" s="79" t="str">
        <f>IF(ISNA(VLOOKUP($F291,Declarations!B$6:C$185,2,FALSE)),"",IF(VLOOKUP($F291,Declarations!B$6:C$185,2,FALSE)="","NOT DECLARED",IF(ISNA(_xlfn.TEXTBEFORE(VLOOKUP($F291,Declarations!B$6:C$185,2,FALSE)," ")),VLOOKUP($F291,Declarations!B$6:C$185,2,FALSE),_xlfn.TEXTBEFORE(VLOOKUP($F291,Declarations!B$6:C$185,2,FALSE)," "))))</f>
        <v/>
      </c>
      <c r="C291" s="79" t="str">
        <f>IF(ISNA(VLOOKUP($F291,Declarations!B$6:C$185,2,FALSE)),"",IF(VLOOKUP($F291,Declarations!B$6:C$185,2,FALSE)="","NOT DECLARED",IF(ISNA(_xlfn.TEXTAFTER(VLOOKUP($F291,Declarations!B$6:C$185,2,FALSE)," ")),VLOOKUP($F291,Declarations!B$6:C$185,2,FALSE),_xlfn.TEXTAFTER(VLOOKUP($F291,Declarations!B$6:C$185,2,FALSE)," "))))</f>
        <v/>
      </c>
      <c r="D291" s="79" t="str">
        <f>IF(ISNA(VLOOKUP($F291,Declarations!$B$6:$F$185,5,FALSE)),"",IF(VLOOKUP($F291,Declarations!$B$6:$F$185,5,FALSE)="","NOT DECLARED",VLOOKUP($F291,Declarations!$B$6:$F$185,5,FALSE)))</f>
        <v/>
      </c>
      <c r="E291" s="112" t="str">
        <f>IF(ISNA(VLOOKUP($F291,Declarations!$B$6:$D$185,3,FALSE)),"",IF(VLOOKUP($F291,Declarations!$B$6:$D$185,3,FALSE)="","NOT DECLARED",VLOOKUP($F291,Declarations!$B$6:$D$185,3,FALSE)&amp;LEFT(VLOOKUP($F291,Declarations!$B$6:$E$185,4,FALSE))))</f>
        <v/>
      </c>
      <c r="F291" s="20"/>
      <c r="G291" s="21"/>
      <c r="H291" s="281"/>
      <c r="I291" s="8" t="str">
        <f>IF(ISNA(VLOOKUP(F291,Declarations!B$6:C$185,2,FALSE)),"",IF(VLOOKUP(F291,Declarations!B$6:C$185,2,FALSE)="","NOT DECLARED",VLOOKUP(F291,Declarations!B$6:C$185,2,FALSE)))</f>
        <v/>
      </c>
      <c r="J291" s="2">
        <f>IF(LOWER(LEFT(G291,1))="n",1,VLOOKUP(G291,ScoringTable!E$2:I$95,5))</f>
        <v>0</v>
      </c>
      <c r="K291" s="112" t="str">
        <f>IF(OR(E291="",G291=""),"",IF(RIGHT(E291,1)="G",_xlfn.XLOOKUP(G291,Data!$D$13:$L$13,Data!$D$9:$L$9,"",-1,1),_xlfn.XLOOKUP(G291,Data!$D$6:$L$6,Data!$D$2:$L$2,"",-1,1)))</f>
        <v/>
      </c>
      <c r="L291" s="160" t="str" cm="1">
        <f t="array" ref="L291">IFERROR(_xlfn.IFNA(
                      _xlfn.IFS(
                      F291="", "",
                      AND(E291="U12B",G291&gt;=Data!$M$6), "U12 Boys record",
                      AND(E291="U12G",G291&gt;=Data!$M$13), "U12 Girls record"
                       ),""), "")</f>
        <v/>
      </c>
      <c r="M291" s="18" cm="1">
        <f t="array" ref="M291">_xlfn.IFS($G291="",0,AND(NOT(ISNUMBER($G291)),LOWER(LEFT($G291,1))&lt;&gt;"n"),"Not a valid distance",OR(LOWER(LEFT($G291,1))="n",$G291&lt;ScoringTable!$P$161),1,RIGHT($E291,1)="B",_xlfn.XLOOKUP($G291,ScoringTable!$P$2:$P$161,ScoringTable!$L$2:$L$161,,-1),TRUE,_xlfn.XLOOKUP($G291,ScoringTable!$V$2:$V$161,ScoringTable!$R$2:$R$161,,-1))</f>
        <v>0</v>
      </c>
    </row>
    <row r="292" spans="1:13" ht="16.05" customHeight="1">
      <c r="A292" s="80" t="s">
        <v>104</v>
      </c>
      <c r="B292" s="79" t="str">
        <f>IF(ISNA(VLOOKUP($F292,Declarations!B$6:C$185,2,FALSE)),"",IF(VLOOKUP($F292,Declarations!B$6:C$185,2,FALSE)="","NOT DECLARED",IF(ISNA(_xlfn.TEXTBEFORE(VLOOKUP($F292,Declarations!B$6:C$185,2,FALSE)," ")),VLOOKUP($F292,Declarations!B$6:C$185,2,FALSE),_xlfn.TEXTBEFORE(VLOOKUP($F292,Declarations!B$6:C$185,2,FALSE)," "))))</f>
        <v/>
      </c>
      <c r="C292" s="79" t="str">
        <f>IF(ISNA(VLOOKUP($F292,Declarations!B$6:C$185,2,FALSE)),"",IF(VLOOKUP($F292,Declarations!B$6:C$185,2,FALSE)="","NOT DECLARED",IF(ISNA(_xlfn.TEXTAFTER(VLOOKUP($F292,Declarations!B$6:C$185,2,FALSE)," ")),VLOOKUP($F292,Declarations!B$6:C$185,2,FALSE),_xlfn.TEXTAFTER(VLOOKUP($F292,Declarations!B$6:C$185,2,FALSE)," "))))</f>
        <v/>
      </c>
      <c r="D292" s="79" t="str">
        <f>IF(ISNA(VLOOKUP($F292,Declarations!$B$6:$F$185,5,FALSE)),"",IF(VLOOKUP($F292,Declarations!$B$6:$F$185,5,FALSE)="","NOT DECLARED",VLOOKUP($F292,Declarations!$B$6:$F$185,5,FALSE)))</f>
        <v/>
      </c>
      <c r="E292" s="112" t="str">
        <f>IF(ISNA(VLOOKUP($F292,Declarations!$B$6:$D$185,3,FALSE)),"",IF(VLOOKUP($F292,Declarations!$B$6:$D$185,3,FALSE)="","NOT DECLARED",VLOOKUP($F292,Declarations!$B$6:$D$185,3,FALSE)&amp;LEFT(VLOOKUP($F292,Declarations!$B$6:$E$185,4,FALSE))))</f>
        <v/>
      </c>
      <c r="F292" s="20"/>
      <c r="G292" s="21"/>
      <c r="H292" s="281"/>
      <c r="I292" s="8" t="str">
        <f>IF(ISNA(VLOOKUP(F292,Declarations!B$6:C$185,2,FALSE)),"",IF(VLOOKUP(F292,Declarations!B$6:C$185,2,FALSE)="","NOT DECLARED",VLOOKUP(F292,Declarations!B$6:C$185,2,FALSE)))</f>
        <v/>
      </c>
      <c r="J292" s="2">
        <f>IF(LOWER(LEFT(G292,1))="n",1,VLOOKUP(G292,ScoringTable!E$2:I$95,5))</f>
        <v>0</v>
      </c>
      <c r="K292" s="112" t="str">
        <f>IF(OR(E292="",G292=""),"",IF(RIGHT(E292,1)="G",_xlfn.XLOOKUP(G292,Data!$D$13:$L$13,Data!$D$9:$L$9,"",-1,1),_xlfn.XLOOKUP(G292,Data!$D$6:$L$6,Data!$D$2:$L$2,"",-1,1)))</f>
        <v/>
      </c>
      <c r="L292" s="160" t="str" cm="1">
        <f t="array" ref="L292">IFERROR(_xlfn.IFNA(
                      _xlfn.IFS(
                      F292="", "",
                      AND(E292="U12B",G292&gt;=Data!$M$6), "U12 Boys record",
                      AND(E292="U12G",G292&gt;=Data!$M$13), "U12 Girls record"
                       ),""), "")</f>
        <v/>
      </c>
      <c r="M292" s="18" cm="1">
        <f t="array" ref="M292">_xlfn.IFS($G292="",0,AND(NOT(ISNUMBER($G292)),LOWER(LEFT($G292,1))&lt;&gt;"n"),"Not a valid distance",OR(LOWER(LEFT($G292,1))="n",$G292&lt;ScoringTable!$P$161),1,RIGHT($E292,1)="B",_xlfn.XLOOKUP($G292,ScoringTable!$P$2:$P$161,ScoringTable!$L$2:$L$161,,-1),TRUE,_xlfn.XLOOKUP($G292,ScoringTable!$V$2:$V$161,ScoringTable!$R$2:$R$161,,-1))</f>
        <v>0</v>
      </c>
    </row>
    <row r="293" spans="1:13" ht="16.05" customHeight="1">
      <c r="A293" s="80" t="s">
        <v>104</v>
      </c>
      <c r="B293" s="79" t="str">
        <f>IF(ISNA(VLOOKUP($F293,Declarations!B$6:C$185,2,FALSE)),"",IF(VLOOKUP($F293,Declarations!B$6:C$185,2,FALSE)="","NOT DECLARED",IF(ISNA(_xlfn.TEXTBEFORE(VLOOKUP($F293,Declarations!B$6:C$185,2,FALSE)," ")),VLOOKUP($F293,Declarations!B$6:C$185,2,FALSE),_xlfn.TEXTBEFORE(VLOOKUP($F293,Declarations!B$6:C$185,2,FALSE)," "))))</f>
        <v/>
      </c>
      <c r="C293" s="79" t="str">
        <f>IF(ISNA(VLOOKUP($F293,Declarations!B$6:C$185,2,FALSE)),"",IF(VLOOKUP($F293,Declarations!B$6:C$185,2,FALSE)="","NOT DECLARED",IF(ISNA(_xlfn.TEXTAFTER(VLOOKUP($F293,Declarations!B$6:C$185,2,FALSE)," ")),VLOOKUP($F293,Declarations!B$6:C$185,2,FALSE),_xlfn.TEXTAFTER(VLOOKUP($F293,Declarations!B$6:C$185,2,FALSE)," "))))</f>
        <v/>
      </c>
      <c r="D293" s="79" t="str">
        <f>IF(ISNA(VLOOKUP($F293,Declarations!$B$6:$F$185,5,FALSE)),"",IF(VLOOKUP($F293,Declarations!$B$6:$F$185,5,FALSE)="","NOT DECLARED",VLOOKUP($F293,Declarations!$B$6:$F$185,5,FALSE)))</f>
        <v/>
      </c>
      <c r="E293" s="112" t="str">
        <f>IF(ISNA(VLOOKUP($F293,Declarations!$B$6:$D$185,3,FALSE)),"",IF(VLOOKUP($F293,Declarations!$B$6:$D$185,3,FALSE)="","NOT DECLARED",VLOOKUP($F293,Declarations!$B$6:$D$185,3,FALSE)&amp;LEFT(VLOOKUP($F293,Declarations!$B$6:$E$185,4,FALSE))))</f>
        <v/>
      </c>
      <c r="F293" s="20"/>
      <c r="G293" s="21"/>
      <c r="H293" s="281"/>
      <c r="I293" s="8" t="str">
        <f>IF(ISNA(VLOOKUP(F293,Declarations!B$6:C$185,2,FALSE)),"",IF(VLOOKUP(F293,Declarations!B$6:C$185,2,FALSE)="","NOT DECLARED",VLOOKUP(F293,Declarations!B$6:C$185,2,FALSE)))</f>
        <v/>
      </c>
      <c r="J293" s="2">
        <f>IF(LOWER(LEFT(G293,1))="n",1,VLOOKUP(G293,ScoringTable!E$2:I$95,5))</f>
        <v>0</v>
      </c>
      <c r="K293" s="112" t="str">
        <f>IF(OR(E293="",G293=""),"",IF(RIGHT(E293,1)="G",_xlfn.XLOOKUP(G293,Data!$D$13:$L$13,Data!$D$9:$L$9,"",-1,1),_xlfn.XLOOKUP(G293,Data!$D$6:$L$6,Data!$D$2:$L$2,"",-1,1)))</f>
        <v/>
      </c>
      <c r="L293" s="160" t="str" cm="1">
        <f t="array" ref="L293">IFERROR(_xlfn.IFNA(
                      _xlfn.IFS(
                      F293="", "",
                      AND(E293="U12B",G293&gt;=Data!$M$6), "U12 Boys record",
                      AND(E293="U12G",G293&gt;=Data!$M$13), "U12 Girls record"
                       ),""), "")</f>
        <v/>
      </c>
      <c r="M293" s="18" cm="1">
        <f t="array" ref="M293">_xlfn.IFS($G293="",0,AND(NOT(ISNUMBER($G293)),LOWER(LEFT($G293,1))&lt;&gt;"n"),"Not a valid distance",OR(LOWER(LEFT($G293,1))="n",$G293&lt;ScoringTable!$P$161),1,RIGHT($E293,1)="B",_xlfn.XLOOKUP($G293,ScoringTable!$P$2:$P$161,ScoringTable!$L$2:$L$161,,-1),TRUE,_xlfn.XLOOKUP($G293,ScoringTable!$V$2:$V$161,ScoringTable!$R$2:$R$161,,-1))</f>
        <v>0</v>
      </c>
    </row>
  </sheetData>
  <sheetProtection sheet="1" objects="1" scenarios="1"/>
  <mergeCells count="6">
    <mergeCell ref="A1:D1"/>
    <mergeCell ref="F1:G1"/>
    <mergeCell ref="A2:D2"/>
    <mergeCell ref="F2:G2"/>
    <mergeCell ref="I1:K1"/>
    <mergeCell ref="I2:K2"/>
  </mergeCells>
  <phoneticPr fontId="5" type="noConversion"/>
  <conditionalFormatting sqref="F1:F1048576">
    <cfRule type="duplicateValues" dxfId="18" priority="2"/>
  </conditionalFormatting>
  <pageMargins left="0.75" right="0.75" top="1" bottom="1" header="0.5" footer="0.5"/>
  <pageSetup paperSize="9" orientation="portrait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52E8-D5C3-A342-A440-6B5C2753B214}">
  <sheetPr>
    <pageSetUpPr fitToPage="1"/>
  </sheetPr>
  <dimension ref="A1:W444"/>
  <sheetViews>
    <sheetView topLeftCell="B1" zoomScale="70" zoomScaleNormal="70" zoomScaleSheetLayoutView="75" workbookViewId="0">
      <pane ySplit="5" topLeftCell="A194" activePane="bottomLeft" state="frozen"/>
      <selection activeCell="F147" sqref="F147"/>
      <selection pane="bottomLeft" activeCell="M432" sqref="M432"/>
    </sheetView>
  </sheetViews>
  <sheetFormatPr defaultColWidth="8.77734375" defaultRowHeight="13.2"/>
  <cols>
    <col min="1" max="1" width="13.33203125" style="9" customWidth="1"/>
    <col min="2" max="2" width="13.33203125" style="4" customWidth="1"/>
    <col min="3" max="4" width="33.33203125" style="4" customWidth="1"/>
    <col min="5" max="6" width="13.33203125" style="4" customWidth="1"/>
    <col min="7" max="7" width="13.33203125" style="5" customWidth="1"/>
    <col min="8" max="9" width="13.33203125" style="4" customWidth="1"/>
    <col min="10" max="10" width="13.33203125" style="6" customWidth="1"/>
    <col min="11" max="12" width="13.33203125" customWidth="1"/>
    <col min="13" max="13" width="13.33203125" style="15" customWidth="1"/>
    <col min="14" max="15" width="13.33203125" customWidth="1"/>
    <col min="16" max="16" width="13.33203125" style="6" customWidth="1"/>
    <col min="17" max="17" width="13.33203125" customWidth="1"/>
    <col min="18" max="18" width="13.33203125" style="4" customWidth="1"/>
    <col min="19" max="20" width="23.77734375" style="4" customWidth="1"/>
    <col min="21" max="22" width="13.33203125" style="4" customWidth="1"/>
    <col min="23" max="23" width="18.44140625" style="4" customWidth="1"/>
  </cols>
  <sheetData>
    <row r="1" spans="1:23" s="9" customFormat="1" ht="37.950000000000003" customHeight="1">
      <c r="A1" s="345" t="str">
        <f>'Read Me First'!A1:F1</f>
        <v>Wessex Young Athletes Track and Field League 2026</v>
      </c>
      <c r="B1" s="345"/>
      <c r="C1" s="345"/>
      <c r="D1" s="345"/>
      <c r="E1" s="345"/>
      <c r="F1" s="345"/>
      <c r="G1" s="367" t="s">
        <v>10</v>
      </c>
      <c r="H1" s="367"/>
      <c r="I1" s="367"/>
      <c r="J1" s="367"/>
      <c r="K1" s="347" t="s">
        <v>70</v>
      </c>
      <c r="L1" s="347"/>
      <c r="M1" s="347"/>
      <c r="N1" s="347"/>
      <c r="O1" s="347"/>
      <c r="P1" s="347"/>
      <c r="Q1" s="347"/>
      <c r="R1" s="339" t="s">
        <v>13</v>
      </c>
      <c r="S1" s="340"/>
      <c r="T1" s="341"/>
      <c r="U1" s="52"/>
    </row>
    <row r="2" spans="1:23" s="9" customFormat="1" ht="37.950000000000003" customHeight="1">
      <c r="A2" s="345" t="str">
        <f>'Read Me First'!A2:F2</f>
        <v>QuadKids</v>
      </c>
      <c r="B2" s="345"/>
      <c r="C2" s="345"/>
      <c r="D2" s="345"/>
      <c r="E2" s="345"/>
      <c r="F2" s="345"/>
      <c r="G2" s="346">
        <f>'Read Me First'!C9</f>
        <v>9</v>
      </c>
      <c r="H2" s="346"/>
      <c r="I2" s="346"/>
      <c r="J2" s="346"/>
      <c r="K2" s="347" t="str">
        <f>(VLOOKUP('Read Me First'!F4,'Read Me First'!A22:D37,4,FALSE))</f>
        <v>Camberley &amp; District AC @ Woking</v>
      </c>
      <c r="L2" s="347"/>
      <c r="M2" s="347"/>
      <c r="N2" s="347"/>
      <c r="O2" s="347"/>
      <c r="P2" s="347"/>
      <c r="Q2" s="347"/>
      <c r="R2" s="342">
        <f ca="1">IF(TEXT('Read Me First'!C10,"dd/mm/yy")=TEXT(NOW(),"dd/mm/yy"), TEXT(NOW(),"dd mmmm yyyy") &amp; " (Printed " &amp; TEXT(NOW(),"hh:mm") &amp; ")",'Read Me First'!C10)</f>
        <v>46201</v>
      </c>
      <c r="S2" s="343"/>
      <c r="T2" s="344"/>
      <c r="U2" s="53"/>
    </row>
    <row r="3" spans="1:23" s="4" customFormat="1" ht="10.5" customHeight="1">
      <c r="A3" s="307"/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25"/>
    </row>
    <row r="4" spans="1:23" s="4" customFormat="1" ht="19.95" customHeight="1">
      <c r="A4" s="363"/>
      <c r="B4" s="363" t="s">
        <v>106</v>
      </c>
      <c r="C4" s="365" t="s">
        <v>107</v>
      </c>
      <c r="D4" s="365" t="s">
        <v>108</v>
      </c>
      <c r="E4" s="365" t="s">
        <v>14</v>
      </c>
      <c r="F4" s="371" t="s">
        <v>109</v>
      </c>
      <c r="G4" s="373" t="s">
        <v>85</v>
      </c>
      <c r="H4" s="374"/>
      <c r="I4" s="375"/>
      <c r="J4" s="373" t="s">
        <v>95</v>
      </c>
      <c r="K4" s="374"/>
      <c r="L4" s="375"/>
      <c r="M4" s="373" t="s">
        <v>110</v>
      </c>
      <c r="N4" s="374"/>
      <c r="O4" s="375"/>
      <c r="P4" s="376" t="s">
        <v>104</v>
      </c>
      <c r="Q4" s="377"/>
      <c r="R4" s="78" t="s">
        <v>81</v>
      </c>
      <c r="S4" s="325" t="s">
        <v>111</v>
      </c>
      <c r="T4" s="308" t="s">
        <v>112</v>
      </c>
      <c r="U4" s="54"/>
    </row>
    <row r="5" spans="1:23" s="4" customFormat="1" ht="19.95" customHeight="1" thickBot="1">
      <c r="A5" s="364"/>
      <c r="B5" s="364"/>
      <c r="C5" s="366"/>
      <c r="D5" s="366"/>
      <c r="E5" s="366"/>
      <c r="F5" s="372"/>
      <c r="G5" s="130" t="s">
        <v>113</v>
      </c>
      <c r="H5" s="131" t="s">
        <v>81</v>
      </c>
      <c r="I5" s="131" t="s">
        <v>82</v>
      </c>
      <c r="J5" s="132" t="s">
        <v>113</v>
      </c>
      <c r="K5" s="131" t="s">
        <v>81</v>
      </c>
      <c r="L5" s="131" t="s">
        <v>82</v>
      </c>
      <c r="M5" s="130" t="s">
        <v>114</v>
      </c>
      <c r="N5" s="131" t="s">
        <v>81</v>
      </c>
      <c r="O5" s="131" t="s">
        <v>82</v>
      </c>
      <c r="P5" s="130" t="s">
        <v>114</v>
      </c>
      <c r="Q5" s="131" t="s">
        <v>81</v>
      </c>
      <c r="R5" s="318" t="s">
        <v>115</v>
      </c>
      <c r="S5" s="318" t="s">
        <v>116</v>
      </c>
      <c r="T5" s="318" t="s">
        <v>116</v>
      </c>
      <c r="U5" s="54"/>
    </row>
    <row r="6" spans="1:23" s="4" customFormat="1" ht="19.95" customHeight="1">
      <c r="A6" s="368" t="str">
        <f>'Read Me First'!C11</f>
        <v>Camberley &amp; District AC</v>
      </c>
      <c r="B6" s="133" cm="1">
        <f t="array" ref="B6:T15">_xlfn._xlws.SORT(_xlfn._xlws.FILTER(Data!$A$33:$S$212,(Data!$C$33:$C$212=$A6)*(Data!$D$33:$D$212=$E$4)*(Data!$E$33:$E$212="U12")),19)</f>
        <v>1</v>
      </c>
      <c r="C6" s="134" t="str">
        <v>EVNI DUNUSINGHE</v>
      </c>
      <c r="D6" s="134" t="str">
        <v>Camberley &amp; District AC</v>
      </c>
      <c r="E6" s="134" t="str">
        <v>GIRLS</v>
      </c>
      <c r="F6" s="134" t="str">
        <v>U12</v>
      </c>
      <c r="G6" s="135">
        <v>11.4</v>
      </c>
      <c r="H6" s="134">
        <v>56</v>
      </c>
      <c r="I6" s="134" t="str">
        <v>PB9</v>
      </c>
      <c r="J6" s="136">
        <v>1.5162037037037036E-3</v>
      </c>
      <c r="K6" s="134">
        <v>59</v>
      </c>
      <c r="L6" s="134" t="str">
        <v>PB3</v>
      </c>
      <c r="M6" s="137">
        <v>3.42</v>
      </c>
      <c r="N6" s="134">
        <v>50</v>
      </c>
      <c r="O6" s="134" t="str">
        <v>PB7</v>
      </c>
      <c r="P6" s="137">
        <v>28.79</v>
      </c>
      <c r="Q6" s="134">
        <v>57</v>
      </c>
      <c r="R6" s="134">
        <v>222</v>
      </c>
      <c r="S6" s="134">
        <v>1</v>
      </c>
      <c r="T6" s="138">
        <v>4</v>
      </c>
      <c r="U6" s="129"/>
    </row>
    <row r="7" spans="1:23" ht="19.95" customHeight="1">
      <c r="A7" s="369"/>
      <c r="B7" s="145">
        <v>7</v>
      </c>
      <c r="C7" s="126" t="str">
        <v>LEA MIZEN</v>
      </c>
      <c r="D7" s="126" t="str">
        <v>Camberley &amp; District AC</v>
      </c>
      <c r="E7" s="126" t="str">
        <v>GIRLS</v>
      </c>
      <c r="F7" s="126" t="str">
        <v>U12</v>
      </c>
      <c r="G7" s="125">
        <v>11.1</v>
      </c>
      <c r="H7" s="126">
        <v>59</v>
      </c>
      <c r="I7" s="126" t="str">
        <v>PB9</v>
      </c>
      <c r="J7" s="127">
        <v>1.3993055555555555E-3</v>
      </c>
      <c r="K7" s="126">
        <v>69</v>
      </c>
      <c r="L7" s="126" t="str">
        <v>PB5</v>
      </c>
      <c r="M7" s="128">
        <v>3.4</v>
      </c>
      <c r="N7" s="126">
        <v>50</v>
      </c>
      <c r="O7" s="126" t="str">
        <v>PB7</v>
      </c>
      <c r="P7" s="128">
        <v>18.399999999999999</v>
      </c>
      <c r="Q7" s="126">
        <v>36</v>
      </c>
      <c r="R7" s="126">
        <v>214</v>
      </c>
      <c r="S7" s="126">
        <v>2</v>
      </c>
      <c r="T7" s="139">
        <v>7</v>
      </c>
      <c r="U7" s="25"/>
      <c r="V7"/>
      <c r="W7"/>
    </row>
    <row r="8" spans="1:23" ht="19.95" customHeight="1">
      <c r="A8" s="369"/>
      <c r="B8" s="145">
        <v>3</v>
      </c>
      <c r="C8" s="126" t="str">
        <v>CHARLOTTE SHEPPARD</v>
      </c>
      <c r="D8" s="126" t="str">
        <v>Camberley &amp; District AC</v>
      </c>
      <c r="E8" s="126" t="str">
        <v>GIRLS</v>
      </c>
      <c r="F8" s="126" t="str">
        <v>U12</v>
      </c>
      <c r="G8" s="125">
        <v>11</v>
      </c>
      <c r="H8" s="126">
        <v>60</v>
      </c>
      <c r="I8" s="126" t="str">
        <v>PB9</v>
      </c>
      <c r="J8" s="127">
        <v>1.431712962962963E-3</v>
      </c>
      <c r="K8" s="126">
        <v>66</v>
      </c>
      <c r="L8" s="126" t="str">
        <v>PB5</v>
      </c>
      <c r="M8" s="128">
        <v>3.37</v>
      </c>
      <c r="N8" s="126">
        <v>49</v>
      </c>
      <c r="O8" s="126" t="str">
        <v>PB7</v>
      </c>
      <c r="P8" s="128">
        <v>14.98</v>
      </c>
      <c r="Q8" s="126">
        <v>29</v>
      </c>
      <c r="R8" s="126">
        <v>204</v>
      </c>
      <c r="S8" s="126">
        <v>3</v>
      </c>
      <c r="T8" s="139">
        <v>11</v>
      </c>
      <c r="U8" s="25"/>
      <c r="V8"/>
      <c r="W8"/>
    </row>
    <row r="9" spans="1:23" ht="19.95" customHeight="1">
      <c r="A9" s="369"/>
      <c r="B9" s="145">
        <v>5</v>
      </c>
      <c r="C9" s="126" t="str">
        <v>EMILIA-MAE O'DWYER</v>
      </c>
      <c r="D9" s="126" t="str">
        <v>Camberley &amp; District AC</v>
      </c>
      <c r="E9" s="126" t="str">
        <v>GIRLS</v>
      </c>
      <c r="F9" s="126" t="str">
        <v>U12</v>
      </c>
      <c r="G9" s="125">
        <v>11.8</v>
      </c>
      <c r="H9" s="126">
        <v>52</v>
      </c>
      <c r="I9" s="126" t="str">
        <v>PB8</v>
      </c>
      <c r="J9" s="127">
        <v>1.5520833333333333E-3</v>
      </c>
      <c r="K9" s="126">
        <v>55</v>
      </c>
      <c r="L9" s="126" t="str">
        <v>PB3</v>
      </c>
      <c r="M9" s="128">
        <v>3.49</v>
      </c>
      <c r="N9" s="126">
        <v>53</v>
      </c>
      <c r="O9" s="126" t="str">
        <v>PB7</v>
      </c>
      <c r="P9" s="128">
        <v>15.49</v>
      </c>
      <c r="Q9" s="126">
        <v>30</v>
      </c>
      <c r="R9" s="126">
        <v>190</v>
      </c>
      <c r="S9" s="126">
        <v>4</v>
      </c>
      <c r="T9" s="139">
        <v>14</v>
      </c>
      <c r="U9" s="25"/>
      <c r="V9"/>
      <c r="W9"/>
    </row>
    <row r="10" spans="1:23" ht="19.95" customHeight="1">
      <c r="A10" s="369"/>
      <c r="B10" s="145">
        <v>6</v>
      </c>
      <c r="C10" s="126" t="str">
        <v>RUBY WILLIAMS</v>
      </c>
      <c r="D10" s="126" t="str">
        <v>Camberley &amp; District AC</v>
      </c>
      <c r="E10" s="126" t="str">
        <v>GIRLS</v>
      </c>
      <c r="F10" s="126" t="str">
        <v>U12</v>
      </c>
      <c r="G10" s="125">
        <v>12.6</v>
      </c>
      <c r="H10" s="126">
        <v>44</v>
      </c>
      <c r="I10" s="126" t="str">
        <v>PB6</v>
      </c>
      <c r="J10" s="127">
        <v>1.5081018518518521E-3</v>
      </c>
      <c r="K10" s="126">
        <v>59</v>
      </c>
      <c r="L10" s="126" t="str">
        <v>PB3</v>
      </c>
      <c r="M10" s="128">
        <v>3.16</v>
      </c>
      <c r="N10" s="126">
        <v>42</v>
      </c>
      <c r="O10" s="126" t="str">
        <v>PB6</v>
      </c>
      <c r="P10" s="128">
        <v>21.37</v>
      </c>
      <c r="Q10" s="126">
        <v>42</v>
      </c>
      <c r="R10" s="126">
        <v>187</v>
      </c>
      <c r="S10" s="126">
        <v>5</v>
      </c>
      <c r="T10" s="139">
        <v>16</v>
      </c>
      <c r="U10" s="25"/>
      <c r="V10"/>
      <c r="W10"/>
    </row>
    <row r="11" spans="1:23" ht="19.95" customHeight="1">
      <c r="A11" s="369"/>
      <c r="B11" s="145">
        <v>2</v>
      </c>
      <c r="C11" s="126" t="str">
        <v>POPPY READ</v>
      </c>
      <c r="D11" s="126" t="str">
        <v>Camberley &amp; District AC</v>
      </c>
      <c r="E11" s="126" t="str">
        <v>GIRLS</v>
      </c>
      <c r="F11" s="126" t="str">
        <v>U12</v>
      </c>
      <c r="G11" s="125">
        <v>11.8</v>
      </c>
      <c r="H11" s="126">
        <v>52</v>
      </c>
      <c r="I11" s="126" t="str">
        <v>PB8</v>
      </c>
      <c r="J11" s="127">
        <v>1.6909722222222222E-3</v>
      </c>
      <c r="K11" s="126">
        <v>43</v>
      </c>
      <c r="L11" s="126" t="str">
        <v>PB1</v>
      </c>
      <c r="M11" s="128">
        <v>3.35</v>
      </c>
      <c r="N11" s="126">
        <v>48</v>
      </c>
      <c r="O11" s="126" t="str">
        <v>PB7</v>
      </c>
      <c r="P11" s="128">
        <v>15.8</v>
      </c>
      <c r="Q11" s="126">
        <v>31</v>
      </c>
      <c r="R11" s="126">
        <v>174</v>
      </c>
      <c r="S11" s="126">
        <v>6</v>
      </c>
      <c r="T11" s="139">
        <v>23</v>
      </c>
      <c r="U11" s="25"/>
      <c r="V11"/>
      <c r="W11"/>
    </row>
    <row r="12" spans="1:23" ht="19.95" customHeight="1">
      <c r="A12" s="369"/>
      <c r="B12" s="145">
        <v>4</v>
      </c>
      <c r="C12" s="126" t="str">
        <v>AVA WANLESS</v>
      </c>
      <c r="D12" s="126" t="str">
        <v>Camberley &amp; District AC</v>
      </c>
      <c r="E12" s="126" t="str">
        <v>GIRLS</v>
      </c>
      <c r="F12" s="126" t="str">
        <v>U12</v>
      </c>
      <c r="G12" s="125">
        <v>12.3</v>
      </c>
      <c r="H12" s="126">
        <v>47</v>
      </c>
      <c r="I12" s="126" t="str">
        <v>PB7</v>
      </c>
      <c r="J12" s="127">
        <v>1.7719907407407406E-3</v>
      </c>
      <c r="K12" s="126">
        <v>36</v>
      </c>
      <c r="L12" s="126" t="str">
        <v>PB1</v>
      </c>
      <c r="M12" s="128">
        <v>2.99</v>
      </c>
      <c r="N12" s="126">
        <v>36</v>
      </c>
      <c r="O12" s="126" t="str">
        <v>PB5</v>
      </c>
      <c r="P12" s="128">
        <v>14.76</v>
      </c>
      <c r="Q12" s="126">
        <v>29</v>
      </c>
      <c r="R12" s="126">
        <v>148</v>
      </c>
      <c r="S12" s="126">
        <v>7</v>
      </c>
      <c r="T12" s="139">
        <v>36</v>
      </c>
      <c r="U12" s="25"/>
      <c r="V12"/>
      <c r="W12"/>
    </row>
    <row r="13" spans="1:23" ht="19.95" customHeight="1">
      <c r="A13" s="369"/>
      <c r="B13" s="145">
        <v>8</v>
      </c>
      <c r="C13" s="126" t="str">
        <v>CHLOE HARRISON</v>
      </c>
      <c r="D13" s="126" t="str">
        <v>Camberley &amp; District AC</v>
      </c>
      <c r="E13" s="126" t="str">
        <v>GIRLS</v>
      </c>
      <c r="F13" s="126" t="str">
        <v>U12</v>
      </c>
      <c r="G13" s="125">
        <v>12.1</v>
      </c>
      <c r="H13" s="126">
        <v>49</v>
      </c>
      <c r="I13" s="126" t="str">
        <v>PB8</v>
      </c>
      <c r="J13" s="127">
        <v>1.6111111111111109E-3</v>
      </c>
      <c r="K13" s="126">
        <v>50</v>
      </c>
      <c r="L13" s="126" t="str">
        <v>PB2</v>
      </c>
      <c r="M13" s="128" t="str">
        <v/>
      </c>
      <c r="N13" s="126">
        <v>0</v>
      </c>
      <c r="O13" s="126">
        <v>0</v>
      </c>
      <c r="P13" s="128">
        <v>21.6</v>
      </c>
      <c r="Q13" s="126">
        <v>43</v>
      </c>
      <c r="R13" s="126">
        <v>142</v>
      </c>
      <c r="S13" s="126">
        <v>8</v>
      </c>
      <c r="T13" s="139">
        <v>39</v>
      </c>
      <c r="U13" s="25"/>
      <c r="V13"/>
      <c r="W13"/>
    </row>
    <row r="14" spans="1:23" ht="19.95" customHeight="1">
      <c r="A14" s="369"/>
      <c r="B14" s="145">
        <v>9</v>
      </c>
      <c r="C14" s="126" t="str">
        <v/>
      </c>
      <c r="D14" s="126" t="str">
        <v>Camberley &amp; District AC</v>
      </c>
      <c r="E14" s="126" t="str">
        <v>GIRLS</v>
      </c>
      <c r="F14" s="126" t="str">
        <v>U12</v>
      </c>
      <c r="G14" s="125" t="str">
        <v/>
      </c>
      <c r="H14" s="126">
        <v>0</v>
      </c>
      <c r="I14" s="126" t="str">
        <v/>
      </c>
      <c r="J14" s="127">
        <v>0</v>
      </c>
      <c r="K14" s="126">
        <v>0</v>
      </c>
      <c r="L14" s="126" t="str">
        <v/>
      </c>
      <c r="M14" s="128" t="str">
        <v/>
      </c>
      <c r="N14" s="126">
        <v>0</v>
      </c>
      <c r="O14" s="126">
        <v>0</v>
      </c>
      <c r="P14" s="128" t="str">
        <v/>
      </c>
      <c r="Q14" s="126">
        <v>0</v>
      </c>
      <c r="R14" s="126">
        <v>0</v>
      </c>
      <c r="S14" s="126" t="str">
        <v/>
      </c>
      <c r="T14" s="139" t="str">
        <v/>
      </c>
      <c r="U14" s="25"/>
      <c r="V14"/>
      <c r="W14"/>
    </row>
    <row r="15" spans="1:23" ht="19.95" customHeight="1">
      <c r="A15" s="369"/>
      <c r="B15" s="145">
        <v>10</v>
      </c>
      <c r="C15" s="126" t="str">
        <v/>
      </c>
      <c r="D15" s="126" t="str">
        <v>Camberley &amp; District AC</v>
      </c>
      <c r="E15" s="126" t="str">
        <v>GIRLS</v>
      </c>
      <c r="F15" s="126" t="str">
        <v>U12</v>
      </c>
      <c r="G15" s="125" t="str">
        <v/>
      </c>
      <c r="H15" s="126">
        <v>0</v>
      </c>
      <c r="I15" s="126" t="str">
        <v/>
      </c>
      <c r="J15" s="127">
        <v>0</v>
      </c>
      <c r="K15" s="126">
        <v>0</v>
      </c>
      <c r="L15" s="126" t="str">
        <v/>
      </c>
      <c r="M15" s="128" t="str">
        <v/>
      </c>
      <c r="N15" s="126">
        <v>0</v>
      </c>
      <c r="O15" s="126">
        <v>0</v>
      </c>
      <c r="P15" s="128" t="str">
        <v/>
      </c>
      <c r="Q15" s="126">
        <v>0</v>
      </c>
      <c r="R15" s="126">
        <v>0</v>
      </c>
      <c r="S15" s="126" t="str">
        <v/>
      </c>
      <c r="T15" s="139" t="str">
        <v/>
      </c>
      <c r="U15" s="25"/>
      <c r="V15"/>
      <c r="W15"/>
    </row>
    <row r="16" spans="1:23" ht="19.95" customHeight="1">
      <c r="A16" s="369"/>
      <c r="B16" s="145"/>
      <c r="C16" s="126"/>
      <c r="D16" s="126"/>
      <c r="E16" s="126"/>
      <c r="F16" s="126"/>
      <c r="G16" s="125"/>
      <c r="H16" s="126"/>
      <c r="I16" s="126"/>
      <c r="J16" s="127"/>
      <c r="K16" s="126"/>
      <c r="L16" s="126"/>
      <c r="M16" s="128"/>
      <c r="N16" s="126"/>
      <c r="O16" s="126"/>
      <c r="P16" s="128"/>
      <c r="Q16" s="126"/>
      <c r="R16" s="126"/>
      <c r="S16" s="126"/>
      <c r="T16" s="139"/>
      <c r="U16" s="25"/>
      <c r="V16"/>
      <c r="W16"/>
    </row>
    <row r="17" spans="1:23" ht="19.95" customHeight="1">
      <c r="A17" s="369"/>
      <c r="B17" s="145"/>
      <c r="C17" s="126"/>
      <c r="D17" s="126"/>
      <c r="E17" s="126"/>
      <c r="F17" s="126"/>
      <c r="G17" s="125"/>
      <c r="H17" s="126"/>
      <c r="I17" s="126"/>
      <c r="J17" s="127"/>
      <c r="K17" s="126"/>
      <c r="L17" s="126"/>
      <c r="M17" s="128"/>
      <c r="N17" s="126"/>
      <c r="O17" s="126"/>
      <c r="P17" s="128"/>
      <c r="Q17" s="126"/>
      <c r="R17" s="126"/>
      <c r="S17" s="126"/>
      <c r="T17" s="139"/>
      <c r="U17" s="25"/>
      <c r="V17"/>
      <c r="W17"/>
    </row>
    <row r="18" spans="1:23" ht="19.95" customHeight="1">
      <c r="A18" s="369"/>
      <c r="B18" s="145"/>
      <c r="C18" s="126"/>
      <c r="D18" s="126"/>
      <c r="E18" s="126"/>
      <c r="F18" s="126"/>
      <c r="G18" s="125"/>
      <c r="H18" s="126"/>
      <c r="I18" s="126"/>
      <c r="J18" s="127"/>
      <c r="K18" s="126"/>
      <c r="L18" s="126"/>
      <c r="M18" s="128"/>
      <c r="N18" s="126"/>
      <c r="O18" s="126"/>
      <c r="P18" s="128"/>
      <c r="Q18" s="126"/>
      <c r="R18" s="126"/>
      <c r="S18" s="126"/>
      <c r="T18" s="139"/>
      <c r="U18" s="25"/>
      <c r="V18"/>
      <c r="W18"/>
    </row>
    <row r="19" spans="1:23" ht="19.95" customHeight="1">
      <c r="A19" s="369"/>
      <c r="B19" s="145"/>
      <c r="C19" s="126"/>
      <c r="D19" s="126"/>
      <c r="E19" s="126"/>
      <c r="F19" s="126"/>
      <c r="G19" s="125"/>
      <c r="H19" s="126"/>
      <c r="I19" s="126"/>
      <c r="J19" s="127"/>
      <c r="K19" s="126"/>
      <c r="L19" s="126"/>
      <c r="M19" s="128"/>
      <c r="N19" s="126"/>
      <c r="O19" s="126"/>
      <c r="P19" s="128"/>
      <c r="Q19" s="126"/>
      <c r="R19" s="126"/>
      <c r="S19" s="126"/>
      <c r="T19" s="139"/>
      <c r="U19" s="25"/>
      <c r="V19"/>
      <c r="W19"/>
    </row>
    <row r="20" spans="1:23" ht="19.95" customHeight="1">
      <c r="A20" s="369"/>
      <c r="B20" s="145"/>
      <c r="C20" s="126"/>
      <c r="D20" s="126"/>
      <c r="E20" s="126"/>
      <c r="F20" s="126"/>
      <c r="G20" s="125"/>
      <c r="H20" s="126"/>
      <c r="I20" s="126"/>
      <c r="J20" s="127"/>
      <c r="K20" s="126"/>
      <c r="L20" s="126"/>
      <c r="M20" s="128"/>
      <c r="N20" s="126"/>
      <c r="O20" s="126"/>
      <c r="P20" s="128"/>
      <c r="Q20" s="126"/>
      <c r="R20" s="126"/>
      <c r="S20" s="126"/>
      <c r="T20" s="139"/>
      <c r="U20" s="25"/>
      <c r="V20"/>
      <c r="W20"/>
    </row>
    <row r="21" spans="1:23" ht="19.95" customHeight="1">
      <c r="A21" s="369"/>
      <c r="B21" s="145"/>
      <c r="C21" s="126"/>
      <c r="D21" s="126"/>
      <c r="E21" s="126"/>
      <c r="F21" s="126"/>
      <c r="G21" s="125"/>
      <c r="H21" s="126"/>
      <c r="I21" s="126"/>
      <c r="J21" s="127"/>
      <c r="K21" s="126"/>
      <c r="L21" s="126"/>
      <c r="M21" s="128"/>
      <c r="N21" s="126"/>
      <c r="O21" s="126"/>
      <c r="P21" s="128"/>
      <c r="Q21" s="126"/>
      <c r="R21" s="126"/>
      <c r="S21" s="126"/>
      <c r="T21" s="139"/>
      <c r="U21" s="25"/>
      <c r="V21"/>
      <c r="W21"/>
    </row>
    <row r="22" spans="1:23" ht="19.95" customHeight="1">
      <c r="A22" s="369"/>
      <c r="B22" s="145"/>
      <c r="C22" s="126"/>
      <c r="D22" s="126"/>
      <c r="E22" s="126"/>
      <c r="F22" s="126"/>
      <c r="G22" s="125"/>
      <c r="H22" s="126"/>
      <c r="I22" s="126"/>
      <c r="J22" s="127"/>
      <c r="K22" s="126"/>
      <c r="L22" s="126"/>
      <c r="M22" s="128"/>
      <c r="N22" s="126"/>
      <c r="O22" s="126"/>
      <c r="P22" s="128"/>
      <c r="Q22" s="126"/>
      <c r="R22" s="126"/>
      <c r="S22" s="126"/>
      <c r="T22" s="139"/>
      <c r="U22" s="25"/>
      <c r="V22"/>
      <c r="W22"/>
    </row>
    <row r="23" spans="1:23" ht="19.95" customHeight="1">
      <c r="A23" s="369"/>
      <c r="B23" s="145"/>
      <c r="C23" s="126"/>
      <c r="D23" s="126"/>
      <c r="E23" s="126"/>
      <c r="F23" s="126"/>
      <c r="G23" s="125"/>
      <c r="H23" s="126"/>
      <c r="I23" s="126"/>
      <c r="J23" s="127"/>
      <c r="K23" s="126"/>
      <c r="L23" s="126"/>
      <c r="M23" s="128"/>
      <c r="N23" s="126"/>
      <c r="O23" s="126"/>
      <c r="P23" s="128"/>
      <c r="Q23" s="126"/>
      <c r="R23" s="126"/>
      <c r="S23" s="126"/>
      <c r="T23" s="139"/>
      <c r="U23" s="25"/>
      <c r="V23"/>
      <c r="W23"/>
    </row>
    <row r="24" spans="1:23" ht="19.95" customHeight="1">
      <c r="A24" s="369"/>
      <c r="B24" s="145"/>
      <c r="C24" s="126"/>
      <c r="D24" s="126"/>
      <c r="E24" s="126"/>
      <c r="F24" s="126"/>
      <c r="G24" s="125"/>
      <c r="H24" s="126"/>
      <c r="I24" s="126"/>
      <c r="J24" s="127"/>
      <c r="K24" s="126"/>
      <c r="L24" s="126"/>
      <c r="M24" s="128"/>
      <c r="N24" s="126"/>
      <c r="O24" s="126"/>
      <c r="P24" s="128"/>
      <c r="Q24" s="126"/>
      <c r="R24" s="126"/>
      <c r="S24" s="126"/>
      <c r="T24" s="139"/>
      <c r="U24" s="25"/>
      <c r="V24"/>
      <c r="W24"/>
    </row>
    <row r="25" spans="1:23" ht="19.95" customHeight="1" thickBot="1">
      <c r="A25" s="370"/>
      <c r="B25" s="146"/>
      <c r="C25" s="140"/>
      <c r="D25" s="140"/>
      <c r="E25" s="140"/>
      <c r="F25" s="140"/>
      <c r="G25" s="141"/>
      <c r="H25" s="140"/>
      <c r="I25" s="140"/>
      <c r="J25" s="142"/>
      <c r="K25" s="140"/>
      <c r="L25" s="140"/>
      <c r="M25" s="143"/>
      <c r="N25" s="140"/>
      <c r="O25" s="140"/>
      <c r="P25" s="143"/>
      <c r="Q25" s="140"/>
      <c r="R25" s="140"/>
      <c r="S25" s="140"/>
      <c r="T25" s="144"/>
      <c r="U25" s="25"/>
      <c r="V25"/>
      <c r="W25"/>
    </row>
    <row r="26" spans="1:23" ht="19.95" customHeight="1">
      <c r="A26" s="368" t="str">
        <f>'Read Me First'!C12</f>
        <v>Woking AC</v>
      </c>
      <c r="B26" s="133" cm="1">
        <f t="array" ref="B26:T35">_xlfn._xlws.SORT(_xlfn._xlws.FILTER(Data!$A$33:$S$212,(Data!$C$33:$C$212=$A26)*(Data!$D$33:$D$212=$E$4)*(Data!$E$33:$E$212="U12")),19)</f>
        <v>27</v>
      </c>
      <c r="C26" s="134" t="str">
        <v>SOPHIE GBAJOBI</v>
      </c>
      <c r="D26" s="134" t="str">
        <v>Woking AC</v>
      </c>
      <c r="E26" s="134" t="str">
        <v>GIRLS</v>
      </c>
      <c r="F26" s="134" t="str">
        <v>U12</v>
      </c>
      <c r="G26" s="135">
        <v>10.7</v>
      </c>
      <c r="H26" s="134">
        <v>63</v>
      </c>
      <c r="I26" s="134" t="str">
        <v>PB9</v>
      </c>
      <c r="J26" s="136">
        <v>1.4861111111111112E-3</v>
      </c>
      <c r="K26" s="134">
        <v>61</v>
      </c>
      <c r="L26" s="134" t="str">
        <v>PB4</v>
      </c>
      <c r="M26" s="137">
        <v>3.45</v>
      </c>
      <c r="N26" s="134">
        <v>51</v>
      </c>
      <c r="O26" s="134" t="str">
        <v>PB7</v>
      </c>
      <c r="P26" s="137">
        <v>24.65</v>
      </c>
      <c r="Q26" s="134">
        <v>49</v>
      </c>
      <c r="R26" s="134">
        <v>224</v>
      </c>
      <c r="S26" s="134">
        <v>1</v>
      </c>
      <c r="T26" s="138">
        <v>2</v>
      </c>
      <c r="U26" s="25"/>
      <c r="V26"/>
      <c r="W26"/>
    </row>
    <row r="27" spans="1:23" s="4" customFormat="1" ht="19.95" customHeight="1">
      <c r="A27" s="369"/>
      <c r="B27" s="145">
        <v>21</v>
      </c>
      <c r="C27" s="126" t="str">
        <v>ELISE ABDELLI</v>
      </c>
      <c r="D27" s="126" t="str">
        <v>Woking AC</v>
      </c>
      <c r="E27" s="126" t="str">
        <v>GIRLS</v>
      </c>
      <c r="F27" s="126" t="str">
        <v>U12</v>
      </c>
      <c r="G27" s="125">
        <v>11.8</v>
      </c>
      <c r="H27" s="126">
        <v>52</v>
      </c>
      <c r="I27" s="126" t="str">
        <v>PB8</v>
      </c>
      <c r="J27" s="127">
        <v>1.4826388888888888E-3</v>
      </c>
      <c r="K27" s="126">
        <v>61</v>
      </c>
      <c r="L27" s="126" t="str">
        <v>PB4</v>
      </c>
      <c r="M27" s="128">
        <v>3.79</v>
      </c>
      <c r="N27" s="126">
        <v>63</v>
      </c>
      <c r="O27" s="126" t="str">
        <v>PB9</v>
      </c>
      <c r="P27" s="128">
        <v>22.76</v>
      </c>
      <c r="Q27" s="126">
        <v>45</v>
      </c>
      <c r="R27" s="126">
        <v>221</v>
      </c>
      <c r="S27" s="126">
        <v>2</v>
      </c>
      <c r="T27" s="139">
        <v>5</v>
      </c>
      <c r="U27" s="129"/>
    </row>
    <row r="28" spans="1:23" ht="19.95" customHeight="1">
      <c r="A28" s="369"/>
      <c r="B28" s="145">
        <v>23</v>
      </c>
      <c r="C28" s="126" t="str">
        <v>ALIYAH KENNAUGH</v>
      </c>
      <c r="D28" s="126" t="str">
        <v>Woking AC</v>
      </c>
      <c r="E28" s="126" t="str">
        <v>GIRLS</v>
      </c>
      <c r="F28" s="126" t="str">
        <v>U12</v>
      </c>
      <c r="G28" s="125">
        <v>12.2</v>
      </c>
      <c r="H28" s="126">
        <v>48</v>
      </c>
      <c r="I28" s="126" t="str">
        <v>PB7</v>
      </c>
      <c r="J28" s="127">
        <v>1.5393518518518519E-3</v>
      </c>
      <c r="K28" s="126">
        <v>57</v>
      </c>
      <c r="L28" s="126" t="str">
        <v>PB3</v>
      </c>
      <c r="M28" s="128">
        <v>3.11</v>
      </c>
      <c r="N28" s="126">
        <v>40</v>
      </c>
      <c r="O28" s="126" t="str">
        <v>PB6</v>
      </c>
      <c r="P28" s="128">
        <v>15.48</v>
      </c>
      <c r="Q28" s="126">
        <v>30</v>
      </c>
      <c r="R28" s="126">
        <v>175</v>
      </c>
      <c r="S28" s="126">
        <v>3</v>
      </c>
      <c r="T28" s="139">
        <v>20</v>
      </c>
      <c r="U28" s="25"/>
      <c r="V28"/>
      <c r="W28"/>
    </row>
    <row r="29" spans="1:23" ht="19.95" customHeight="1">
      <c r="A29" s="369"/>
      <c r="B29" s="145">
        <v>22</v>
      </c>
      <c r="C29" s="126" t="str">
        <v>FRANKIE ICETON</v>
      </c>
      <c r="D29" s="126" t="str">
        <v>Woking AC</v>
      </c>
      <c r="E29" s="126" t="str">
        <v>GIRLS</v>
      </c>
      <c r="F29" s="126" t="str">
        <v>U12</v>
      </c>
      <c r="G29" s="125">
        <v>12.6</v>
      </c>
      <c r="H29" s="126">
        <v>44</v>
      </c>
      <c r="I29" s="126" t="str">
        <v>PB6</v>
      </c>
      <c r="J29" s="127">
        <v>1.8333333333333333E-3</v>
      </c>
      <c r="K29" s="126">
        <v>31</v>
      </c>
      <c r="L29" s="126" t="str">
        <v/>
      </c>
      <c r="M29" s="128">
        <v>3.29</v>
      </c>
      <c r="N29" s="126">
        <v>46</v>
      </c>
      <c r="O29" s="126" t="str">
        <v>PB7</v>
      </c>
      <c r="P29" s="128">
        <v>21.31</v>
      </c>
      <c r="Q29" s="126">
        <v>42</v>
      </c>
      <c r="R29" s="126">
        <v>163</v>
      </c>
      <c r="S29" s="126">
        <v>4</v>
      </c>
      <c r="T29" s="139">
        <v>28</v>
      </c>
      <c r="U29" s="25"/>
      <c r="V29"/>
      <c r="W29"/>
    </row>
    <row r="30" spans="1:23" ht="19.95" customHeight="1">
      <c r="A30" s="369"/>
      <c r="B30" s="145">
        <v>26</v>
      </c>
      <c r="C30" s="126" t="str">
        <v>EDEN WECKI</v>
      </c>
      <c r="D30" s="126" t="str">
        <v>Woking AC</v>
      </c>
      <c r="E30" s="126" t="str">
        <v>GIRLS</v>
      </c>
      <c r="F30" s="126" t="str">
        <v>U12</v>
      </c>
      <c r="G30" s="125">
        <v>13.3</v>
      </c>
      <c r="H30" s="126">
        <v>37</v>
      </c>
      <c r="I30" s="126" t="str">
        <v>PB5</v>
      </c>
      <c r="J30" s="127">
        <v>1.5416666666666664E-3</v>
      </c>
      <c r="K30" s="126">
        <v>56</v>
      </c>
      <c r="L30" s="126" t="str">
        <v>PB3</v>
      </c>
      <c r="M30" s="128">
        <v>2.66</v>
      </c>
      <c r="N30" s="126">
        <v>25</v>
      </c>
      <c r="O30" s="126" t="str">
        <v>PB4</v>
      </c>
      <c r="P30" s="128">
        <v>13.6</v>
      </c>
      <c r="Q30" s="126">
        <v>27</v>
      </c>
      <c r="R30" s="126">
        <v>145</v>
      </c>
      <c r="S30" s="126">
        <v>5</v>
      </c>
      <c r="T30" s="139">
        <v>38</v>
      </c>
      <c r="U30" s="25"/>
      <c r="V30"/>
      <c r="W30"/>
    </row>
    <row r="31" spans="1:23" ht="19.95" customHeight="1">
      <c r="A31" s="369"/>
      <c r="B31" s="145">
        <v>24</v>
      </c>
      <c r="C31" s="126" t="str">
        <v>ELIN PERERA</v>
      </c>
      <c r="D31" s="126" t="str">
        <v>Woking AC</v>
      </c>
      <c r="E31" s="126" t="str">
        <v>GIRLS</v>
      </c>
      <c r="F31" s="126" t="str">
        <v>U12</v>
      </c>
      <c r="G31" s="125">
        <v>12.4</v>
      </c>
      <c r="H31" s="126">
        <v>46</v>
      </c>
      <c r="I31" s="126" t="str">
        <v>PB7</v>
      </c>
      <c r="J31" s="127">
        <v>1.5208333333333335E-3</v>
      </c>
      <c r="K31" s="126">
        <v>58</v>
      </c>
      <c r="L31" s="126" t="str">
        <v>PB3</v>
      </c>
      <c r="M31" s="128" t="str">
        <v/>
      </c>
      <c r="N31" s="126">
        <v>0</v>
      </c>
      <c r="O31" s="126">
        <v>0</v>
      </c>
      <c r="P31" s="128">
        <v>16.940000000000001</v>
      </c>
      <c r="Q31" s="126">
        <v>33</v>
      </c>
      <c r="R31" s="126">
        <v>137</v>
      </c>
      <c r="S31" s="126">
        <v>6</v>
      </c>
      <c r="T31" s="139">
        <v>41</v>
      </c>
      <c r="U31" s="25"/>
      <c r="V31"/>
      <c r="W31"/>
    </row>
    <row r="32" spans="1:23" ht="19.95" customHeight="1">
      <c r="A32" s="369"/>
      <c r="B32" s="145">
        <v>25</v>
      </c>
      <c r="C32" s="126" t="str">
        <v>LILY COPP</v>
      </c>
      <c r="D32" s="126" t="str">
        <v>Woking AC</v>
      </c>
      <c r="E32" s="126" t="str">
        <v>GIRLS</v>
      </c>
      <c r="F32" s="126" t="str">
        <v>U12</v>
      </c>
      <c r="G32" s="125">
        <v>13.5</v>
      </c>
      <c r="H32" s="126">
        <v>35</v>
      </c>
      <c r="I32" s="126" t="str">
        <v>PB5</v>
      </c>
      <c r="J32" s="127">
        <v>1.6064814814814815E-3</v>
      </c>
      <c r="K32" s="126">
        <v>51</v>
      </c>
      <c r="L32" s="126" t="str">
        <v>PB2</v>
      </c>
      <c r="M32" s="128">
        <v>2.38</v>
      </c>
      <c r="N32" s="126">
        <v>16</v>
      </c>
      <c r="O32" s="126" t="str">
        <v>PB3</v>
      </c>
      <c r="P32" s="128">
        <v>12.8</v>
      </c>
      <c r="Q32" s="126">
        <v>25</v>
      </c>
      <c r="R32" s="126">
        <v>127</v>
      </c>
      <c r="S32" s="126">
        <v>7</v>
      </c>
      <c r="T32" s="139">
        <v>42</v>
      </c>
      <c r="U32" s="25"/>
      <c r="V32"/>
      <c r="W32"/>
    </row>
    <row r="33" spans="1:23" ht="19.95" customHeight="1">
      <c r="A33" s="369"/>
      <c r="B33" s="145">
        <v>29</v>
      </c>
      <c r="C33" s="126" t="str">
        <v>KATIE TAYLOR</v>
      </c>
      <c r="D33" s="126" t="str">
        <v>Woking AC</v>
      </c>
      <c r="E33" s="126" t="str">
        <v>GIRLS</v>
      </c>
      <c r="F33" s="126" t="str">
        <v>U12</v>
      </c>
      <c r="G33" s="125">
        <v>14</v>
      </c>
      <c r="H33" s="126">
        <v>30</v>
      </c>
      <c r="I33" s="126" t="str">
        <v>PB4</v>
      </c>
      <c r="J33" s="127">
        <v>0</v>
      </c>
      <c r="K33" s="126">
        <v>0</v>
      </c>
      <c r="L33" s="126" t="str">
        <v/>
      </c>
      <c r="M33" s="128">
        <v>2.31</v>
      </c>
      <c r="N33" s="126">
        <v>13</v>
      </c>
      <c r="O33" s="126" t="str">
        <v>PB3</v>
      </c>
      <c r="P33" s="128" t="str">
        <v/>
      </c>
      <c r="Q33" s="126">
        <v>0</v>
      </c>
      <c r="R33" s="126">
        <v>43</v>
      </c>
      <c r="S33" s="126">
        <v>8</v>
      </c>
      <c r="T33" s="139">
        <v>46</v>
      </c>
      <c r="U33" s="25"/>
      <c r="V33"/>
      <c r="W33"/>
    </row>
    <row r="34" spans="1:23" ht="19.95" customHeight="1">
      <c r="A34" s="369"/>
      <c r="B34" s="145">
        <v>28</v>
      </c>
      <c r="C34" s="126" t="str">
        <v>ALANA FOOTE</v>
      </c>
      <c r="D34" s="126" t="str">
        <v>Woking AC</v>
      </c>
      <c r="E34" s="126" t="str">
        <v>GIRLS</v>
      </c>
      <c r="F34" s="126" t="str">
        <v>U12</v>
      </c>
      <c r="G34" s="125" t="str">
        <v/>
      </c>
      <c r="H34" s="126">
        <v>0</v>
      </c>
      <c r="I34" s="126" t="str">
        <v/>
      </c>
      <c r="J34" s="127">
        <v>0</v>
      </c>
      <c r="K34" s="126">
        <v>0</v>
      </c>
      <c r="L34" s="126" t="str">
        <v/>
      </c>
      <c r="M34" s="128" t="str">
        <v/>
      </c>
      <c r="N34" s="126">
        <v>0</v>
      </c>
      <c r="O34" s="126">
        <v>0</v>
      </c>
      <c r="P34" s="128" t="str">
        <v/>
      </c>
      <c r="Q34" s="126">
        <v>0</v>
      </c>
      <c r="R34" s="126">
        <v>0</v>
      </c>
      <c r="S34" s="126" t="str">
        <v/>
      </c>
      <c r="T34" s="139" t="str">
        <v/>
      </c>
      <c r="U34" s="25"/>
      <c r="V34"/>
      <c r="W34"/>
    </row>
    <row r="35" spans="1:23" ht="19.95" customHeight="1">
      <c r="A35" s="369"/>
      <c r="B35" s="145">
        <v>30</v>
      </c>
      <c r="C35" s="126" t="str">
        <v/>
      </c>
      <c r="D35" s="126" t="str">
        <v>Woking AC</v>
      </c>
      <c r="E35" s="126" t="str">
        <v>GIRLS</v>
      </c>
      <c r="F35" s="126" t="str">
        <v>U12</v>
      </c>
      <c r="G35" s="125" t="str">
        <v/>
      </c>
      <c r="H35" s="126">
        <v>0</v>
      </c>
      <c r="I35" s="126" t="str">
        <v/>
      </c>
      <c r="J35" s="127">
        <v>0</v>
      </c>
      <c r="K35" s="126">
        <v>0</v>
      </c>
      <c r="L35" s="126" t="str">
        <v/>
      </c>
      <c r="M35" s="128" t="str">
        <v/>
      </c>
      <c r="N35" s="126">
        <v>0</v>
      </c>
      <c r="O35" s="126">
        <v>0</v>
      </c>
      <c r="P35" s="128" t="str">
        <v/>
      </c>
      <c r="Q35" s="126">
        <v>0</v>
      </c>
      <c r="R35" s="126">
        <v>0</v>
      </c>
      <c r="S35" s="126" t="str">
        <v/>
      </c>
      <c r="T35" s="139" t="str">
        <v/>
      </c>
      <c r="U35" s="25"/>
      <c r="V35"/>
      <c r="W35"/>
    </row>
    <row r="36" spans="1:23" ht="19.95" customHeight="1">
      <c r="A36" s="369"/>
      <c r="B36" s="145"/>
      <c r="C36" s="126"/>
      <c r="D36" s="126"/>
      <c r="E36" s="126"/>
      <c r="F36" s="126"/>
      <c r="G36" s="125"/>
      <c r="H36" s="126"/>
      <c r="I36" s="126"/>
      <c r="J36" s="127"/>
      <c r="K36" s="126"/>
      <c r="L36" s="126"/>
      <c r="M36" s="128"/>
      <c r="N36" s="126"/>
      <c r="O36" s="126"/>
      <c r="P36" s="128"/>
      <c r="Q36" s="126"/>
      <c r="R36" s="126"/>
      <c r="S36" s="126"/>
      <c r="T36" s="139"/>
      <c r="U36" s="25"/>
      <c r="V36"/>
      <c r="W36"/>
    </row>
    <row r="37" spans="1:23" ht="19.95" customHeight="1">
      <c r="A37" s="369"/>
      <c r="B37" s="145"/>
      <c r="C37" s="126"/>
      <c r="D37" s="126"/>
      <c r="E37" s="126"/>
      <c r="F37" s="126"/>
      <c r="G37" s="125"/>
      <c r="H37" s="126"/>
      <c r="I37" s="126"/>
      <c r="J37" s="127"/>
      <c r="K37" s="126"/>
      <c r="L37" s="126"/>
      <c r="M37" s="128"/>
      <c r="N37" s="126"/>
      <c r="O37" s="126"/>
      <c r="P37" s="128"/>
      <c r="Q37" s="126"/>
      <c r="R37" s="126"/>
      <c r="S37" s="126"/>
      <c r="T37" s="139"/>
      <c r="U37" s="25"/>
      <c r="V37"/>
      <c r="W37"/>
    </row>
    <row r="38" spans="1:23" ht="19.95" customHeight="1">
      <c r="A38" s="369"/>
      <c r="B38" s="145"/>
      <c r="C38" s="126"/>
      <c r="D38" s="126"/>
      <c r="E38" s="126"/>
      <c r="F38" s="126"/>
      <c r="G38" s="125"/>
      <c r="H38" s="126"/>
      <c r="I38" s="126"/>
      <c r="J38" s="127"/>
      <c r="K38" s="126"/>
      <c r="L38" s="126"/>
      <c r="M38" s="128"/>
      <c r="N38" s="126"/>
      <c r="O38" s="126"/>
      <c r="P38" s="128"/>
      <c r="Q38" s="126"/>
      <c r="R38" s="126"/>
      <c r="S38" s="126"/>
      <c r="T38" s="139"/>
      <c r="U38" s="25"/>
      <c r="V38"/>
      <c r="W38"/>
    </row>
    <row r="39" spans="1:23" ht="19.95" customHeight="1">
      <c r="A39" s="369"/>
      <c r="B39" s="145"/>
      <c r="C39" s="126"/>
      <c r="D39" s="126"/>
      <c r="E39" s="126"/>
      <c r="F39" s="126"/>
      <c r="G39" s="125"/>
      <c r="H39" s="126"/>
      <c r="I39" s="126"/>
      <c r="J39" s="127"/>
      <c r="K39" s="126"/>
      <c r="L39" s="126"/>
      <c r="M39" s="128"/>
      <c r="N39" s="126"/>
      <c r="O39" s="126"/>
      <c r="P39" s="128"/>
      <c r="Q39" s="126"/>
      <c r="R39" s="126"/>
      <c r="S39" s="126"/>
      <c r="T39" s="139"/>
      <c r="U39" s="25"/>
      <c r="V39"/>
      <c r="W39"/>
    </row>
    <row r="40" spans="1:23" ht="19.95" customHeight="1">
      <c r="A40" s="369"/>
      <c r="B40" s="145"/>
      <c r="C40" s="126"/>
      <c r="D40" s="126"/>
      <c r="E40" s="126"/>
      <c r="F40" s="126"/>
      <c r="G40" s="125"/>
      <c r="H40" s="126"/>
      <c r="I40" s="126"/>
      <c r="J40" s="127"/>
      <c r="K40" s="126"/>
      <c r="L40" s="126"/>
      <c r="M40" s="128"/>
      <c r="N40" s="126"/>
      <c r="O40" s="126"/>
      <c r="P40" s="128"/>
      <c r="Q40" s="126"/>
      <c r="R40" s="126"/>
      <c r="S40" s="126"/>
      <c r="T40" s="139"/>
      <c r="U40" s="25"/>
      <c r="V40"/>
      <c r="W40"/>
    </row>
    <row r="41" spans="1:23" ht="19.95" customHeight="1">
      <c r="A41" s="369"/>
      <c r="B41" s="145"/>
      <c r="C41" s="126"/>
      <c r="D41" s="126"/>
      <c r="E41" s="126"/>
      <c r="F41" s="126"/>
      <c r="G41" s="125"/>
      <c r="H41" s="126"/>
      <c r="I41" s="126"/>
      <c r="J41" s="127"/>
      <c r="K41" s="126"/>
      <c r="L41" s="126"/>
      <c r="M41" s="128"/>
      <c r="N41" s="126"/>
      <c r="O41" s="126"/>
      <c r="P41" s="128"/>
      <c r="Q41" s="126"/>
      <c r="R41" s="126"/>
      <c r="S41" s="126"/>
      <c r="T41" s="139"/>
      <c r="U41" s="25"/>
      <c r="V41"/>
      <c r="W41"/>
    </row>
    <row r="42" spans="1:23" ht="19.95" customHeight="1">
      <c r="A42" s="369"/>
      <c r="B42" s="145"/>
      <c r="C42" s="126"/>
      <c r="D42" s="126"/>
      <c r="E42" s="126"/>
      <c r="F42" s="126"/>
      <c r="G42" s="125"/>
      <c r="H42" s="126"/>
      <c r="I42" s="126"/>
      <c r="J42" s="127"/>
      <c r="K42" s="126"/>
      <c r="L42" s="126"/>
      <c r="M42" s="128"/>
      <c r="N42" s="126"/>
      <c r="O42" s="126"/>
      <c r="P42" s="128"/>
      <c r="Q42" s="126"/>
      <c r="R42" s="126"/>
      <c r="S42" s="126"/>
      <c r="T42" s="139"/>
      <c r="U42" s="25"/>
      <c r="V42"/>
      <c r="W42"/>
    </row>
    <row r="43" spans="1:23" ht="19.95" customHeight="1">
      <c r="A43" s="369"/>
      <c r="B43" s="145"/>
      <c r="C43" s="126"/>
      <c r="D43" s="126"/>
      <c r="E43" s="126"/>
      <c r="F43" s="126"/>
      <c r="G43" s="125"/>
      <c r="H43" s="126"/>
      <c r="I43" s="126"/>
      <c r="J43" s="127"/>
      <c r="K43" s="126"/>
      <c r="L43" s="126"/>
      <c r="M43" s="128"/>
      <c r="N43" s="126"/>
      <c r="O43" s="126"/>
      <c r="P43" s="128"/>
      <c r="Q43" s="126"/>
      <c r="R43" s="126"/>
      <c r="S43" s="126"/>
      <c r="T43" s="139"/>
      <c r="U43" s="25"/>
      <c r="V43"/>
      <c r="W43"/>
    </row>
    <row r="44" spans="1:23" ht="19.95" customHeight="1">
      <c r="A44" s="369"/>
      <c r="B44" s="145"/>
      <c r="C44" s="126"/>
      <c r="D44" s="126"/>
      <c r="E44" s="126"/>
      <c r="F44" s="126"/>
      <c r="G44" s="125"/>
      <c r="H44" s="126"/>
      <c r="I44" s="126"/>
      <c r="J44" s="127"/>
      <c r="K44" s="126"/>
      <c r="L44" s="126"/>
      <c r="M44" s="128"/>
      <c r="N44" s="126"/>
      <c r="O44" s="126"/>
      <c r="P44" s="128"/>
      <c r="Q44" s="126"/>
      <c r="R44" s="126"/>
      <c r="S44" s="126"/>
      <c r="T44" s="139"/>
      <c r="U44" s="25"/>
      <c r="V44"/>
      <c r="W44"/>
    </row>
    <row r="45" spans="1:23" ht="19.95" customHeight="1" thickBot="1">
      <c r="A45" s="370"/>
      <c r="B45" s="146"/>
      <c r="C45" s="140"/>
      <c r="D45" s="140"/>
      <c r="E45" s="140"/>
      <c r="F45" s="140"/>
      <c r="G45" s="141"/>
      <c r="H45" s="140"/>
      <c r="I45" s="140"/>
      <c r="J45" s="142"/>
      <c r="K45" s="140"/>
      <c r="L45" s="140"/>
      <c r="M45" s="143"/>
      <c r="N45" s="140"/>
      <c r="O45" s="140"/>
      <c r="P45" s="143"/>
      <c r="Q45" s="140"/>
      <c r="R45" s="140"/>
      <c r="S45" s="140"/>
      <c r="T45" s="144"/>
      <c r="U45" s="25"/>
      <c r="V45"/>
      <c r="W45"/>
    </row>
    <row r="46" spans="1:23" ht="19.95" customHeight="1">
      <c r="A46" s="368" t="str">
        <f>'Read Me First'!C13</f>
        <v>Poole Runners</v>
      </c>
      <c r="B46" s="133" cm="1">
        <f t="array" ref="B46:T55">_xlfn.LET(_xlpm.x, _xlfn._xlws.SORT(_xlfn._xlws.FILTER(Data!$A$33:$S$212,(Data!$C$33:$C$212=$A46)*(Data!$D$33:$D$212=$E$4)*(Data!$E$33:$E$212="U10")),18),_xlpm.y,_xlfn._xlws.SORT(_xlfn._xlws.FILTER(Data!$A$33:$S$212,(Data!$C$33:$C$212=$A46)*(Data!$D$33:$D$212=$E$4)*(Data!$E$33:$E$212="U12")),19), IFERROR(_xlfn.VSTACK(_xlpm.x,_xlpm.y), IFERROR(_xlpm.y,IFERROR(_xlpm.x, ""))))</f>
        <v>41</v>
      </c>
      <c r="C46" s="134" t="str">
        <v>KAMILA OLATEJU</v>
      </c>
      <c r="D46" s="134" t="str">
        <v>Poole Runners</v>
      </c>
      <c r="E46" s="134" t="str">
        <v>GIRLS</v>
      </c>
      <c r="F46" s="134" t="str">
        <v>U12</v>
      </c>
      <c r="G46" s="135">
        <v>11.2</v>
      </c>
      <c r="H46" s="134">
        <v>58</v>
      </c>
      <c r="I46" s="134" t="str">
        <v>PB9</v>
      </c>
      <c r="J46" s="136">
        <v>1.2986111111111111E-3</v>
      </c>
      <c r="K46" s="134">
        <v>77</v>
      </c>
      <c r="L46" s="134" t="str">
        <v>PB7</v>
      </c>
      <c r="M46" s="137">
        <v>3.14</v>
      </c>
      <c r="N46" s="134">
        <v>41</v>
      </c>
      <c r="O46" s="134" t="str">
        <v>PB6</v>
      </c>
      <c r="P46" s="137">
        <v>16.12</v>
      </c>
      <c r="Q46" s="134">
        <v>32</v>
      </c>
      <c r="R46" s="134">
        <v>208</v>
      </c>
      <c r="S46" s="134">
        <v>1</v>
      </c>
      <c r="T46" s="138">
        <v>10</v>
      </c>
      <c r="U46" s="25"/>
      <c r="V46"/>
      <c r="W46"/>
    </row>
    <row r="47" spans="1:23" ht="19.95" customHeight="1">
      <c r="A47" s="369"/>
      <c r="B47" s="145">
        <v>43</v>
      </c>
      <c r="C47" s="126" t="str">
        <v>DORA DOMA</v>
      </c>
      <c r="D47" s="126" t="str">
        <v>Poole Runners</v>
      </c>
      <c r="E47" s="126" t="str">
        <v>GIRLS</v>
      </c>
      <c r="F47" s="126" t="str">
        <v>U12</v>
      </c>
      <c r="G47" s="125">
        <v>12.2</v>
      </c>
      <c r="H47" s="126">
        <v>48</v>
      </c>
      <c r="I47" s="126" t="str">
        <v>PB7</v>
      </c>
      <c r="J47" s="127">
        <v>1.4583333333333334E-3</v>
      </c>
      <c r="K47" s="126">
        <v>64</v>
      </c>
      <c r="L47" s="126" t="str">
        <v>PB4</v>
      </c>
      <c r="M47" s="128">
        <v>2.85</v>
      </c>
      <c r="N47" s="126">
        <v>31</v>
      </c>
      <c r="O47" s="126" t="str">
        <v>PB5</v>
      </c>
      <c r="P47" s="128">
        <v>18.690000000000001</v>
      </c>
      <c r="Q47" s="126">
        <v>37</v>
      </c>
      <c r="R47" s="126">
        <v>180</v>
      </c>
      <c r="S47" s="126">
        <v>2</v>
      </c>
      <c r="T47" s="139">
        <v>18</v>
      </c>
      <c r="U47" s="25"/>
      <c r="V47"/>
      <c r="W47"/>
    </row>
    <row r="48" spans="1:23" ht="19.95" customHeight="1">
      <c r="A48" s="369"/>
      <c r="B48" s="145">
        <v>45</v>
      </c>
      <c r="C48" s="126" t="str">
        <v>VIOLET FULLING</v>
      </c>
      <c r="D48" s="126" t="str">
        <v>Poole Runners</v>
      </c>
      <c r="E48" s="126" t="str">
        <v>GIRLS</v>
      </c>
      <c r="F48" s="126" t="str">
        <v>U12</v>
      </c>
      <c r="G48" s="125">
        <v>12.7</v>
      </c>
      <c r="H48" s="126">
        <v>43</v>
      </c>
      <c r="I48" s="126" t="str">
        <v>PB6</v>
      </c>
      <c r="J48" s="127">
        <v>1.502314814814815E-3</v>
      </c>
      <c r="K48" s="126">
        <v>60</v>
      </c>
      <c r="L48" s="126" t="str">
        <v>PB4</v>
      </c>
      <c r="M48" s="128">
        <v>2.93</v>
      </c>
      <c r="N48" s="126">
        <v>34</v>
      </c>
      <c r="O48" s="126" t="str">
        <v>PB5</v>
      </c>
      <c r="P48" s="128">
        <v>19.3</v>
      </c>
      <c r="Q48" s="126">
        <v>38</v>
      </c>
      <c r="R48" s="126">
        <v>175</v>
      </c>
      <c r="S48" s="126">
        <v>3</v>
      </c>
      <c r="T48" s="139">
        <v>20</v>
      </c>
      <c r="U48" s="54"/>
      <c r="V48"/>
      <c r="W48"/>
    </row>
    <row r="49" spans="1:23" ht="19.95" customHeight="1">
      <c r="A49" s="369"/>
      <c r="B49" s="145">
        <v>48</v>
      </c>
      <c r="C49" s="126" t="str">
        <v>MATILDA COATESMITH</v>
      </c>
      <c r="D49" s="126" t="str">
        <v>Poole Runners</v>
      </c>
      <c r="E49" s="126" t="str">
        <v>GIRLS</v>
      </c>
      <c r="F49" s="126" t="str">
        <v>U12</v>
      </c>
      <c r="G49" s="125">
        <v>11.9</v>
      </c>
      <c r="H49" s="126">
        <v>51</v>
      </c>
      <c r="I49" s="126" t="str">
        <v>PB8</v>
      </c>
      <c r="J49" s="127">
        <v>1.6261574074074073E-3</v>
      </c>
      <c r="K49" s="126">
        <v>49</v>
      </c>
      <c r="L49" s="126" t="str">
        <v>PB2</v>
      </c>
      <c r="M49" s="128">
        <v>3.17</v>
      </c>
      <c r="N49" s="126">
        <v>42</v>
      </c>
      <c r="O49" s="126" t="str">
        <v>PB6</v>
      </c>
      <c r="P49" s="128">
        <v>16.86</v>
      </c>
      <c r="Q49" s="126">
        <v>33</v>
      </c>
      <c r="R49" s="126">
        <v>175</v>
      </c>
      <c r="S49" s="126">
        <v>3</v>
      </c>
      <c r="T49" s="139">
        <v>20</v>
      </c>
      <c r="U49" s="25"/>
      <c r="V49"/>
      <c r="W49"/>
    </row>
    <row r="50" spans="1:23" ht="19.95" customHeight="1">
      <c r="A50" s="369"/>
      <c r="B50" s="145">
        <v>47</v>
      </c>
      <c r="C50" s="126" t="str">
        <v>JESSICA FRANK</v>
      </c>
      <c r="D50" s="126" t="str">
        <v>Poole Runners</v>
      </c>
      <c r="E50" s="126" t="str">
        <v>GIRLS</v>
      </c>
      <c r="F50" s="126" t="str">
        <v>U12</v>
      </c>
      <c r="G50" s="125">
        <v>11.6</v>
      </c>
      <c r="H50" s="126">
        <v>54</v>
      </c>
      <c r="I50" s="126" t="str">
        <v>PB9</v>
      </c>
      <c r="J50" s="127">
        <v>1.673611111111111E-3</v>
      </c>
      <c r="K50" s="126">
        <v>45</v>
      </c>
      <c r="L50" s="126" t="str">
        <v>PB2</v>
      </c>
      <c r="M50" s="128">
        <v>2.83</v>
      </c>
      <c r="N50" s="126">
        <v>31</v>
      </c>
      <c r="O50" s="126" t="str">
        <v>PB5</v>
      </c>
      <c r="P50" s="128">
        <v>21.17</v>
      </c>
      <c r="Q50" s="126">
        <v>42</v>
      </c>
      <c r="R50" s="126">
        <v>172</v>
      </c>
      <c r="S50" s="126">
        <v>5</v>
      </c>
      <c r="T50" s="139">
        <v>24</v>
      </c>
      <c r="U50" s="25"/>
      <c r="V50"/>
      <c r="W50"/>
    </row>
    <row r="51" spans="1:23" ht="19.95" customHeight="1">
      <c r="A51" s="369"/>
      <c r="B51" s="145">
        <v>50</v>
      </c>
      <c r="C51" s="126" t="str">
        <v>WILLA GRAY</v>
      </c>
      <c r="D51" s="126" t="str">
        <v>Poole Runners</v>
      </c>
      <c r="E51" s="126" t="str">
        <v>GIRLS</v>
      </c>
      <c r="F51" s="126" t="str">
        <v>U12</v>
      </c>
      <c r="G51" s="125">
        <v>11.8</v>
      </c>
      <c r="H51" s="126">
        <v>52</v>
      </c>
      <c r="I51" s="126" t="str">
        <v>PB8</v>
      </c>
      <c r="J51" s="127">
        <v>1.46875E-3</v>
      </c>
      <c r="K51" s="126">
        <v>63</v>
      </c>
      <c r="L51" s="126" t="str">
        <v>PB4</v>
      </c>
      <c r="M51" s="128">
        <v>2.79</v>
      </c>
      <c r="N51" s="126">
        <v>29</v>
      </c>
      <c r="O51" s="126" t="str">
        <v>PB5</v>
      </c>
      <c r="P51" s="128">
        <v>13.68</v>
      </c>
      <c r="Q51" s="126">
        <v>27</v>
      </c>
      <c r="R51" s="126">
        <v>171</v>
      </c>
      <c r="S51" s="126">
        <v>6</v>
      </c>
      <c r="T51" s="139">
        <v>25</v>
      </c>
      <c r="U51" s="25"/>
      <c r="V51"/>
      <c r="W51"/>
    </row>
    <row r="52" spans="1:23" ht="19.95" customHeight="1">
      <c r="A52" s="369"/>
      <c r="B52" s="145">
        <v>49</v>
      </c>
      <c r="C52" s="126" t="str">
        <v>IZZY YOUNG</v>
      </c>
      <c r="D52" s="126" t="str">
        <v>Poole Runners</v>
      </c>
      <c r="E52" s="126" t="str">
        <v>GIRLS</v>
      </c>
      <c r="F52" s="126" t="str">
        <v>U12</v>
      </c>
      <c r="G52" s="125">
        <v>12.5</v>
      </c>
      <c r="H52" s="126">
        <v>45</v>
      </c>
      <c r="I52" s="126" t="str">
        <v>PB7</v>
      </c>
      <c r="J52" s="127">
        <v>1.707175925925926E-3</v>
      </c>
      <c r="K52" s="126">
        <v>42</v>
      </c>
      <c r="L52" s="126" t="str">
        <v>PB1</v>
      </c>
      <c r="M52" s="128">
        <v>3.08</v>
      </c>
      <c r="N52" s="126">
        <v>39</v>
      </c>
      <c r="O52" s="126" t="str">
        <v>PB6</v>
      </c>
      <c r="P52" s="128">
        <v>19.239999999999998</v>
      </c>
      <c r="Q52" s="126">
        <v>38</v>
      </c>
      <c r="R52" s="126">
        <v>164</v>
      </c>
      <c r="S52" s="126">
        <v>7</v>
      </c>
      <c r="T52" s="139">
        <v>26</v>
      </c>
      <c r="U52" s="25"/>
      <c r="V52"/>
      <c r="W52"/>
    </row>
    <row r="53" spans="1:23" ht="19.95" customHeight="1">
      <c r="A53" s="369"/>
      <c r="B53" s="145">
        <v>42</v>
      </c>
      <c r="C53" s="126" t="str">
        <v>ROSE NEIL</v>
      </c>
      <c r="D53" s="126" t="str">
        <v>Poole Runners</v>
      </c>
      <c r="E53" s="126" t="str">
        <v>GIRLS</v>
      </c>
      <c r="F53" s="126" t="str">
        <v>U12</v>
      </c>
      <c r="G53" s="125">
        <v>11.9</v>
      </c>
      <c r="H53" s="126">
        <v>51</v>
      </c>
      <c r="I53" s="126" t="str">
        <v>PB8</v>
      </c>
      <c r="J53" s="127">
        <v>1.7083333333333332E-3</v>
      </c>
      <c r="K53" s="126">
        <v>42</v>
      </c>
      <c r="L53" s="126" t="str">
        <v>PB1</v>
      </c>
      <c r="M53" s="128">
        <v>2.87</v>
      </c>
      <c r="N53" s="126">
        <v>32</v>
      </c>
      <c r="O53" s="126" t="str">
        <v>PB5</v>
      </c>
      <c r="P53" s="128">
        <v>15.83</v>
      </c>
      <c r="Q53" s="126">
        <v>31</v>
      </c>
      <c r="R53" s="126">
        <v>156</v>
      </c>
      <c r="S53" s="126">
        <v>8</v>
      </c>
      <c r="T53" s="139">
        <v>30</v>
      </c>
      <c r="U53" s="25"/>
      <c r="V53"/>
      <c r="W53"/>
    </row>
    <row r="54" spans="1:23" ht="19.95" customHeight="1">
      <c r="A54" s="369"/>
      <c r="B54" s="145">
        <v>46</v>
      </c>
      <c r="C54" s="126" t="str">
        <v>BROOKE PARRY-DAVIDSON</v>
      </c>
      <c r="D54" s="126" t="str">
        <v>Poole Runners</v>
      </c>
      <c r="E54" s="126" t="str">
        <v>GIRLS</v>
      </c>
      <c r="F54" s="126" t="str">
        <v>U12</v>
      </c>
      <c r="G54" s="125">
        <v>12.3</v>
      </c>
      <c r="H54" s="126">
        <v>47</v>
      </c>
      <c r="I54" s="126" t="str">
        <v>PB7</v>
      </c>
      <c r="J54" s="127">
        <v>1.6307870370370371E-3</v>
      </c>
      <c r="K54" s="126">
        <v>49</v>
      </c>
      <c r="L54" s="126" t="str">
        <v>PB2</v>
      </c>
      <c r="M54" s="128">
        <v>2.44</v>
      </c>
      <c r="N54" s="126">
        <v>18</v>
      </c>
      <c r="O54" s="126" t="str">
        <v>PB3</v>
      </c>
      <c r="P54" s="128">
        <v>18.940000000000001</v>
      </c>
      <c r="Q54" s="126">
        <v>37</v>
      </c>
      <c r="R54" s="126">
        <v>151</v>
      </c>
      <c r="S54" s="126">
        <v>9</v>
      </c>
      <c r="T54" s="139">
        <v>32</v>
      </c>
      <c r="U54" s="25"/>
      <c r="V54"/>
      <c r="W54"/>
    </row>
    <row r="55" spans="1:23" ht="19.95" customHeight="1">
      <c r="A55" s="369"/>
      <c r="B55" s="145">
        <v>44</v>
      </c>
      <c r="C55" s="126" t="str">
        <v>POLLY WARBOYS</v>
      </c>
      <c r="D55" s="126" t="str">
        <v>Poole Runners</v>
      </c>
      <c r="E55" s="126" t="str">
        <v>GIRLS</v>
      </c>
      <c r="F55" s="126" t="str">
        <v>U12</v>
      </c>
      <c r="G55" s="125">
        <v>13.1</v>
      </c>
      <c r="H55" s="126">
        <v>39</v>
      </c>
      <c r="I55" s="126" t="str">
        <v>PB5</v>
      </c>
      <c r="J55" s="127">
        <v>1.6226851851851851E-3</v>
      </c>
      <c r="K55" s="126">
        <v>49</v>
      </c>
      <c r="L55" s="126" t="str">
        <v>PB2</v>
      </c>
      <c r="M55" s="128">
        <v>2.85</v>
      </c>
      <c r="N55" s="126">
        <v>31</v>
      </c>
      <c r="O55" s="126" t="str">
        <v>PB5</v>
      </c>
      <c r="P55" s="128">
        <v>15.5</v>
      </c>
      <c r="Q55" s="126">
        <v>31</v>
      </c>
      <c r="R55" s="126">
        <v>150</v>
      </c>
      <c r="S55" s="126">
        <v>10</v>
      </c>
      <c r="T55" s="139">
        <v>34</v>
      </c>
      <c r="U55" s="25"/>
      <c r="V55"/>
      <c r="W55"/>
    </row>
    <row r="56" spans="1:23" ht="19.95" customHeight="1">
      <c r="A56" s="369"/>
      <c r="B56" s="145"/>
      <c r="C56" s="126"/>
      <c r="D56" s="126"/>
      <c r="E56" s="126"/>
      <c r="F56" s="126"/>
      <c r="G56" s="125"/>
      <c r="H56" s="126"/>
      <c r="I56" s="126"/>
      <c r="J56" s="127"/>
      <c r="K56" s="126"/>
      <c r="L56" s="126"/>
      <c r="M56" s="128"/>
      <c r="N56" s="126"/>
      <c r="O56" s="126"/>
      <c r="P56" s="128"/>
      <c r="Q56" s="126"/>
      <c r="R56" s="126"/>
      <c r="S56" s="126"/>
      <c r="T56" s="139"/>
      <c r="U56" s="25"/>
      <c r="V56"/>
      <c r="W56"/>
    </row>
    <row r="57" spans="1:23" ht="19.95" customHeight="1">
      <c r="A57" s="369"/>
      <c r="B57" s="145"/>
      <c r="C57" s="126"/>
      <c r="D57" s="126"/>
      <c r="E57" s="126"/>
      <c r="F57" s="126"/>
      <c r="G57" s="125"/>
      <c r="H57" s="126"/>
      <c r="I57" s="126"/>
      <c r="J57" s="127"/>
      <c r="K57" s="126"/>
      <c r="L57" s="126"/>
      <c r="M57" s="128"/>
      <c r="N57" s="126"/>
      <c r="O57" s="126"/>
      <c r="P57" s="128"/>
      <c r="Q57" s="126"/>
      <c r="R57" s="126"/>
      <c r="S57" s="126"/>
      <c r="T57" s="139"/>
      <c r="U57" s="25"/>
      <c r="V57"/>
      <c r="W57"/>
    </row>
    <row r="58" spans="1:23" ht="19.95" customHeight="1">
      <c r="A58" s="369"/>
      <c r="B58" s="145"/>
      <c r="C58" s="126"/>
      <c r="D58" s="126"/>
      <c r="E58" s="126"/>
      <c r="F58" s="126"/>
      <c r="G58" s="125"/>
      <c r="H58" s="126"/>
      <c r="I58" s="126"/>
      <c r="J58" s="127"/>
      <c r="K58" s="126"/>
      <c r="L58" s="126"/>
      <c r="M58" s="128"/>
      <c r="N58" s="126"/>
      <c r="O58" s="126"/>
      <c r="P58" s="128"/>
      <c r="Q58" s="126"/>
      <c r="R58" s="126"/>
      <c r="S58" s="126"/>
      <c r="T58" s="139"/>
      <c r="U58" s="25"/>
      <c r="V58"/>
      <c r="W58"/>
    </row>
    <row r="59" spans="1:23" ht="19.95" customHeight="1">
      <c r="A59" s="369"/>
      <c r="B59" s="145"/>
      <c r="C59" s="126"/>
      <c r="D59" s="126"/>
      <c r="E59" s="126"/>
      <c r="F59" s="126"/>
      <c r="G59" s="125"/>
      <c r="H59" s="126"/>
      <c r="I59" s="126"/>
      <c r="J59" s="127"/>
      <c r="K59" s="126"/>
      <c r="L59" s="126"/>
      <c r="M59" s="128"/>
      <c r="N59" s="126"/>
      <c r="O59" s="126"/>
      <c r="P59" s="128"/>
      <c r="Q59" s="126"/>
      <c r="R59" s="126"/>
      <c r="S59" s="126"/>
      <c r="T59" s="139"/>
      <c r="U59" s="25"/>
      <c r="V59"/>
      <c r="W59"/>
    </row>
    <row r="60" spans="1:23" ht="19.95" customHeight="1">
      <c r="A60" s="369"/>
      <c r="B60" s="145"/>
      <c r="C60" s="126"/>
      <c r="D60" s="126"/>
      <c r="E60" s="126"/>
      <c r="F60" s="126"/>
      <c r="G60" s="125"/>
      <c r="H60" s="126"/>
      <c r="I60" s="126"/>
      <c r="J60" s="127"/>
      <c r="K60" s="126"/>
      <c r="L60" s="126"/>
      <c r="M60" s="128"/>
      <c r="N60" s="126"/>
      <c r="O60" s="126"/>
      <c r="P60" s="128"/>
      <c r="Q60" s="126"/>
      <c r="R60" s="126"/>
      <c r="S60" s="126"/>
      <c r="T60" s="139"/>
      <c r="U60" s="25"/>
      <c r="V60"/>
      <c r="W60"/>
    </row>
    <row r="61" spans="1:23" ht="19.95" customHeight="1">
      <c r="A61" s="369"/>
      <c r="B61" s="145"/>
      <c r="C61" s="126"/>
      <c r="D61" s="126"/>
      <c r="E61" s="126"/>
      <c r="F61" s="126"/>
      <c r="G61" s="125"/>
      <c r="H61" s="126"/>
      <c r="I61" s="126"/>
      <c r="J61" s="127"/>
      <c r="K61" s="126"/>
      <c r="L61" s="126"/>
      <c r="M61" s="128"/>
      <c r="N61" s="126"/>
      <c r="O61" s="126"/>
      <c r="P61" s="128"/>
      <c r="Q61" s="126"/>
      <c r="R61" s="126"/>
      <c r="S61" s="126"/>
      <c r="T61" s="139"/>
      <c r="U61" s="25"/>
      <c r="V61"/>
      <c r="W61"/>
    </row>
    <row r="62" spans="1:23" ht="19.95" customHeight="1">
      <c r="A62" s="369"/>
      <c r="B62" s="145"/>
      <c r="C62" s="126"/>
      <c r="D62" s="126"/>
      <c r="E62" s="126"/>
      <c r="F62" s="126"/>
      <c r="G62" s="125"/>
      <c r="H62" s="126"/>
      <c r="I62" s="126"/>
      <c r="J62" s="127"/>
      <c r="K62" s="126"/>
      <c r="L62" s="126"/>
      <c r="M62" s="128"/>
      <c r="N62" s="126"/>
      <c r="O62" s="126"/>
      <c r="P62" s="128"/>
      <c r="Q62" s="126"/>
      <c r="R62" s="126"/>
      <c r="S62" s="126"/>
      <c r="T62" s="139"/>
      <c r="U62" s="25"/>
      <c r="V62"/>
      <c r="W62"/>
    </row>
    <row r="63" spans="1:23" ht="19.95" customHeight="1">
      <c r="A63" s="369"/>
      <c r="B63" s="145"/>
      <c r="C63" s="126"/>
      <c r="D63" s="126"/>
      <c r="E63" s="126"/>
      <c r="F63" s="126"/>
      <c r="G63" s="125"/>
      <c r="H63" s="126"/>
      <c r="I63" s="126"/>
      <c r="J63" s="127"/>
      <c r="K63" s="126"/>
      <c r="L63" s="126"/>
      <c r="M63" s="128"/>
      <c r="N63" s="126"/>
      <c r="O63" s="126"/>
      <c r="P63" s="128"/>
      <c r="Q63" s="126"/>
      <c r="R63" s="126"/>
      <c r="S63" s="126"/>
      <c r="T63" s="139"/>
      <c r="U63" s="25"/>
      <c r="V63"/>
      <c r="W63"/>
    </row>
    <row r="64" spans="1:23" ht="19.95" customHeight="1">
      <c r="A64" s="369"/>
      <c r="B64" s="145"/>
      <c r="C64" s="126"/>
      <c r="D64" s="126"/>
      <c r="E64" s="126"/>
      <c r="F64" s="126"/>
      <c r="G64" s="125"/>
      <c r="H64" s="126"/>
      <c r="I64" s="126"/>
      <c r="J64" s="127"/>
      <c r="K64" s="126"/>
      <c r="L64" s="126"/>
      <c r="M64" s="128"/>
      <c r="N64" s="126"/>
      <c r="O64" s="126"/>
      <c r="P64" s="128"/>
      <c r="Q64" s="126"/>
      <c r="R64" s="126"/>
      <c r="S64" s="126"/>
      <c r="T64" s="139"/>
      <c r="U64" s="25"/>
      <c r="V64"/>
      <c r="W64"/>
    </row>
    <row r="65" spans="1:23" ht="19.95" customHeight="1" thickBot="1">
      <c r="A65" s="370"/>
      <c r="B65" s="146"/>
      <c r="C65" s="140"/>
      <c r="D65" s="140"/>
      <c r="E65" s="140"/>
      <c r="F65" s="140"/>
      <c r="G65" s="141"/>
      <c r="H65" s="140"/>
      <c r="I65" s="140"/>
      <c r="J65" s="142"/>
      <c r="K65" s="140"/>
      <c r="L65" s="140"/>
      <c r="M65" s="143"/>
      <c r="N65" s="140"/>
      <c r="O65" s="140"/>
      <c r="P65" s="143"/>
      <c r="Q65" s="140"/>
      <c r="R65" s="140"/>
      <c r="S65" s="140"/>
      <c r="T65" s="144"/>
      <c r="U65" s="25"/>
      <c r="V65"/>
      <c r="W65"/>
    </row>
    <row r="66" spans="1:23" ht="19.95" customHeight="1">
      <c r="A66" s="368" t="str">
        <f>'Read Me First'!C14</f>
        <v>Fleet &amp; Crookham AC</v>
      </c>
      <c r="B66" s="133" cm="1">
        <f t="array" ref="B66:T75">_xlfn.LET(_xlpm.x, _xlfn._xlws.SORT(_xlfn._xlws.FILTER(Data!$A$33:$S$212,(Data!$C$33:$C$212=$A66)*(Data!$D$33:$D$212=$E$4)*(Data!$E$33:$E$212="U10")),18),_xlpm.y,_xlfn._xlws.SORT(_xlfn._xlws.FILTER(Data!$A$33:$S$212,(Data!$C$33:$C$212=$A66)*(Data!$D$33:$D$212=$E$4)*(Data!$E$33:$E$212="U12")),19), IFERROR(_xlfn.VSTACK(_xlpm.x,_xlpm.y), IFERROR(_xlpm.y,IFERROR(_xlpm.x, ""))))</f>
        <v>61</v>
      </c>
      <c r="C66" s="134" t="str">
        <v>MARCY POWER</v>
      </c>
      <c r="D66" s="134" t="str">
        <v>Fleet &amp; Crookham AC</v>
      </c>
      <c r="E66" s="134" t="str">
        <v>GIRLS</v>
      </c>
      <c r="F66" s="134" t="str">
        <v>U12</v>
      </c>
      <c r="G66" s="135">
        <v>11.7</v>
      </c>
      <c r="H66" s="134">
        <v>53</v>
      </c>
      <c r="I66" s="134" t="str">
        <v>PB9</v>
      </c>
      <c r="J66" s="136">
        <v>1.3506944444444445E-3</v>
      </c>
      <c r="K66" s="134">
        <v>73</v>
      </c>
      <c r="L66" s="134" t="str">
        <v>PB6</v>
      </c>
      <c r="M66" s="137">
        <v>3.59</v>
      </c>
      <c r="N66" s="134">
        <v>56</v>
      </c>
      <c r="O66" s="134" t="str">
        <v>PB8</v>
      </c>
      <c r="P66" s="137">
        <v>23.89</v>
      </c>
      <c r="Q66" s="134">
        <v>47</v>
      </c>
      <c r="R66" s="134">
        <v>229</v>
      </c>
      <c r="S66" s="134">
        <v>1</v>
      </c>
      <c r="T66" s="138">
        <v>1</v>
      </c>
      <c r="U66" s="25"/>
      <c r="V66"/>
      <c r="W66"/>
    </row>
    <row r="67" spans="1:23" ht="19.95" customHeight="1">
      <c r="A67" s="369"/>
      <c r="B67" s="145">
        <v>67</v>
      </c>
      <c r="C67" s="126" t="str">
        <v>BONNIE MOORE</v>
      </c>
      <c r="D67" s="126" t="str">
        <v>Fleet &amp; Crookham AC</v>
      </c>
      <c r="E67" s="126" t="str">
        <v>GIRLS</v>
      </c>
      <c r="F67" s="126" t="str">
        <v>U12</v>
      </c>
      <c r="G67" s="125">
        <v>11.7</v>
      </c>
      <c r="H67" s="126">
        <v>53</v>
      </c>
      <c r="I67" s="126" t="str">
        <v>PB9</v>
      </c>
      <c r="J67" s="127">
        <v>1.4027777777777777E-3</v>
      </c>
      <c r="K67" s="126">
        <v>68</v>
      </c>
      <c r="L67" s="126" t="str">
        <v>PB5</v>
      </c>
      <c r="M67" s="128">
        <v>3.67</v>
      </c>
      <c r="N67" s="126">
        <v>59</v>
      </c>
      <c r="O67" s="126" t="str">
        <v>PB8</v>
      </c>
      <c r="P67" s="128">
        <v>17.84</v>
      </c>
      <c r="Q67" s="126">
        <v>35</v>
      </c>
      <c r="R67" s="126">
        <v>215</v>
      </c>
      <c r="S67" s="126">
        <v>2</v>
      </c>
      <c r="T67" s="139">
        <v>6</v>
      </c>
      <c r="U67" s="25"/>
      <c r="V67"/>
      <c r="W67"/>
    </row>
    <row r="68" spans="1:23" ht="19.95" customHeight="1">
      <c r="A68" s="369"/>
      <c r="B68" s="145">
        <v>64</v>
      </c>
      <c r="C68" s="126" t="str">
        <v>MATILDA FLINT</v>
      </c>
      <c r="D68" s="126" t="str">
        <v>Fleet &amp; Crookham AC</v>
      </c>
      <c r="E68" s="126" t="str">
        <v>GIRLS</v>
      </c>
      <c r="F68" s="126" t="str">
        <v>U12</v>
      </c>
      <c r="G68" s="125">
        <v>11.3</v>
      </c>
      <c r="H68" s="126">
        <v>57</v>
      </c>
      <c r="I68" s="126" t="str">
        <v>PB9</v>
      </c>
      <c r="J68" s="127">
        <v>1.4872685185185186E-3</v>
      </c>
      <c r="K68" s="126">
        <v>61</v>
      </c>
      <c r="L68" s="126" t="str">
        <v>PB4</v>
      </c>
      <c r="M68" s="128">
        <v>3.48</v>
      </c>
      <c r="N68" s="126">
        <v>52</v>
      </c>
      <c r="O68" s="126" t="str">
        <v>PB7</v>
      </c>
      <c r="P68" s="128">
        <v>21.15</v>
      </c>
      <c r="Q68" s="126">
        <v>42</v>
      </c>
      <c r="R68" s="126">
        <v>212</v>
      </c>
      <c r="S68" s="126">
        <v>3</v>
      </c>
      <c r="T68" s="139">
        <v>8</v>
      </c>
      <c r="U68" s="25"/>
      <c r="V68"/>
      <c r="W68"/>
    </row>
    <row r="69" spans="1:23" ht="19.95" customHeight="1">
      <c r="A69" s="369"/>
      <c r="B69" s="145">
        <v>62</v>
      </c>
      <c r="C69" s="126" t="str">
        <v>OTTILE WHITE</v>
      </c>
      <c r="D69" s="126" t="str">
        <v>Fleet &amp; Crookham AC</v>
      </c>
      <c r="E69" s="126" t="str">
        <v>GIRLS</v>
      </c>
      <c r="F69" s="126" t="str">
        <v>U12</v>
      </c>
      <c r="G69" s="125">
        <v>12.3</v>
      </c>
      <c r="H69" s="126">
        <v>47</v>
      </c>
      <c r="I69" s="126" t="str">
        <v>PB7</v>
      </c>
      <c r="J69" s="127">
        <v>1.517361111111111E-3</v>
      </c>
      <c r="K69" s="126">
        <v>58</v>
      </c>
      <c r="L69" s="126" t="str">
        <v>PB3</v>
      </c>
      <c r="M69" s="128">
        <v>3.15</v>
      </c>
      <c r="N69" s="126">
        <v>41</v>
      </c>
      <c r="O69" s="126" t="str">
        <v>PB6</v>
      </c>
      <c r="P69" s="128">
        <v>18.93</v>
      </c>
      <c r="Q69" s="126">
        <v>37</v>
      </c>
      <c r="R69" s="126">
        <v>183</v>
      </c>
      <c r="S69" s="126">
        <v>4</v>
      </c>
      <c r="T69" s="139">
        <v>17</v>
      </c>
      <c r="U69" s="54"/>
      <c r="V69"/>
      <c r="W69"/>
    </row>
    <row r="70" spans="1:23" ht="19.95" customHeight="1">
      <c r="A70" s="369"/>
      <c r="B70" s="145">
        <v>70</v>
      </c>
      <c r="C70" s="126" t="str">
        <v>JOSEPHINE HARPER</v>
      </c>
      <c r="D70" s="126" t="str">
        <v>Fleet &amp; Crookham AC</v>
      </c>
      <c r="E70" s="126" t="str">
        <v>GIRLS</v>
      </c>
      <c r="F70" s="126" t="str">
        <v>U12</v>
      </c>
      <c r="G70" s="125">
        <v>12.2</v>
      </c>
      <c r="H70" s="126">
        <v>48</v>
      </c>
      <c r="I70" s="126" t="str">
        <v>PB7</v>
      </c>
      <c r="J70" s="127">
        <v>1.6018518518518519E-3</v>
      </c>
      <c r="K70" s="126">
        <v>51</v>
      </c>
      <c r="L70" s="126" t="str">
        <v>PB2</v>
      </c>
      <c r="M70" s="128">
        <v>2.62</v>
      </c>
      <c r="N70" s="126">
        <v>24</v>
      </c>
      <c r="O70" s="126" t="str">
        <v>PB4</v>
      </c>
      <c r="P70" s="128">
        <v>15.22</v>
      </c>
      <c r="Q70" s="126">
        <v>30</v>
      </c>
      <c r="R70" s="126">
        <v>153</v>
      </c>
      <c r="S70" s="126">
        <v>5</v>
      </c>
      <c r="T70" s="139">
        <v>31</v>
      </c>
      <c r="U70" s="25"/>
      <c r="V70"/>
      <c r="W70"/>
    </row>
    <row r="71" spans="1:23" ht="19.95" customHeight="1">
      <c r="A71" s="369"/>
      <c r="B71" s="145">
        <v>63</v>
      </c>
      <c r="C71" s="126" t="str">
        <v>BETH JOHNSTON</v>
      </c>
      <c r="D71" s="126" t="str">
        <v>Fleet &amp; Crookham AC</v>
      </c>
      <c r="E71" s="126" t="str">
        <v>GIRLS</v>
      </c>
      <c r="F71" s="126" t="str">
        <v>U12</v>
      </c>
      <c r="G71" s="125">
        <v>12.6</v>
      </c>
      <c r="H71" s="126">
        <v>44</v>
      </c>
      <c r="I71" s="126" t="str">
        <v>PB6</v>
      </c>
      <c r="J71" s="127">
        <v>1.5798611111111111E-3</v>
      </c>
      <c r="K71" s="126">
        <v>53</v>
      </c>
      <c r="L71" s="126" t="str">
        <v>PB2</v>
      </c>
      <c r="M71" s="128">
        <v>2.75</v>
      </c>
      <c r="N71" s="126">
        <v>28</v>
      </c>
      <c r="O71" s="126" t="str">
        <v>PB5</v>
      </c>
      <c r="P71" s="128">
        <v>10.99</v>
      </c>
      <c r="Q71" s="126">
        <v>21</v>
      </c>
      <c r="R71" s="126">
        <v>146</v>
      </c>
      <c r="S71" s="126">
        <v>6</v>
      </c>
      <c r="T71" s="139">
        <v>37</v>
      </c>
      <c r="U71" s="25"/>
      <c r="V71"/>
      <c r="W71"/>
    </row>
    <row r="72" spans="1:23" ht="19.95" customHeight="1">
      <c r="A72" s="369"/>
      <c r="B72" s="145">
        <v>65</v>
      </c>
      <c r="C72" s="126" t="str">
        <v>HONEY FLINT</v>
      </c>
      <c r="D72" s="126" t="str">
        <v>Fleet &amp; Crookham AC</v>
      </c>
      <c r="E72" s="126" t="str">
        <v>GIRLS</v>
      </c>
      <c r="F72" s="126" t="str">
        <v>U12</v>
      </c>
      <c r="G72" s="125">
        <v>13.4</v>
      </c>
      <c r="H72" s="126">
        <v>36</v>
      </c>
      <c r="I72" s="126" t="str">
        <v>PB5</v>
      </c>
      <c r="J72" s="127">
        <v>1.8726851851851853E-3</v>
      </c>
      <c r="K72" s="126">
        <v>28</v>
      </c>
      <c r="L72" s="126" t="str">
        <v/>
      </c>
      <c r="M72" s="128">
        <v>2.74</v>
      </c>
      <c r="N72" s="126">
        <v>28</v>
      </c>
      <c r="O72" s="126" t="str">
        <v>PB4</v>
      </c>
      <c r="P72" s="128">
        <v>14.22</v>
      </c>
      <c r="Q72" s="126">
        <v>28</v>
      </c>
      <c r="R72" s="126">
        <v>120</v>
      </c>
      <c r="S72" s="126">
        <v>7</v>
      </c>
      <c r="T72" s="139">
        <v>43</v>
      </c>
      <c r="U72" s="25"/>
      <c r="V72"/>
      <c r="W72"/>
    </row>
    <row r="73" spans="1:23" ht="19.95" customHeight="1">
      <c r="A73" s="369"/>
      <c r="B73" s="145">
        <v>69</v>
      </c>
      <c r="C73" s="126" t="str">
        <v>NORA BRADFORD</v>
      </c>
      <c r="D73" s="126" t="str">
        <v>Fleet &amp; Crookham AC</v>
      </c>
      <c r="E73" s="126" t="str">
        <v>GIRLS</v>
      </c>
      <c r="F73" s="126" t="str">
        <v>U12</v>
      </c>
      <c r="G73" s="125">
        <v>13.6</v>
      </c>
      <c r="H73" s="126">
        <v>34</v>
      </c>
      <c r="I73" s="126" t="str">
        <v>PB4</v>
      </c>
      <c r="J73" s="127">
        <v>1.5868055555555555E-3</v>
      </c>
      <c r="K73" s="126">
        <v>52</v>
      </c>
      <c r="L73" s="126" t="str">
        <v>PB2</v>
      </c>
      <c r="M73" s="128">
        <v>2.4300000000000002</v>
      </c>
      <c r="N73" s="126">
        <v>17</v>
      </c>
      <c r="O73" s="126" t="str">
        <v>PB3</v>
      </c>
      <c r="P73" s="128" t="str">
        <v/>
      </c>
      <c r="Q73" s="126">
        <v>0</v>
      </c>
      <c r="R73" s="126">
        <v>103</v>
      </c>
      <c r="S73" s="126">
        <v>8</v>
      </c>
      <c r="T73" s="139">
        <v>44</v>
      </c>
      <c r="U73" s="25"/>
      <c r="V73"/>
      <c r="W73"/>
    </row>
    <row r="74" spans="1:23" ht="19.95" customHeight="1">
      <c r="A74" s="369"/>
      <c r="B74" s="145">
        <v>66</v>
      </c>
      <c r="C74" s="126" t="str">
        <v>DAISY STEWART</v>
      </c>
      <c r="D74" s="126" t="str">
        <v>Fleet &amp; Crookham AC</v>
      </c>
      <c r="E74" s="126" t="str">
        <v>GIRLS</v>
      </c>
      <c r="F74" s="126" t="str">
        <v>U12</v>
      </c>
      <c r="G74" s="125" t="str">
        <v/>
      </c>
      <c r="H74" s="126">
        <v>0</v>
      </c>
      <c r="I74" s="126" t="str">
        <v/>
      </c>
      <c r="J74" s="127">
        <v>0</v>
      </c>
      <c r="K74" s="126">
        <v>0</v>
      </c>
      <c r="L74" s="126" t="str">
        <v/>
      </c>
      <c r="M74" s="128" t="str">
        <v/>
      </c>
      <c r="N74" s="126">
        <v>0</v>
      </c>
      <c r="O74" s="126">
        <v>0</v>
      </c>
      <c r="P74" s="128" t="str">
        <v/>
      </c>
      <c r="Q74" s="126">
        <v>0</v>
      </c>
      <c r="R74" s="126">
        <v>0</v>
      </c>
      <c r="S74" s="126" t="str">
        <v/>
      </c>
      <c r="T74" s="139" t="str">
        <v/>
      </c>
      <c r="U74" s="25"/>
      <c r="V74"/>
      <c r="W74"/>
    </row>
    <row r="75" spans="1:23" ht="19.95" customHeight="1">
      <c r="A75" s="369"/>
      <c r="B75" s="145">
        <v>68</v>
      </c>
      <c r="C75" s="126" t="str">
        <v>FEARNE STRONG</v>
      </c>
      <c r="D75" s="126" t="str">
        <v>Fleet &amp; Crookham AC</v>
      </c>
      <c r="E75" s="126" t="str">
        <v>GIRLS</v>
      </c>
      <c r="F75" s="126" t="str">
        <v>U12</v>
      </c>
      <c r="G75" s="125" t="str">
        <v/>
      </c>
      <c r="H75" s="126">
        <v>0</v>
      </c>
      <c r="I75" s="126" t="str">
        <v/>
      </c>
      <c r="J75" s="127">
        <v>0</v>
      </c>
      <c r="K75" s="126">
        <v>0</v>
      </c>
      <c r="L75" s="126" t="str">
        <v/>
      </c>
      <c r="M75" s="128" t="str">
        <v/>
      </c>
      <c r="N75" s="126">
        <v>0</v>
      </c>
      <c r="O75" s="126">
        <v>0</v>
      </c>
      <c r="P75" s="128" t="str">
        <v/>
      </c>
      <c r="Q75" s="126">
        <v>0</v>
      </c>
      <c r="R75" s="126">
        <v>0</v>
      </c>
      <c r="S75" s="126" t="str">
        <v/>
      </c>
      <c r="T75" s="139" t="str">
        <v/>
      </c>
      <c r="U75" s="25"/>
      <c r="V75"/>
      <c r="W75"/>
    </row>
    <row r="76" spans="1:23" ht="19.95" customHeight="1">
      <c r="A76" s="369"/>
      <c r="B76" s="145"/>
      <c r="C76" s="126"/>
      <c r="D76" s="126"/>
      <c r="E76" s="126"/>
      <c r="F76" s="126"/>
      <c r="G76" s="125"/>
      <c r="H76" s="126"/>
      <c r="I76" s="126"/>
      <c r="J76" s="127"/>
      <c r="K76" s="126"/>
      <c r="L76" s="126"/>
      <c r="M76" s="128"/>
      <c r="N76" s="126"/>
      <c r="O76" s="126"/>
      <c r="P76" s="128"/>
      <c r="Q76" s="126"/>
      <c r="R76" s="126"/>
      <c r="S76" s="126"/>
      <c r="T76" s="139"/>
      <c r="U76" s="25"/>
      <c r="V76"/>
      <c r="W76"/>
    </row>
    <row r="77" spans="1:23" ht="19.95" customHeight="1">
      <c r="A77" s="369"/>
      <c r="B77" s="145"/>
      <c r="C77" s="126"/>
      <c r="D77" s="126"/>
      <c r="E77" s="126"/>
      <c r="F77" s="126"/>
      <c r="G77" s="125"/>
      <c r="H77" s="126"/>
      <c r="I77" s="126"/>
      <c r="J77" s="127"/>
      <c r="K77" s="126"/>
      <c r="L77" s="126"/>
      <c r="M77" s="128"/>
      <c r="N77" s="126"/>
      <c r="O77" s="126"/>
      <c r="P77" s="128"/>
      <c r="Q77" s="126"/>
      <c r="R77" s="126"/>
      <c r="S77" s="126"/>
      <c r="T77" s="139"/>
      <c r="U77" s="25"/>
      <c r="V77"/>
      <c r="W77"/>
    </row>
    <row r="78" spans="1:23" ht="19.95" customHeight="1">
      <c r="A78" s="369"/>
      <c r="B78" s="145"/>
      <c r="C78" s="126"/>
      <c r="D78" s="126"/>
      <c r="E78" s="126"/>
      <c r="F78" s="126"/>
      <c r="G78" s="125"/>
      <c r="H78" s="126"/>
      <c r="I78" s="126"/>
      <c r="J78" s="127"/>
      <c r="K78" s="126"/>
      <c r="L78" s="126"/>
      <c r="M78" s="128"/>
      <c r="N78" s="126"/>
      <c r="O78" s="126"/>
      <c r="P78" s="128"/>
      <c r="Q78" s="126"/>
      <c r="R78" s="126"/>
      <c r="S78" s="126"/>
      <c r="T78" s="139"/>
      <c r="U78" s="25"/>
      <c r="V78"/>
      <c r="W78"/>
    </row>
    <row r="79" spans="1:23" ht="19.95" customHeight="1">
      <c r="A79" s="369"/>
      <c r="B79" s="145"/>
      <c r="C79" s="126"/>
      <c r="D79" s="126"/>
      <c r="E79" s="126"/>
      <c r="F79" s="126"/>
      <c r="G79" s="125"/>
      <c r="H79" s="126"/>
      <c r="I79" s="126"/>
      <c r="J79" s="127"/>
      <c r="K79" s="126"/>
      <c r="L79" s="126"/>
      <c r="M79" s="128"/>
      <c r="N79" s="126"/>
      <c r="O79" s="126"/>
      <c r="P79" s="128"/>
      <c r="Q79" s="126"/>
      <c r="R79" s="126"/>
      <c r="S79" s="126"/>
      <c r="T79" s="139"/>
      <c r="U79" s="25"/>
      <c r="V79"/>
      <c r="W79"/>
    </row>
    <row r="80" spans="1:23" ht="19.95" customHeight="1">
      <c r="A80" s="369"/>
      <c r="B80" s="145"/>
      <c r="C80" s="126"/>
      <c r="D80" s="126"/>
      <c r="E80" s="126"/>
      <c r="F80" s="126"/>
      <c r="G80" s="125"/>
      <c r="H80" s="126"/>
      <c r="I80" s="126"/>
      <c r="J80" s="127"/>
      <c r="K80" s="126"/>
      <c r="L80" s="126"/>
      <c r="M80" s="128"/>
      <c r="N80" s="126"/>
      <c r="O80" s="126"/>
      <c r="P80" s="128"/>
      <c r="Q80" s="126"/>
      <c r="R80" s="126"/>
      <c r="S80" s="126"/>
      <c r="T80" s="139"/>
      <c r="U80" s="25"/>
      <c r="V80"/>
      <c r="W80"/>
    </row>
    <row r="81" spans="1:23" ht="19.95" customHeight="1">
      <c r="A81" s="369"/>
      <c r="B81" s="145"/>
      <c r="C81" s="126"/>
      <c r="D81" s="126"/>
      <c r="E81" s="126"/>
      <c r="F81" s="126"/>
      <c r="G81" s="125"/>
      <c r="H81" s="126"/>
      <c r="I81" s="126"/>
      <c r="J81" s="127"/>
      <c r="K81" s="126"/>
      <c r="L81" s="126"/>
      <c r="M81" s="128"/>
      <c r="N81" s="126"/>
      <c r="O81" s="126"/>
      <c r="P81" s="128"/>
      <c r="Q81" s="126"/>
      <c r="R81" s="126"/>
      <c r="S81" s="126"/>
      <c r="T81" s="139"/>
      <c r="U81" s="25"/>
      <c r="V81"/>
      <c r="W81"/>
    </row>
    <row r="82" spans="1:23" ht="19.95" customHeight="1">
      <c r="A82" s="369"/>
      <c r="B82" s="145"/>
      <c r="C82" s="126"/>
      <c r="D82" s="126"/>
      <c r="E82" s="126"/>
      <c r="F82" s="126"/>
      <c r="G82" s="125"/>
      <c r="H82" s="126"/>
      <c r="I82" s="126"/>
      <c r="J82" s="127"/>
      <c r="K82" s="126"/>
      <c r="L82" s="126"/>
      <c r="M82" s="128"/>
      <c r="N82" s="126"/>
      <c r="O82" s="126"/>
      <c r="P82" s="128"/>
      <c r="Q82" s="126"/>
      <c r="R82" s="126"/>
      <c r="S82" s="126"/>
      <c r="T82" s="139"/>
      <c r="U82" s="25"/>
      <c r="V82"/>
      <c r="W82"/>
    </row>
    <row r="83" spans="1:23" ht="19.95" customHeight="1">
      <c r="A83" s="369"/>
      <c r="B83" s="145"/>
      <c r="C83" s="126"/>
      <c r="D83" s="126"/>
      <c r="E83" s="126"/>
      <c r="F83" s="126"/>
      <c r="G83" s="125"/>
      <c r="H83" s="126"/>
      <c r="I83" s="126"/>
      <c r="J83" s="127"/>
      <c r="K83" s="126"/>
      <c r="L83" s="126"/>
      <c r="M83" s="128"/>
      <c r="N83" s="126"/>
      <c r="O83" s="126"/>
      <c r="P83" s="128"/>
      <c r="Q83" s="126"/>
      <c r="R83" s="126"/>
      <c r="S83" s="126"/>
      <c r="T83" s="139"/>
      <c r="U83" s="25"/>
      <c r="V83"/>
      <c r="W83"/>
    </row>
    <row r="84" spans="1:23" ht="19.95" customHeight="1">
      <c r="A84" s="369"/>
      <c r="B84" s="145"/>
      <c r="C84" s="126"/>
      <c r="D84" s="126"/>
      <c r="E84" s="126"/>
      <c r="F84" s="126"/>
      <c r="G84" s="125"/>
      <c r="H84" s="126"/>
      <c r="I84" s="126"/>
      <c r="J84" s="127"/>
      <c r="K84" s="126"/>
      <c r="L84" s="126"/>
      <c r="M84" s="128"/>
      <c r="N84" s="126"/>
      <c r="O84" s="126"/>
      <c r="P84" s="128"/>
      <c r="Q84" s="126"/>
      <c r="R84" s="126"/>
      <c r="S84" s="126"/>
      <c r="T84" s="139"/>
      <c r="U84" s="25"/>
      <c r="V84"/>
      <c r="W84"/>
    </row>
    <row r="85" spans="1:23" ht="19.95" customHeight="1" thickBot="1">
      <c r="A85" s="370"/>
      <c r="B85" s="146"/>
      <c r="C85" s="140"/>
      <c r="D85" s="140"/>
      <c r="E85" s="140"/>
      <c r="F85" s="140"/>
      <c r="G85" s="141"/>
      <c r="H85" s="140"/>
      <c r="I85" s="140"/>
      <c r="J85" s="142"/>
      <c r="K85" s="140"/>
      <c r="L85" s="140"/>
      <c r="M85" s="143"/>
      <c r="N85" s="140"/>
      <c r="O85" s="140"/>
      <c r="P85" s="143"/>
      <c r="Q85" s="140"/>
      <c r="R85" s="140"/>
      <c r="S85" s="140"/>
      <c r="T85" s="144"/>
      <c r="U85" s="25"/>
      <c r="V85"/>
      <c r="W85"/>
    </row>
    <row r="86" spans="1:23" ht="19.95" customHeight="1">
      <c r="A86" s="368" t="str">
        <f>'Read Me First'!C15</f>
        <v>Waverley Athletics Club</v>
      </c>
      <c r="B86" s="133" cm="1">
        <f t="array" ref="B86:T95">_xlfn.LET(_xlpm.x, _xlfn._xlws.SORT(_xlfn._xlws.FILTER(Data!$A$33:$S$212,(Data!$C$33:$C$212=$A86)*(Data!$D$33:$D$212=$E$4)*(Data!$E$33:$E$212="U10")),18),_xlpm.y,_xlfn._xlws.SORT(_xlfn._xlws.FILTER(Data!$A$33:$S$212,(Data!$C$33:$C$212=$A86)*(Data!$D$33:$D$212=$E$4)*(Data!$E$33:$E$212="U12")),19), IFERROR(_xlfn.VSTACK(_xlpm.x,_xlpm.y), IFERROR(_xlpm.y,IFERROR(_xlpm.x, ""))))</f>
        <v>85</v>
      </c>
      <c r="C86" s="134" t="str">
        <v>SOPHIE HALL</v>
      </c>
      <c r="D86" s="134" t="str">
        <v>Waverley Athletics Club</v>
      </c>
      <c r="E86" s="134" t="str">
        <v>GIRLS</v>
      </c>
      <c r="F86" s="134" t="str">
        <v>U12</v>
      </c>
      <c r="G86" s="135">
        <v>11.1</v>
      </c>
      <c r="H86" s="134">
        <v>59</v>
      </c>
      <c r="I86" s="134" t="str">
        <v>PB9</v>
      </c>
      <c r="J86" s="136">
        <v>1.3298611111111111E-3</v>
      </c>
      <c r="K86" s="134">
        <v>75</v>
      </c>
      <c r="L86" s="134" t="str">
        <v>PB7</v>
      </c>
      <c r="M86" s="137">
        <v>3.48</v>
      </c>
      <c r="N86" s="134">
        <v>52</v>
      </c>
      <c r="O86" s="134" t="str">
        <v>PB7</v>
      </c>
      <c r="P86" s="137">
        <v>19.14</v>
      </c>
      <c r="Q86" s="134">
        <v>38</v>
      </c>
      <c r="R86" s="134">
        <v>224</v>
      </c>
      <c r="S86" s="134">
        <v>1</v>
      </c>
      <c r="T86" s="138">
        <v>2</v>
      </c>
      <c r="U86" s="25"/>
      <c r="V86"/>
      <c r="W86"/>
    </row>
    <row r="87" spans="1:23" ht="19.95" customHeight="1">
      <c r="A87" s="369"/>
      <c r="B87" s="145">
        <v>84</v>
      </c>
      <c r="C87" s="126" t="str">
        <v>FREYA MCKENZIE</v>
      </c>
      <c r="D87" s="126" t="str">
        <v>Waverley Athletics Club</v>
      </c>
      <c r="E87" s="126" t="str">
        <v>GIRLS</v>
      </c>
      <c r="F87" s="126" t="str">
        <v>U12</v>
      </c>
      <c r="G87" s="125">
        <v>11.3</v>
      </c>
      <c r="H87" s="126">
        <v>57</v>
      </c>
      <c r="I87" s="126" t="str">
        <v>PB9</v>
      </c>
      <c r="J87" s="127">
        <v>1.6111111111111109E-3</v>
      </c>
      <c r="K87" s="126">
        <v>50</v>
      </c>
      <c r="L87" s="126" t="str">
        <v>PB2</v>
      </c>
      <c r="M87" s="128">
        <v>3.63</v>
      </c>
      <c r="N87" s="126">
        <v>57</v>
      </c>
      <c r="O87" s="126" t="str">
        <v>PB8</v>
      </c>
      <c r="P87" s="128">
        <v>22.77</v>
      </c>
      <c r="Q87" s="126">
        <v>45</v>
      </c>
      <c r="R87" s="126">
        <v>209</v>
      </c>
      <c r="S87" s="126">
        <v>2</v>
      </c>
      <c r="T87" s="139">
        <v>9</v>
      </c>
      <c r="U87" s="25"/>
      <c r="V87"/>
      <c r="W87"/>
    </row>
    <row r="88" spans="1:23" ht="19.95" customHeight="1">
      <c r="A88" s="369"/>
      <c r="B88" s="145">
        <v>82</v>
      </c>
      <c r="C88" s="126" t="str">
        <v>MATILDA KEER</v>
      </c>
      <c r="D88" s="126" t="str">
        <v>Waverley Athletics Club</v>
      </c>
      <c r="E88" s="126" t="str">
        <v>GIRLS</v>
      </c>
      <c r="F88" s="126" t="str">
        <v>U12</v>
      </c>
      <c r="G88" s="125">
        <v>11.8</v>
      </c>
      <c r="H88" s="126">
        <v>52</v>
      </c>
      <c r="I88" s="126" t="str">
        <v>PB8</v>
      </c>
      <c r="J88" s="127">
        <v>1.4918981481481482E-3</v>
      </c>
      <c r="K88" s="126">
        <v>61</v>
      </c>
      <c r="L88" s="126" t="str">
        <v>PB4</v>
      </c>
      <c r="M88" s="128">
        <v>3.58</v>
      </c>
      <c r="N88" s="126">
        <v>56</v>
      </c>
      <c r="O88" s="126" t="str">
        <v>PB8</v>
      </c>
      <c r="P88" s="128">
        <v>17.89</v>
      </c>
      <c r="Q88" s="126">
        <v>35</v>
      </c>
      <c r="R88" s="126">
        <v>204</v>
      </c>
      <c r="S88" s="126">
        <v>3</v>
      </c>
      <c r="T88" s="139">
        <v>11</v>
      </c>
      <c r="U88" s="25"/>
      <c r="V88"/>
      <c r="W88"/>
    </row>
    <row r="89" spans="1:23" ht="19.95" customHeight="1">
      <c r="A89" s="369"/>
      <c r="B89" s="145">
        <v>86</v>
      </c>
      <c r="C89" s="126" t="str">
        <v>EMILY HANAK</v>
      </c>
      <c r="D89" s="126" t="str">
        <v>Waverley Athletics Club</v>
      </c>
      <c r="E89" s="126" t="str">
        <v>GIRLS</v>
      </c>
      <c r="F89" s="126" t="str">
        <v>U12</v>
      </c>
      <c r="G89" s="125">
        <v>11.8</v>
      </c>
      <c r="H89" s="126">
        <v>52</v>
      </c>
      <c r="I89" s="126" t="str">
        <v>PB8</v>
      </c>
      <c r="J89" s="127">
        <v>1.4942129629629628E-3</v>
      </c>
      <c r="K89" s="126">
        <v>60</v>
      </c>
      <c r="L89" s="126" t="str">
        <v>PB4</v>
      </c>
      <c r="M89" s="128">
        <v>3.24</v>
      </c>
      <c r="N89" s="126">
        <v>44</v>
      </c>
      <c r="O89" s="126" t="str">
        <v>PB6</v>
      </c>
      <c r="P89" s="128">
        <v>20.6</v>
      </c>
      <c r="Q89" s="126">
        <v>41</v>
      </c>
      <c r="R89" s="126">
        <v>197</v>
      </c>
      <c r="S89" s="126">
        <v>4</v>
      </c>
      <c r="T89" s="139">
        <v>13</v>
      </c>
      <c r="U89" s="25"/>
      <c r="V89"/>
      <c r="W89"/>
    </row>
    <row r="90" spans="1:23" ht="19.95" customHeight="1">
      <c r="A90" s="369"/>
      <c r="B90" s="145">
        <v>81</v>
      </c>
      <c r="C90" s="126" t="str">
        <v>FREYA BURGE</v>
      </c>
      <c r="D90" s="126" t="str">
        <v>Waverley Athletics Club</v>
      </c>
      <c r="E90" s="126" t="str">
        <v>GIRLS</v>
      </c>
      <c r="F90" s="126" t="str">
        <v>U12</v>
      </c>
      <c r="G90" s="125">
        <v>11.8</v>
      </c>
      <c r="H90" s="126">
        <v>52</v>
      </c>
      <c r="I90" s="126" t="str">
        <v>PB8</v>
      </c>
      <c r="J90" s="127">
        <v>1.414351851851852E-3</v>
      </c>
      <c r="K90" s="126">
        <v>67</v>
      </c>
      <c r="L90" s="126" t="str">
        <v>PB5</v>
      </c>
      <c r="M90" s="128">
        <v>3.15</v>
      </c>
      <c r="N90" s="126">
        <v>41</v>
      </c>
      <c r="O90" s="126" t="str">
        <v>PB6</v>
      </c>
      <c r="P90" s="128">
        <v>14.91</v>
      </c>
      <c r="Q90" s="126">
        <v>29</v>
      </c>
      <c r="R90" s="126">
        <v>189</v>
      </c>
      <c r="S90" s="126">
        <v>5</v>
      </c>
      <c r="T90" s="139">
        <v>15</v>
      </c>
      <c r="U90" s="54"/>
      <c r="V90"/>
      <c r="W90"/>
    </row>
    <row r="91" spans="1:23" ht="19.95" customHeight="1">
      <c r="A91" s="369"/>
      <c r="B91" s="145">
        <v>83</v>
      </c>
      <c r="C91" s="126" t="str">
        <v>ELEANOR OLALEMI</v>
      </c>
      <c r="D91" s="126" t="str">
        <v>Waverley Athletics Club</v>
      </c>
      <c r="E91" s="126" t="str">
        <v>GIRLS</v>
      </c>
      <c r="F91" s="126" t="str">
        <v>U12</v>
      </c>
      <c r="G91" s="125">
        <v>15.2</v>
      </c>
      <c r="H91" s="126">
        <v>18</v>
      </c>
      <c r="I91" s="126" t="str">
        <v>PB1</v>
      </c>
      <c r="J91" s="127">
        <v>1.7534722222222222E-3</v>
      </c>
      <c r="K91" s="126">
        <v>38</v>
      </c>
      <c r="L91" s="126" t="str">
        <v>PB1</v>
      </c>
      <c r="M91" s="128">
        <v>2.34</v>
      </c>
      <c r="N91" s="126">
        <v>14</v>
      </c>
      <c r="O91" s="126" t="str">
        <v>PB3</v>
      </c>
      <c r="P91" s="128">
        <v>10.25</v>
      </c>
      <c r="Q91" s="126">
        <v>20</v>
      </c>
      <c r="R91" s="126">
        <v>90</v>
      </c>
      <c r="S91" s="126">
        <v>6</v>
      </c>
      <c r="T91" s="139">
        <v>45</v>
      </c>
      <c r="U91" s="25"/>
      <c r="V91"/>
      <c r="W91"/>
    </row>
    <row r="92" spans="1:23" ht="19.95" customHeight="1">
      <c r="A92" s="369"/>
      <c r="B92" s="145">
        <v>87</v>
      </c>
      <c r="C92" s="126" t="str">
        <v/>
      </c>
      <c r="D92" s="126" t="str">
        <v>Waverley Athletics Club</v>
      </c>
      <c r="E92" s="126" t="str">
        <v>GIRLS</v>
      </c>
      <c r="F92" s="126" t="str">
        <v>U12</v>
      </c>
      <c r="G92" s="125" t="str">
        <v/>
      </c>
      <c r="H92" s="126">
        <v>0</v>
      </c>
      <c r="I92" s="126" t="str">
        <v/>
      </c>
      <c r="J92" s="127">
        <v>0</v>
      </c>
      <c r="K92" s="126">
        <v>0</v>
      </c>
      <c r="L92" s="126" t="str">
        <v/>
      </c>
      <c r="M92" s="128" t="str">
        <v/>
      </c>
      <c r="N92" s="126">
        <v>0</v>
      </c>
      <c r="O92" s="126">
        <v>0</v>
      </c>
      <c r="P92" s="128" t="str">
        <v/>
      </c>
      <c r="Q92" s="126">
        <v>0</v>
      </c>
      <c r="R92" s="126">
        <v>0</v>
      </c>
      <c r="S92" s="126" t="str">
        <v/>
      </c>
      <c r="T92" s="139" t="str">
        <v/>
      </c>
      <c r="U92" s="25"/>
      <c r="V92"/>
      <c r="W92"/>
    </row>
    <row r="93" spans="1:23" ht="19.95" customHeight="1">
      <c r="A93" s="369"/>
      <c r="B93" s="145">
        <v>88</v>
      </c>
      <c r="C93" s="126" t="str">
        <v/>
      </c>
      <c r="D93" s="126" t="str">
        <v>Waverley Athletics Club</v>
      </c>
      <c r="E93" s="126" t="str">
        <v>GIRLS</v>
      </c>
      <c r="F93" s="126" t="str">
        <v>U12</v>
      </c>
      <c r="G93" s="125" t="str">
        <v/>
      </c>
      <c r="H93" s="126">
        <v>0</v>
      </c>
      <c r="I93" s="126" t="str">
        <v/>
      </c>
      <c r="J93" s="127">
        <v>0</v>
      </c>
      <c r="K93" s="126">
        <v>0</v>
      </c>
      <c r="L93" s="126" t="str">
        <v/>
      </c>
      <c r="M93" s="128" t="str">
        <v/>
      </c>
      <c r="N93" s="126">
        <v>0</v>
      </c>
      <c r="O93" s="126">
        <v>0</v>
      </c>
      <c r="P93" s="128" t="str">
        <v/>
      </c>
      <c r="Q93" s="126">
        <v>0</v>
      </c>
      <c r="R93" s="126">
        <v>0</v>
      </c>
      <c r="S93" s="126" t="str">
        <v/>
      </c>
      <c r="T93" s="139" t="str">
        <v/>
      </c>
      <c r="U93" s="25"/>
      <c r="V93"/>
      <c r="W93"/>
    </row>
    <row r="94" spans="1:23" ht="19.95" customHeight="1">
      <c r="A94" s="369"/>
      <c r="B94" s="145">
        <v>89</v>
      </c>
      <c r="C94" s="126" t="str">
        <v/>
      </c>
      <c r="D94" s="126" t="str">
        <v>Waverley Athletics Club</v>
      </c>
      <c r="E94" s="126" t="str">
        <v>GIRLS</v>
      </c>
      <c r="F94" s="126" t="str">
        <v>U12</v>
      </c>
      <c r="G94" s="125" t="str">
        <v/>
      </c>
      <c r="H94" s="126">
        <v>0</v>
      </c>
      <c r="I94" s="126" t="str">
        <v/>
      </c>
      <c r="J94" s="127">
        <v>0</v>
      </c>
      <c r="K94" s="126">
        <v>0</v>
      </c>
      <c r="L94" s="126" t="str">
        <v/>
      </c>
      <c r="M94" s="128" t="str">
        <v/>
      </c>
      <c r="N94" s="126">
        <v>0</v>
      </c>
      <c r="O94" s="126">
        <v>0</v>
      </c>
      <c r="P94" s="128" t="str">
        <v/>
      </c>
      <c r="Q94" s="126">
        <v>0</v>
      </c>
      <c r="R94" s="126">
        <v>0</v>
      </c>
      <c r="S94" s="126" t="str">
        <v/>
      </c>
      <c r="T94" s="139" t="str">
        <v/>
      </c>
      <c r="U94" s="25"/>
      <c r="V94"/>
      <c r="W94"/>
    </row>
    <row r="95" spans="1:23" ht="19.95" customHeight="1">
      <c r="A95" s="369"/>
      <c r="B95" s="145">
        <v>90</v>
      </c>
      <c r="C95" s="126" t="str">
        <v/>
      </c>
      <c r="D95" s="126" t="str">
        <v>Waverley Athletics Club</v>
      </c>
      <c r="E95" s="126" t="str">
        <v>GIRLS</v>
      </c>
      <c r="F95" s="126" t="str">
        <v>U12</v>
      </c>
      <c r="G95" s="125" t="str">
        <v/>
      </c>
      <c r="H95" s="126">
        <v>0</v>
      </c>
      <c r="I95" s="126" t="str">
        <v/>
      </c>
      <c r="J95" s="127">
        <v>0</v>
      </c>
      <c r="K95" s="126">
        <v>0</v>
      </c>
      <c r="L95" s="126" t="str">
        <v/>
      </c>
      <c r="M95" s="128" t="str">
        <v/>
      </c>
      <c r="N95" s="126">
        <v>0</v>
      </c>
      <c r="O95" s="126">
        <v>0</v>
      </c>
      <c r="P95" s="128" t="str">
        <v/>
      </c>
      <c r="Q95" s="126">
        <v>0</v>
      </c>
      <c r="R95" s="126">
        <v>0</v>
      </c>
      <c r="S95" s="126" t="str">
        <v/>
      </c>
      <c r="T95" s="139" t="str">
        <v/>
      </c>
      <c r="U95" s="25"/>
      <c r="V95"/>
      <c r="W95"/>
    </row>
    <row r="96" spans="1:23" ht="19.95" customHeight="1">
      <c r="A96" s="369"/>
      <c r="B96" s="145"/>
      <c r="C96" s="126"/>
      <c r="D96" s="126"/>
      <c r="E96" s="126"/>
      <c r="F96" s="126"/>
      <c r="G96" s="125"/>
      <c r="H96" s="126"/>
      <c r="I96" s="126"/>
      <c r="J96" s="127"/>
      <c r="K96" s="126"/>
      <c r="L96" s="126"/>
      <c r="M96" s="128"/>
      <c r="N96" s="126"/>
      <c r="O96" s="126"/>
      <c r="P96" s="128"/>
      <c r="Q96" s="126"/>
      <c r="R96" s="126"/>
      <c r="S96" s="126"/>
      <c r="T96" s="139"/>
      <c r="U96" s="25"/>
      <c r="V96"/>
      <c r="W96"/>
    </row>
    <row r="97" spans="1:23" ht="19.95" customHeight="1">
      <c r="A97" s="369"/>
      <c r="B97" s="145"/>
      <c r="C97" s="126"/>
      <c r="D97" s="126"/>
      <c r="E97" s="126"/>
      <c r="F97" s="126"/>
      <c r="G97" s="125"/>
      <c r="H97" s="126"/>
      <c r="I97" s="126"/>
      <c r="J97" s="127"/>
      <c r="K97" s="126"/>
      <c r="L97" s="126"/>
      <c r="M97" s="128"/>
      <c r="N97" s="126"/>
      <c r="O97" s="126"/>
      <c r="P97" s="128"/>
      <c r="Q97" s="126"/>
      <c r="R97" s="126"/>
      <c r="S97" s="126"/>
      <c r="T97" s="139"/>
      <c r="U97" s="25"/>
      <c r="V97"/>
      <c r="W97"/>
    </row>
    <row r="98" spans="1:23" ht="19.95" customHeight="1">
      <c r="A98" s="369"/>
      <c r="B98" s="145"/>
      <c r="C98" s="126"/>
      <c r="D98" s="126"/>
      <c r="E98" s="126"/>
      <c r="F98" s="126"/>
      <c r="G98" s="125"/>
      <c r="H98" s="126"/>
      <c r="I98" s="126"/>
      <c r="J98" s="127"/>
      <c r="K98" s="126"/>
      <c r="L98" s="126"/>
      <c r="M98" s="128"/>
      <c r="N98" s="126"/>
      <c r="O98" s="126"/>
      <c r="P98" s="128"/>
      <c r="Q98" s="126"/>
      <c r="R98" s="126"/>
      <c r="S98" s="126"/>
      <c r="T98" s="139"/>
      <c r="U98" s="25"/>
      <c r="V98"/>
      <c r="W98"/>
    </row>
    <row r="99" spans="1:23" ht="19.95" customHeight="1">
      <c r="A99" s="369"/>
      <c r="B99" s="145"/>
      <c r="C99" s="126"/>
      <c r="D99" s="126"/>
      <c r="E99" s="126"/>
      <c r="F99" s="126"/>
      <c r="G99" s="125"/>
      <c r="H99" s="126"/>
      <c r="I99" s="126"/>
      <c r="J99" s="127"/>
      <c r="K99" s="126"/>
      <c r="L99" s="126"/>
      <c r="M99" s="128"/>
      <c r="N99" s="126"/>
      <c r="O99" s="126"/>
      <c r="P99" s="128"/>
      <c r="Q99" s="126"/>
      <c r="R99" s="126"/>
      <c r="S99" s="126"/>
      <c r="T99" s="139"/>
      <c r="U99" s="25"/>
      <c r="V99"/>
      <c r="W99"/>
    </row>
    <row r="100" spans="1:23" ht="19.95" customHeight="1">
      <c r="A100" s="369"/>
      <c r="B100" s="145"/>
      <c r="C100" s="126"/>
      <c r="D100" s="126"/>
      <c r="E100" s="126"/>
      <c r="F100" s="126"/>
      <c r="G100" s="125"/>
      <c r="H100" s="126"/>
      <c r="I100" s="126"/>
      <c r="J100" s="127"/>
      <c r="K100" s="126"/>
      <c r="L100" s="126"/>
      <c r="M100" s="128"/>
      <c r="N100" s="126"/>
      <c r="O100" s="126"/>
      <c r="P100" s="128"/>
      <c r="Q100" s="126"/>
      <c r="R100" s="126"/>
      <c r="S100" s="126"/>
      <c r="T100" s="139"/>
      <c r="U100" s="25"/>
      <c r="V100"/>
      <c r="W100"/>
    </row>
    <row r="101" spans="1:23" ht="19.95" customHeight="1">
      <c r="A101" s="369"/>
      <c r="B101" s="145"/>
      <c r="C101" s="126"/>
      <c r="D101" s="126"/>
      <c r="E101" s="126"/>
      <c r="F101" s="126"/>
      <c r="G101" s="125"/>
      <c r="H101" s="126"/>
      <c r="I101" s="126"/>
      <c r="J101" s="127"/>
      <c r="K101" s="126"/>
      <c r="L101" s="126"/>
      <c r="M101" s="128"/>
      <c r="N101" s="126"/>
      <c r="O101" s="126"/>
      <c r="P101" s="128"/>
      <c r="Q101" s="126"/>
      <c r="R101" s="126"/>
      <c r="S101" s="126"/>
      <c r="T101" s="139"/>
      <c r="U101" s="25"/>
      <c r="V101"/>
      <c r="W101"/>
    </row>
    <row r="102" spans="1:23" ht="19.95" customHeight="1">
      <c r="A102" s="369"/>
      <c r="B102" s="145"/>
      <c r="C102" s="126"/>
      <c r="D102" s="126"/>
      <c r="E102" s="126"/>
      <c r="F102" s="126"/>
      <c r="G102" s="125"/>
      <c r="H102" s="126"/>
      <c r="I102" s="126"/>
      <c r="J102" s="127"/>
      <c r="K102" s="126"/>
      <c r="L102" s="126"/>
      <c r="M102" s="128"/>
      <c r="N102" s="126"/>
      <c r="O102" s="126"/>
      <c r="P102" s="128"/>
      <c r="Q102" s="126"/>
      <c r="R102" s="126"/>
      <c r="S102" s="126"/>
      <c r="T102" s="139"/>
      <c r="U102" s="25"/>
      <c r="V102"/>
      <c r="W102"/>
    </row>
    <row r="103" spans="1:23" ht="19.95" customHeight="1">
      <c r="A103" s="369"/>
      <c r="B103" s="145"/>
      <c r="C103" s="126"/>
      <c r="D103" s="126"/>
      <c r="E103" s="126"/>
      <c r="F103" s="126"/>
      <c r="G103" s="125"/>
      <c r="H103" s="126"/>
      <c r="I103" s="126"/>
      <c r="J103" s="127"/>
      <c r="K103" s="126"/>
      <c r="L103" s="126"/>
      <c r="M103" s="128"/>
      <c r="N103" s="126"/>
      <c r="O103" s="126"/>
      <c r="P103" s="128"/>
      <c r="Q103" s="126"/>
      <c r="R103" s="126"/>
      <c r="S103" s="126"/>
      <c r="T103" s="139"/>
      <c r="U103" s="25"/>
      <c r="V103"/>
      <c r="W103"/>
    </row>
    <row r="104" spans="1:23" ht="19.95" customHeight="1">
      <c r="A104" s="369"/>
      <c r="B104" s="145"/>
      <c r="C104" s="126"/>
      <c r="D104" s="126"/>
      <c r="E104" s="126"/>
      <c r="F104" s="126"/>
      <c r="G104" s="125"/>
      <c r="H104" s="126"/>
      <c r="I104" s="126"/>
      <c r="J104" s="127"/>
      <c r="K104" s="126"/>
      <c r="L104" s="126"/>
      <c r="M104" s="128"/>
      <c r="N104" s="126"/>
      <c r="O104" s="126"/>
      <c r="P104" s="128"/>
      <c r="Q104" s="126"/>
      <c r="R104" s="126"/>
      <c r="S104" s="126"/>
      <c r="T104" s="139"/>
      <c r="U104" s="25"/>
      <c r="V104"/>
      <c r="W104"/>
    </row>
    <row r="105" spans="1:23" ht="19.95" customHeight="1" thickBot="1">
      <c r="A105" s="370"/>
      <c r="B105" s="146"/>
      <c r="C105" s="140"/>
      <c r="D105" s="140"/>
      <c r="E105" s="140"/>
      <c r="F105" s="140"/>
      <c r="G105" s="141"/>
      <c r="H105" s="140"/>
      <c r="I105" s="140"/>
      <c r="J105" s="142"/>
      <c r="K105" s="140"/>
      <c r="L105" s="140"/>
      <c r="M105" s="143"/>
      <c r="N105" s="140"/>
      <c r="O105" s="140"/>
      <c r="P105" s="143"/>
      <c r="Q105" s="140"/>
      <c r="R105" s="140"/>
      <c r="S105" s="140"/>
      <c r="T105" s="144"/>
      <c r="U105" s="25"/>
      <c r="V105"/>
      <c r="W105"/>
    </row>
    <row r="106" spans="1:23" ht="19.95" customHeight="1">
      <c r="A106" s="368" t="str">
        <f>'Read Me First'!C16</f>
        <v>Basingstoke &amp; Mid Hants AC</v>
      </c>
      <c r="B106" s="133" cm="1">
        <f t="array" ref="B106:T115">_xlfn.LET(_xlpm.x, _xlfn._xlws.SORT(_xlfn._xlws.FILTER(Data!$A$33:$S$212,(Data!$C$33:$C$212=$A106)*(Data!$D$33:$D$212=$E$4)*(Data!$E$33:$E$212="U10")),18),_xlpm.y,_xlfn._xlws.SORT(_xlfn._xlws.FILTER(Data!$A$33:$S$212,(Data!$C$33:$C$212=$A106)*(Data!$D$33:$D$212=$E$4)*(Data!$E$33:$E$212="U12")),19), IFERROR(_xlfn.VSTACK(_xlpm.x,_xlpm.y), IFERROR(_xlpm.y,IFERROR(_xlpm.x, ""))))</f>
        <v>106</v>
      </c>
      <c r="C106" s="134" t="str">
        <v>KLEMANTINE PATA</v>
      </c>
      <c r="D106" s="134" t="str">
        <v>Basingstoke &amp; Mid Hants AC</v>
      </c>
      <c r="E106" s="134" t="str">
        <v>GIRLS</v>
      </c>
      <c r="F106" s="134" t="str">
        <v>U12</v>
      </c>
      <c r="G106" s="135">
        <v>12.3</v>
      </c>
      <c r="H106" s="134">
        <v>47</v>
      </c>
      <c r="I106" s="134" t="str">
        <v>PB7</v>
      </c>
      <c r="J106" s="136">
        <v>1.5706018518518517E-3</v>
      </c>
      <c r="K106" s="134">
        <v>54</v>
      </c>
      <c r="L106" s="134" t="str">
        <v>PB2</v>
      </c>
      <c r="M106" s="137">
        <v>3.23</v>
      </c>
      <c r="N106" s="134">
        <v>44</v>
      </c>
      <c r="O106" s="134" t="str">
        <v>PB6</v>
      </c>
      <c r="P106" s="137">
        <v>16.68</v>
      </c>
      <c r="Q106" s="134">
        <v>33</v>
      </c>
      <c r="R106" s="134">
        <v>178</v>
      </c>
      <c r="S106" s="134">
        <v>1</v>
      </c>
      <c r="T106" s="138">
        <v>19</v>
      </c>
      <c r="U106" s="25"/>
      <c r="V106"/>
      <c r="W106"/>
    </row>
    <row r="107" spans="1:23" ht="19.95" customHeight="1">
      <c r="A107" s="369"/>
      <c r="B107" s="145">
        <v>102</v>
      </c>
      <c r="C107" s="126" t="str">
        <v>NORA POFF</v>
      </c>
      <c r="D107" s="126" t="str">
        <v>Basingstoke &amp; Mid Hants AC</v>
      </c>
      <c r="E107" s="126" t="str">
        <v>GIRLS</v>
      </c>
      <c r="F107" s="126" t="str">
        <v>U12</v>
      </c>
      <c r="G107" s="125">
        <v>12.5</v>
      </c>
      <c r="H107" s="126">
        <v>45</v>
      </c>
      <c r="I107" s="126" t="str">
        <v>PB7</v>
      </c>
      <c r="J107" s="127">
        <v>1.5312500000000001E-3</v>
      </c>
      <c r="K107" s="126">
        <v>57</v>
      </c>
      <c r="L107" s="126" t="str">
        <v>PB3</v>
      </c>
      <c r="M107" s="128">
        <v>2.87</v>
      </c>
      <c r="N107" s="126">
        <v>32</v>
      </c>
      <c r="O107" s="126" t="str">
        <v>PB5</v>
      </c>
      <c r="P107" s="128">
        <v>15.4</v>
      </c>
      <c r="Q107" s="126">
        <v>30</v>
      </c>
      <c r="R107" s="126">
        <v>164</v>
      </c>
      <c r="S107" s="126">
        <v>2</v>
      </c>
      <c r="T107" s="139">
        <v>26</v>
      </c>
      <c r="U107" s="25"/>
      <c r="V107"/>
      <c r="W107"/>
    </row>
    <row r="108" spans="1:23" ht="19.95" customHeight="1">
      <c r="A108" s="369"/>
      <c r="B108" s="145">
        <v>103</v>
      </c>
      <c r="C108" s="126" t="str">
        <v>ISLA HOBBINS</v>
      </c>
      <c r="D108" s="126" t="str">
        <v>Basingstoke &amp; Mid Hants AC</v>
      </c>
      <c r="E108" s="126" t="str">
        <v>GIRLS</v>
      </c>
      <c r="F108" s="126" t="str">
        <v>U12</v>
      </c>
      <c r="G108" s="125">
        <v>12.6</v>
      </c>
      <c r="H108" s="126">
        <v>44</v>
      </c>
      <c r="I108" s="126" t="str">
        <v>PB6</v>
      </c>
      <c r="J108" s="127">
        <v>1.5879629629629629E-3</v>
      </c>
      <c r="K108" s="126">
        <v>52</v>
      </c>
      <c r="L108" s="126" t="str">
        <v>PB2</v>
      </c>
      <c r="M108" s="128">
        <v>2.83</v>
      </c>
      <c r="N108" s="126">
        <v>31</v>
      </c>
      <c r="O108" s="126" t="str">
        <v>PB5</v>
      </c>
      <c r="P108" s="128">
        <v>17.350000000000001</v>
      </c>
      <c r="Q108" s="126">
        <v>34</v>
      </c>
      <c r="R108" s="126">
        <v>161</v>
      </c>
      <c r="S108" s="126">
        <v>3</v>
      </c>
      <c r="T108" s="139">
        <v>29</v>
      </c>
      <c r="U108" s="25"/>
      <c r="V108"/>
      <c r="W108"/>
    </row>
    <row r="109" spans="1:23" ht="19.95" customHeight="1">
      <c r="A109" s="369"/>
      <c r="B109" s="145">
        <v>104</v>
      </c>
      <c r="C109" s="126" t="str">
        <v>BEATRICE MONCAD</v>
      </c>
      <c r="D109" s="126" t="str">
        <v>Basingstoke &amp; Mid Hants AC</v>
      </c>
      <c r="E109" s="126" t="str">
        <v>GIRLS</v>
      </c>
      <c r="F109" s="126" t="str">
        <v>U12</v>
      </c>
      <c r="G109" s="125">
        <v>12.4</v>
      </c>
      <c r="H109" s="126">
        <v>46</v>
      </c>
      <c r="I109" s="126" t="str">
        <v>PB7</v>
      </c>
      <c r="J109" s="127">
        <v>1.5405092592592593E-3</v>
      </c>
      <c r="K109" s="126">
        <v>56</v>
      </c>
      <c r="L109" s="126" t="str">
        <v>PB3</v>
      </c>
      <c r="M109" s="128">
        <v>2.5499999999999998</v>
      </c>
      <c r="N109" s="126">
        <v>21</v>
      </c>
      <c r="O109" s="126" t="str">
        <v>PB4</v>
      </c>
      <c r="P109" s="128">
        <v>14.13</v>
      </c>
      <c r="Q109" s="126">
        <v>28</v>
      </c>
      <c r="R109" s="126">
        <v>151</v>
      </c>
      <c r="S109" s="126">
        <v>4</v>
      </c>
      <c r="T109" s="139">
        <v>32</v>
      </c>
      <c r="U109" s="25"/>
      <c r="V109"/>
      <c r="W109"/>
    </row>
    <row r="110" spans="1:23" ht="19.95" customHeight="1">
      <c r="A110" s="369"/>
      <c r="B110" s="145">
        <v>101</v>
      </c>
      <c r="C110" s="126" t="str">
        <v>LYRA JINKS</v>
      </c>
      <c r="D110" s="126" t="str">
        <v>Basingstoke &amp; Mid Hants AC</v>
      </c>
      <c r="E110" s="126" t="str">
        <v>GIRLS</v>
      </c>
      <c r="F110" s="126" t="str">
        <v>U12</v>
      </c>
      <c r="G110" s="125">
        <v>12.7</v>
      </c>
      <c r="H110" s="126">
        <v>43</v>
      </c>
      <c r="I110" s="126" t="str">
        <v>PB6</v>
      </c>
      <c r="J110" s="127">
        <v>1.5798611111111111E-3</v>
      </c>
      <c r="K110" s="126">
        <v>53</v>
      </c>
      <c r="L110" s="126" t="str">
        <v>PB2</v>
      </c>
      <c r="M110" s="128">
        <v>2.88</v>
      </c>
      <c r="N110" s="126">
        <v>32</v>
      </c>
      <c r="O110" s="126" t="str">
        <v>PB5</v>
      </c>
      <c r="P110" s="128">
        <v>11.46</v>
      </c>
      <c r="Q110" s="126">
        <v>22</v>
      </c>
      <c r="R110" s="126">
        <v>150</v>
      </c>
      <c r="S110" s="126">
        <v>5</v>
      </c>
      <c r="T110" s="139">
        <v>34</v>
      </c>
      <c r="U110" s="25"/>
      <c r="V110"/>
      <c r="W110"/>
    </row>
    <row r="111" spans="1:23" ht="19.95" customHeight="1">
      <c r="A111" s="369"/>
      <c r="B111" s="145">
        <v>105</v>
      </c>
      <c r="C111" s="126" t="str">
        <v>BETH BOLE</v>
      </c>
      <c r="D111" s="126" t="str">
        <v>Basingstoke &amp; Mid Hants AC</v>
      </c>
      <c r="E111" s="126" t="str">
        <v>GIRLS</v>
      </c>
      <c r="F111" s="126" t="str">
        <v>U12</v>
      </c>
      <c r="G111" s="125">
        <v>13.5</v>
      </c>
      <c r="H111" s="126">
        <v>35</v>
      </c>
      <c r="I111" s="126" t="str">
        <v>PB5</v>
      </c>
      <c r="J111" s="127">
        <v>1.6932870370370372E-3</v>
      </c>
      <c r="K111" s="126">
        <v>43</v>
      </c>
      <c r="L111" s="126" t="str">
        <v>PB1</v>
      </c>
      <c r="M111" s="128">
        <v>2.83</v>
      </c>
      <c r="N111" s="126">
        <v>31</v>
      </c>
      <c r="O111" s="126" t="str">
        <v>PB5</v>
      </c>
      <c r="P111" s="128">
        <v>16.2</v>
      </c>
      <c r="Q111" s="126">
        <v>32</v>
      </c>
      <c r="R111" s="126">
        <v>141</v>
      </c>
      <c r="S111" s="126">
        <v>6</v>
      </c>
      <c r="T111" s="139">
        <v>40</v>
      </c>
      <c r="U111" s="54"/>
      <c r="V111"/>
      <c r="W111"/>
    </row>
    <row r="112" spans="1:23" ht="19.95" customHeight="1">
      <c r="A112" s="369"/>
      <c r="B112" s="145">
        <v>107</v>
      </c>
      <c r="C112" s="126" t="str">
        <v/>
      </c>
      <c r="D112" s="126" t="str">
        <v>Basingstoke &amp; Mid Hants AC</v>
      </c>
      <c r="E112" s="126" t="str">
        <v>GIRLS</v>
      </c>
      <c r="F112" s="126" t="str">
        <v>U12</v>
      </c>
      <c r="G112" s="125" t="str">
        <v/>
      </c>
      <c r="H112" s="126">
        <v>0</v>
      </c>
      <c r="I112" s="126" t="str">
        <v/>
      </c>
      <c r="J112" s="127">
        <v>0</v>
      </c>
      <c r="K112" s="126">
        <v>0</v>
      </c>
      <c r="L112" s="126" t="str">
        <v/>
      </c>
      <c r="M112" s="128" t="str">
        <v/>
      </c>
      <c r="N112" s="126">
        <v>0</v>
      </c>
      <c r="O112" s="126">
        <v>0</v>
      </c>
      <c r="P112" s="128" t="str">
        <v/>
      </c>
      <c r="Q112" s="126">
        <v>0</v>
      </c>
      <c r="R112" s="126">
        <v>0</v>
      </c>
      <c r="S112" s="126" t="str">
        <v/>
      </c>
      <c r="T112" s="139" t="str">
        <v/>
      </c>
      <c r="U112" s="54"/>
      <c r="V112"/>
      <c r="W112"/>
    </row>
    <row r="113" spans="1:23" ht="19.95" customHeight="1">
      <c r="A113" s="369"/>
      <c r="B113" s="145">
        <v>108</v>
      </c>
      <c r="C113" s="126" t="str">
        <v/>
      </c>
      <c r="D113" s="126" t="str">
        <v>Basingstoke &amp; Mid Hants AC</v>
      </c>
      <c r="E113" s="126" t="str">
        <v>GIRLS</v>
      </c>
      <c r="F113" s="126" t="str">
        <v>U12</v>
      </c>
      <c r="G113" s="125" t="str">
        <v/>
      </c>
      <c r="H113" s="126">
        <v>0</v>
      </c>
      <c r="I113" s="126" t="str">
        <v/>
      </c>
      <c r="J113" s="127">
        <v>0</v>
      </c>
      <c r="K113" s="126">
        <v>0</v>
      </c>
      <c r="L113" s="126" t="str">
        <v/>
      </c>
      <c r="M113" s="128" t="str">
        <v/>
      </c>
      <c r="N113" s="126">
        <v>0</v>
      </c>
      <c r="O113" s="126">
        <v>0</v>
      </c>
      <c r="P113" s="128" t="str">
        <v/>
      </c>
      <c r="Q113" s="126">
        <v>0</v>
      </c>
      <c r="R113" s="126">
        <v>0</v>
      </c>
      <c r="S113" s="126" t="str">
        <v/>
      </c>
      <c r="T113" s="139" t="str">
        <v/>
      </c>
      <c r="U113" s="54"/>
      <c r="V113"/>
      <c r="W113"/>
    </row>
    <row r="114" spans="1:23" ht="19.95" customHeight="1">
      <c r="A114" s="369"/>
      <c r="B114" s="145">
        <v>109</v>
      </c>
      <c r="C114" s="126" t="str">
        <v/>
      </c>
      <c r="D114" s="126" t="str">
        <v>Basingstoke &amp; Mid Hants AC</v>
      </c>
      <c r="E114" s="126" t="str">
        <v>GIRLS</v>
      </c>
      <c r="F114" s="126" t="str">
        <v>U12</v>
      </c>
      <c r="G114" s="125" t="str">
        <v/>
      </c>
      <c r="H114" s="126">
        <v>0</v>
      </c>
      <c r="I114" s="126" t="str">
        <v/>
      </c>
      <c r="J114" s="127">
        <v>0</v>
      </c>
      <c r="K114" s="126">
        <v>0</v>
      </c>
      <c r="L114" s="126" t="str">
        <v/>
      </c>
      <c r="M114" s="128" t="str">
        <v/>
      </c>
      <c r="N114" s="126">
        <v>0</v>
      </c>
      <c r="O114" s="126">
        <v>0</v>
      </c>
      <c r="P114" s="128" t="str">
        <v/>
      </c>
      <c r="Q114" s="126">
        <v>0</v>
      </c>
      <c r="R114" s="126">
        <v>0</v>
      </c>
      <c r="S114" s="126" t="str">
        <v/>
      </c>
      <c r="T114" s="139" t="str">
        <v/>
      </c>
      <c r="U114" s="54"/>
      <c r="V114"/>
      <c r="W114"/>
    </row>
    <row r="115" spans="1:23" ht="19.95" customHeight="1">
      <c r="A115" s="369"/>
      <c r="B115" s="145">
        <v>110</v>
      </c>
      <c r="C115" s="126" t="str">
        <v/>
      </c>
      <c r="D115" s="126" t="str">
        <v>Basingstoke &amp; Mid Hants AC</v>
      </c>
      <c r="E115" s="126" t="str">
        <v>GIRLS</v>
      </c>
      <c r="F115" s="126" t="str">
        <v>U12</v>
      </c>
      <c r="G115" s="125" t="str">
        <v/>
      </c>
      <c r="H115" s="126">
        <v>0</v>
      </c>
      <c r="I115" s="126" t="str">
        <v/>
      </c>
      <c r="J115" s="127">
        <v>0</v>
      </c>
      <c r="K115" s="126">
        <v>0</v>
      </c>
      <c r="L115" s="126" t="str">
        <v/>
      </c>
      <c r="M115" s="128" t="str">
        <v/>
      </c>
      <c r="N115" s="126">
        <v>0</v>
      </c>
      <c r="O115" s="126">
        <v>0</v>
      </c>
      <c r="P115" s="128" t="str">
        <v/>
      </c>
      <c r="Q115" s="126">
        <v>0</v>
      </c>
      <c r="R115" s="126">
        <v>0</v>
      </c>
      <c r="S115" s="126" t="str">
        <v/>
      </c>
      <c r="T115" s="139" t="str">
        <v/>
      </c>
      <c r="U115" s="54"/>
      <c r="V115"/>
      <c r="W115"/>
    </row>
    <row r="116" spans="1:23" ht="19.95" customHeight="1">
      <c r="A116" s="369"/>
      <c r="B116" s="145"/>
      <c r="C116" s="126"/>
      <c r="D116" s="126"/>
      <c r="E116" s="126"/>
      <c r="F116" s="126"/>
      <c r="G116" s="125"/>
      <c r="H116" s="126"/>
      <c r="I116" s="126"/>
      <c r="J116" s="127"/>
      <c r="K116" s="126"/>
      <c r="L116" s="126"/>
      <c r="M116" s="128"/>
      <c r="N116" s="126"/>
      <c r="O116" s="126"/>
      <c r="P116" s="128"/>
      <c r="Q116" s="126"/>
      <c r="R116" s="126"/>
      <c r="S116" s="126"/>
      <c r="T116" s="139"/>
      <c r="U116" s="25"/>
      <c r="V116"/>
      <c r="W116"/>
    </row>
    <row r="117" spans="1:23" ht="19.95" customHeight="1">
      <c r="A117" s="369"/>
      <c r="B117" s="145"/>
      <c r="C117" s="126"/>
      <c r="D117" s="126"/>
      <c r="E117" s="126"/>
      <c r="F117" s="126"/>
      <c r="G117" s="125"/>
      <c r="H117" s="126"/>
      <c r="I117" s="126"/>
      <c r="J117" s="127"/>
      <c r="K117" s="126"/>
      <c r="L117" s="126"/>
      <c r="M117" s="128"/>
      <c r="N117" s="126"/>
      <c r="O117" s="126"/>
      <c r="P117" s="128"/>
      <c r="Q117" s="126"/>
      <c r="R117" s="126"/>
      <c r="S117" s="126"/>
      <c r="T117" s="139"/>
      <c r="U117" s="25"/>
      <c r="V117"/>
      <c r="W117"/>
    </row>
    <row r="118" spans="1:23" ht="19.95" customHeight="1">
      <c r="A118" s="369"/>
      <c r="B118" s="145"/>
      <c r="C118" s="126"/>
      <c r="D118" s="126"/>
      <c r="E118" s="126"/>
      <c r="F118" s="126"/>
      <c r="G118" s="125"/>
      <c r="H118" s="126"/>
      <c r="I118" s="126"/>
      <c r="J118" s="127"/>
      <c r="K118" s="126"/>
      <c r="L118" s="126"/>
      <c r="M118" s="128"/>
      <c r="N118" s="126"/>
      <c r="O118" s="126"/>
      <c r="P118" s="128"/>
      <c r="Q118" s="126"/>
      <c r="R118" s="126"/>
      <c r="S118" s="126"/>
      <c r="T118" s="139"/>
      <c r="U118" s="25"/>
      <c r="V118"/>
      <c r="W118"/>
    </row>
    <row r="119" spans="1:23" ht="19.95" customHeight="1">
      <c r="A119" s="369"/>
      <c r="B119" s="145"/>
      <c r="C119" s="126"/>
      <c r="D119" s="126"/>
      <c r="E119" s="126"/>
      <c r="F119" s="126"/>
      <c r="G119" s="125"/>
      <c r="H119" s="126"/>
      <c r="I119" s="126"/>
      <c r="J119" s="127"/>
      <c r="K119" s="126"/>
      <c r="L119" s="126"/>
      <c r="M119" s="128"/>
      <c r="N119" s="126"/>
      <c r="O119" s="126"/>
      <c r="P119" s="128"/>
      <c r="Q119" s="126"/>
      <c r="R119" s="126"/>
      <c r="S119" s="126"/>
      <c r="T119" s="139"/>
      <c r="U119" s="25"/>
      <c r="V119"/>
      <c r="W119"/>
    </row>
    <row r="120" spans="1:23" ht="19.95" customHeight="1">
      <c r="A120" s="369"/>
      <c r="B120" s="145"/>
      <c r="C120" s="126"/>
      <c r="D120" s="126"/>
      <c r="E120" s="126"/>
      <c r="F120" s="126"/>
      <c r="G120" s="125"/>
      <c r="H120" s="126"/>
      <c r="I120" s="126"/>
      <c r="J120" s="127"/>
      <c r="K120" s="126"/>
      <c r="L120" s="126"/>
      <c r="M120" s="128"/>
      <c r="N120" s="126"/>
      <c r="O120" s="126"/>
      <c r="P120" s="128"/>
      <c r="Q120" s="126"/>
      <c r="R120" s="126"/>
      <c r="S120" s="126"/>
      <c r="T120" s="139"/>
      <c r="U120" s="25"/>
      <c r="V120"/>
      <c r="W120"/>
    </row>
    <row r="121" spans="1:23" ht="19.95" customHeight="1">
      <c r="A121" s="369"/>
      <c r="B121" s="145"/>
      <c r="C121" s="126"/>
      <c r="D121" s="126"/>
      <c r="E121" s="126"/>
      <c r="F121" s="126"/>
      <c r="G121" s="125"/>
      <c r="H121" s="126"/>
      <c r="I121" s="126"/>
      <c r="J121" s="127"/>
      <c r="K121" s="126"/>
      <c r="L121" s="126"/>
      <c r="M121" s="128"/>
      <c r="N121" s="126"/>
      <c r="O121" s="126"/>
      <c r="P121" s="128"/>
      <c r="Q121" s="126"/>
      <c r="R121" s="126"/>
      <c r="S121" s="126"/>
      <c r="T121" s="139"/>
      <c r="U121" s="25"/>
      <c r="V121"/>
      <c r="W121"/>
    </row>
    <row r="122" spans="1:23" ht="19.95" customHeight="1">
      <c r="A122" s="369"/>
      <c r="B122" s="145"/>
      <c r="C122" s="126"/>
      <c r="D122" s="126"/>
      <c r="E122" s="126"/>
      <c r="F122" s="126"/>
      <c r="G122" s="125"/>
      <c r="H122" s="126"/>
      <c r="I122" s="126"/>
      <c r="J122" s="127"/>
      <c r="K122" s="126"/>
      <c r="L122" s="126"/>
      <c r="M122" s="128"/>
      <c r="N122" s="126"/>
      <c r="O122" s="126"/>
      <c r="P122" s="128"/>
      <c r="Q122" s="126"/>
      <c r="R122" s="126"/>
      <c r="S122" s="126"/>
      <c r="T122" s="139"/>
      <c r="U122" s="25"/>
      <c r="V122"/>
      <c r="W122"/>
    </row>
    <row r="123" spans="1:23" ht="19.95" customHeight="1">
      <c r="A123" s="369"/>
      <c r="B123" s="145"/>
      <c r="C123" s="126"/>
      <c r="D123" s="126"/>
      <c r="E123" s="126"/>
      <c r="F123" s="126"/>
      <c r="G123" s="125"/>
      <c r="H123" s="126"/>
      <c r="I123" s="126"/>
      <c r="J123" s="127"/>
      <c r="K123" s="126"/>
      <c r="L123" s="126"/>
      <c r="M123" s="128"/>
      <c r="N123" s="126"/>
      <c r="O123" s="126"/>
      <c r="P123" s="128"/>
      <c r="Q123" s="126"/>
      <c r="R123" s="126"/>
      <c r="S123" s="126"/>
      <c r="T123" s="139"/>
      <c r="U123" s="25"/>
      <c r="V123"/>
      <c r="W123"/>
    </row>
    <row r="124" spans="1:23" ht="19.95" customHeight="1">
      <c r="A124" s="369"/>
      <c r="B124" s="145"/>
      <c r="C124" s="126"/>
      <c r="D124" s="126"/>
      <c r="E124" s="126"/>
      <c r="F124" s="126"/>
      <c r="G124" s="125"/>
      <c r="H124" s="126"/>
      <c r="I124" s="126"/>
      <c r="J124" s="127"/>
      <c r="K124" s="126"/>
      <c r="L124" s="126"/>
      <c r="M124" s="128"/>
      <c r="N124" s="126"/>
      <c r="O124" s="126"/>
      <c r="P124" s="128"/>
      <c r="Q124" s="126"/>
      <c r="R124" s="126"/>
      <c r="S124" s="126"/>
      <c r="T124" s="139"/>
      <c r="U124" s="25"/>
      <c r="V124"/>
      <c r="W124"/>
    </row>
    <row r="125" spans="1:23" ht="19.95" customHeight="1">
      <c r="A125" s="369"/>
      <c r="B125" s="145"/>
      <c r="C125" s="126"/>
      <c r="D125" s="126"/>
      <c r="E125" s="126"/>
      <c r="F125" s="126"/>
      <c r="G125" s="125"/>
      <c r="H125" s="126"/>
      <c r="I125" s="126"/>
      <c r="J125" s="127"/>
      <c r="K125" s="126"/>
      <c r="L125" s="126"/>
      <c r="M125" s="128"/>
      <c r="N125" s="126"/>
      <c r="O125" s="126"/>
      <c r="P125" s="128"/>
      <c r="Q125" s="126"/>
      <c r="R125" s="126"/>
      <c r="S125" s="126"/>
      <c r="T125" s="139"/>
      <c r="U125" s="25"/>
      <c r="V125"/>
      <c r="W125"/>
    </row>
    <row r="126" spans="1:23" ht="19.95" customHeight="1">
      <c r="A126" s="369"/>
      <c r="B126" s="145"/>
      <c r="C126" s="126"/>
      <c r="D126" s="126"/>
      <c r="E126" s="126"/>
      <c r="F126" s="126"/>
      <c r="G126" s="125"/>
      <c r="H126" s="126"/>
      <c r="I126" s="126"/>
      <c r="J126" s="127"/>
      <c r="K126" s="126"/>
      <c r="L126" s="126"/>
      <c r="M126" s="128"/>
      <c r="N126" s="126"/>
      <c r="O126" s="126"/>
      <c r="P126" s="128"/>
      <c r="Q126" s="126"/>
      <c r="R126" s="126"/>
      <c r="S126" s="126"/>
      <c r="T126" s="139"/>
      <c r="U126" s="25"/>
      <c r="V126"/>
      <c r="W126"/>
    </row>
    <row r="127" spans="1:23" ht="19.95" customHeight="1">
      <c r="A127" s="369"/>
      <c r="B127" s="145"/>
      <c r="C127" s="126"/>
      <c r="D127" s="126"/>
      <c r="E127" s="126"/>
      <c r="F127" s="126"/>
      <c r="G127" s="125"/>
      <c r="H127" s="126"/>
      <c r="I127" s="126"/>
      <c r="J127" s="127"/>
      <c r="K127" s="126"/>
      <c r="L127" s="126"/>
      <c r="M127" s="128"/>
      <c r="N127" s="126"/>
      <c r="O127" s="126"/>
      <c r="P127" s="128"/>
      <c r="Q127" s="126"/>
      <c r="R127" s="126"/>
      <c r="S127" s="126"/>
      <c r="T127" s="139"/>
      <c r="U127" s="25"/>
      <c r="V127"/>
      <c r="W127"/>
    </row>
    <row r="128" spans="1:23" ht="19.95" customHeight="1">
      <c r="A128" s="369"/>
      <c r="B128" s="145"/>
      <c r="C128" s="126"/>
      <c r="D128" s="126"/>
      <c r="E128" s="126"/>
      <c r="F128" s="126"/>
      <c r="G128" s="125"/>
      <c r="H128" s="126"/>
      <c r="I128" s="126"/>
      <c r="J128" s="127"/>
      <c r="K128" s="126"/>
      <c r="L128" s="126"/>
      <c r="M128" s="128"/>
      <c r="N128" s="126"/>
      <c r="O128" s="126"/>
      <c r="P128" s="128"/>
      <c r="Q128" s="126"/>
      <c r="R128" s="126"/>
      <c r="S128" s="126"/>
      <c r="T128" s="139"/>
      <c r="U128" s="25"/>
      <c r="V128"/>
      <c r="W128"/>
    </row>
    <row r="129" spans="1:23" ht="19.95" customHeight="1">
      <c r="A129" s="369"/>
      <c r="B129" s="145"/>
      <c r="C129" s="126"/>
      <c r="D129" s="126"/>
      <c r="E129" s="126"/>
      <c r="F129" s="126"/>
      <c r="G129" s="125"/>
      <c r="H129" s="126"/>
      <c r="I129" s="126"/>
      <c r="J129" s="127"/>
      <c r="K129" s="126"/>
      <c r="L129" s="126"/>
      <c r="M129" s="128"/>
      <c r="N129" s="126"/>
      <c r="O129" s="126"/>
      <c r="P129" s="128"/>
      <c r="Q129" s="126"/>
      <c r="R129" s="126"/>
      <c r="S129" s="126"/>
      <c r="T129" s="139"/>
      <c r="U129" s="25"/>
      <c r="V129"/>
      <c r="W129"/>
    </row>
    <row r="130" spans="1:23" ht="19.95" customHeight="1" thickBot="1">
      <c r="A130" s="370"/>
      <c r="B130" s="146"/>
      <c r="C130" s="140"/>
      <c r="D130" s="140"/>
      <c r="E130" s="140"/>
      <c r="F130" s="140"/>
      <c r="G130" s="141"/>
      <c r="H130" s="140"/>
      <c r="I130" s="140"/>
      <c r="J130" s="142"/>
      <c r="K130" s="140"/>
      <c r="L130" s="140"/>
      <c r="M130" s="143"/>
      <c r="N130" s="140"/>
      <c r="O130" s="140"/>
      <c r="P130" s="143"/>
      <c r="Q130" s="140"/>
      <c r="R130" s="140"/>
      <c r="S130" s="140"/>
      <c r="T130" s="144"/>
      <c r="U130" s="25"/>
      <c r="V130"/>
      <c r="W130"/>
    </row>
    <row r="131" spans="1:23" ht="19.95" customHeight="1">
      <c r="A131" s="368" t="str">
        <f>'Read Me First'!C17</f>
        <v/>
      </c>
      <c r="B131" s="133" cm="1">
        <f t="array" ref="B131:T140">_xlfn.LET(_xlpm.x, _xlfn._xlws.SORT(_xlfn._xlws.FILTER(Data!$A$33:$S$212,(Data!$C$33:$C$212=$A131)*(Data!$D$33:$D$212=$E$4)*(Data!$E$33:$E$212="U10")),18),_xlpm.y,_xlfn._xlws.SORT(_xlfn._xlws.FILTER(Data!$A$33:$S$212,(Data!$C$33:$C$212=$A131)*(Data!$D$33:$D$212=$E$4)*(Data!$E$33:$E$212="U12")),19), IFERROR(_xlfn.VSTACK(_xlpm.x,_xlpm.y), IFERROR(_xlpm.y,IFERROR(_xlpm.x, ""))))</f>
        <v>121</v>
      </c>
      <c r="C131" s="134" t="str">
        <v/>
      </c>
      <c r="D131" s="134" t="str">
        <v/>
      </c>
      <c r="E131" s="134" t="str">
        <v>GIRLS</v>
      </c>
      <c r="F131" s="134" t="str">
        <v>U12</v>
      </c>
      <c r="G131" s="135" t="str">
        <v/>
      </c>
      <c r="H131" s="134">
        <v>0</v>
      </c>
      <c r="I131" s="134" t="str">
        <v/>
      </c>
      <c r="J131" s="136">
        <v>0</v>
      </c>
      <c r="K131" s="134">
        <v>0</v>
      </c>
      <c r="L131" s="134" t="str">
        <v/>
      </c>
      <c r="M131" s="137" t="str">
        <v/>
      </c>
      <c r="N131" s="134">
        <v>0</v>
      </c>
      <c r="O131" s="134">
        <v>0</v>
      </c>
      <c r="P131" s="137" t="str">
        <v/>
      </c>
      <c r="Q131" s="134">
        <v>0</v>
      </c>
      <c r="R131" s="134">
        <v>0</v>
      </c>
      <c r="S131" s="134" t="str">
        <v/>
      </c>
      <c r="T131" s="138" t="str">
        <v/>
      </c>
      <c r="U131" s="25"/>
      <c r="V131"/>
      <c r="W131"/>
    </row>
    <row r="132" spans="1:23" ht="19.95" customHeight="1">
      <c r="A132" s="369"/>
      <c r="B132" s="145">
        <v>122</v>
      </c>
      <c r="C132" s="126" t="str">
        <v/>
      </c>
      <c r="D132" s="126" t="str">
        <v/>
      </c>
      <c r="E132" s="126" t="str">
        <v>GIRLS</v>
      </c>
      <c r="F132" s="126" t="str">
        <v>U12</v>
      </c>
      <c r="G132" s="125" t="str">
        <v/>
      </c>
      <c r="H132" s="126">
        <v>0</v>
      </c>
      <c r="I132" s="126" t="str">
        <v/>
      </c>
      <c r="J132" s="127">
        <v>0</v>
      </c>
      <c r="K132" s="126">
        <v>0</v>
      </c>
      <c r="L132" s="126" t="str">
        <v/>
      </c>
      <c r="M132" s="128" t="str">
        <v/>
      </c>
      <c r="N132" s="126">
        <v>0</v>
      </c>
      <c r="O132" s="126">
        <v>0</v>
      </c>
      <c r="P132" s="128" t="str">
        <v/>
      </c>
      <c r="Q132" s="126">
        <v>0</v>
      </c>
      <c r="R132" s="126">
        <v>0</v>
      </c>
      <c r="S132" s="126" t="str">
        <v/>
      </c>
      <c r="T132" s="139" t="str">
        <v/>
      </c>
      <c r="U132" s="54"/>
      <c r="V132"/>
      <c r="W132"/>
    </row>
    <row r="133" spans="1:23" ht="19.95" customHeight="1">
      <c r="A133" s="369"/>
      <c r="B133" s="145">
        <v>123</v>
      </c>
      <c r="C133" s="126" t="str">
        <v/>
      </c>
      <c r="D133" s="126" t="str">
        <v/>
      </c>
      <c r="E133" s="126" t="str">
        <v>GIRLS</v>
      </c>
      <c r="F133" s="126" t="str">
        <v>U12</v>
      </c>
      <c r="G133" s="125" t="str">
        <v/>
      </c>
      <c r="H133" s="126">
        <v>0</v>
      </c>
      <c r="I133" s="126" t="str">
        <v/>
      </c>
      <c r="J133" s="127">
        <v>0</v>
      </c>
      <c r="K133" s="126">
        <v>0</v>
      </c>
      <c r="L133" s="126" t="str">
        <v/>
      </c>
      <c r="M133" s="128" t="str">
        <v/>
      </c>
      <c r="N133" s="126">
        <v>0</v>
      </c>
      <c r="O133" s="126">
        <v>0</v>
      </c>
      <c r="P133" s="128" t="str">
        <v/>
      </c>
      <c r="Q133" s="126">
        <v>0</v>
      </c>
      <c r="R133" s="126">
        <v>0</v>
      </c>
      <c r="S133" s="126" t="str">
        <v/>
      </c>
      <c r="T133" s="139" t="str">
        <v/>
      </c>
      <c r="U133" s="25"/>
      <c r="V133"/>
      <c r="W133"/>
    </row>
    <row r="134" spans="1:23" ht="19.95" customHeight="1">
      <c r="A134" s="369"/>
      <c r="B134" s="145">
        <v>124</v>
      </c>
      <c r="C134" s="126" t="str">
        <v/>
      </c>
      <c r="D134" s="126" t="str">
        <v/>
      </c>
      <c r="E134" s="126" t="str">
        <v>GIRLS</v>
      </c>
      <c r="F134" s="126" t="str">
        <v>U12</v>
      </c>
      <c r="G134" s="125" t="str">
        <v/>
      </c>
      <c r="H134" s="126">
        <v>0</v>
      </c>
      <c r="I134" s="126" t="str">
        <v/>
      </c>
      <c r="J134" s="127">
        <v>0</v>
      </c>
      <c r="K134" s="126">
        <v>0</v>
      </c>
      <c r="L134" s="126" t="str">
        <v/>
      </c>
      <c r="M134" s="128" t="str">
        <v/>
      </c>
      <c r="N134" s="126">
        <v>0</v>
      </c>
      <c r="O134" s="126">
        <v>0</v>
      </c>
      <c r="P134" s="128" t="str">
        <v/>
      </c>
      <c r="Q134" s="126">
        <v>0</v>
      </c>
      <c r="R134" s="126">
        <v>0</v>
      </c>
      <c r="S134" s="126" t="str">
        <v/>
      </c>
      <c r="T134" s="139" t="str">
        <v/>
      </c>
      <c r="U134" s="25"/>
      <c r="V134"/>
      <c r="W134"/>
    </row>
    <row r="135" spans="1:23" ht="19.95" customHeight="1">
      <c r="A135" s="369"/>
      <c r="B135" s="145">
        <v>125</v>
      </c>
      <c r="C135" s="126" t="str">
        <v/>
      </c>
      <c r="D135" s="126" t="str">
        <v/>
      </c>
      <c r="E135" s="126" t="str">
        <v>GIRLS</v>
      </c>
      <c r="F135" s="126" t="str">
        <v>U12</v>
      </c>
      <c r="G135" s="125" t="str">
        <v/>
      </c>
      <c r="H135" s="126">
        <v>0</v>
      </c>
      <c r="I135" s="126" t="str">
        <v/>
      </c>
      <c r="J135" s="127">
        <v>0</v>
      </c>
      <c r="K135" s="126">
        <v>0</v>
      </c>
      <c r="L135" s="126" t="str">
        <v/>
      </c>
      <c r="M135" s="128" t="str">
        <v/>
      </c>
      <c r="N135" s="126">
        <v>0</v>
      </c>
      <c r="O135" s="126">
        <v>0</v>
      </c>
      <c r="P135" s="128" t="str">
        <v/>
      </c>
      <c r="Q135" s="126">
        <v>0</v>
      </c>
      <c r="R135" s="126">
        <v>0</v>
      </c>
      <c r="S135" s="126" t="str">
        <v/>
      </c>
      <c r="T135" s="139" t="str">
        <v/>
      </c>
      <c r="U135" s="25"/>
      <c r="V135"/>
      <c r="W135"/>
    </row>
    <row r="136" spans="1:23" ht="19.95" customHeight="1">
      <c r="A136" s="369"/>
      <c r="B136" s="145">
        <v>126</v>
      </c>
      <c r="C136" s="126" t="str">
        <v/>
      </c>
      <c r="D136" s="126" t="str">
        <v/>
      </c>
      <c r="E136" s="126" t="str">
        <v>GIRLS</v>
      </c>
      <c r="F136" s="126" t="str">
        <v>U12</v>
      </c>
      <c r="G136" s="125" t="str">
        <v/>
      </c>
      <c r="H136" s="126">
        <v>0</v>
      </c>
      <c r="I136" s="126" t="str">
        <v/>
      </c>
      <c r="J136" s="127">
        <v>0</v>
      </c>
      <c r="K136" s="126">
        <v>0</v>
      </c>
      <c r="L136" s="126" t="str">
        <v/>
      </c>
      <c r="M136" s="128" t="str">
        <v/>
      </c>
      <c r="N136" s="126">
        <v>0</v>
      </c>
      <c r="O136" s="126">
        <v>0</v>
      </c>
      <c r="P136" s="128" t="str">
        <v/>
      </c>
      <c r="Q136" s="126">
        <v>0</v>
      </c>
      <c r="R136" s="126">
        <v>0</v>
      </c>
      <c r="S136" s="126" t="str">
        <v/>
      </c>
      <c r="T136" s="139" t="str">
        <v/>
      </c>
      <c r="U136" s="25"/>
      <c r="V136"/>
      <c r="W136"/>
    </row>
    <row r="137" spans="1:23" ht="19.95" customHeight="1">
      <c r="A137" s="369"/>
      <c r="B137" s="145">
        <v>127</v>
      </c>
      <c r="C137" s="126" t="str">
        <v/>
      </c>
      <c r="D137" s="126" t="str">
        <v/>
      </c>
      <c r="E137" s="126" t="str">
        <v>GIRLS</v>
      </c>
      <c r="F137" s="126" t="str">
        <v>U12</v>
      </c>
      <c r="G137" s="125" t="str">
        <v/>
      </c>
      <c r="H137" s="126">
        <v>0</v>
      </c>
      <c r="I137" s="126" t="str">
        <v/>
      </c>
      <c r="J137" s="127">
        <v>0</v>
      </c>
      <c r="K137" s="126">
        <v>0</v>
      </c>
      <c r="L137" s="126" t="str">
        <v/>
      </c>
      <c r="M137" s="128" t="str">
        <v/>
      </c>
      <c r="N137" s="126">
        <v>0</v>
      </c>
      <c r="O137" s="126">
        <v>0</v>
      </c>
      <c r="P137" s="128" t="str">
        <v/>
      </c>
      <c r="Q137" s="126">
        <v>0</v>
      </c>
      <c r="R137" s="126">
        <v>0</v>
      </c>
      <c r="S137" s="126" t="str">
        <v/>
      </c>
      <c r="T137" s="139" t="str">
        <v/>
      </c>
      <c r="U137" s="25"/>
      <c r="V137"/>
      <c r="W137"/>
    </row>
    <row r="138" spans="1:23" ht="19.95" customHeight="1">
      <c r="A138" s="369"/>
      <c r="B138" s="145">
        <v>128</v>
      </c>
      <c r="C138" s="126" t="str">
        <v/>
      </c>
      <c r="D138" s="126" t="str">
        <v/>
      </c>
      <c r="E138" s="126" t="str">
        <v>GIRLS</v>
      </c>
      <c r="F138" s="126" t="str">
        <v>U12</v>
      </c>
      <c r="G138" s="125" t="str">
        <v/>
      </c>
      <c r="H138" s="126">
        <v>0</v>
      </c>
      <c r="I138" s="126" t="str">
        <v/>
      </c>
      <c r="J138" s="127">
        <v>0</v>
      </c>
      <c r="K138" s="126">
        <v>0</v>
      </c>
      <c r="L138" s="126" t="str">
        <v/>
      </c>
      <c r="M138" s="128" t="str">
        <v/>
      </c>
      <c r="N138" s="126">
        <v>0</v>
      </c>
      <c r="O138" s="126">
        <v>0</v>
      </c>
      <c r="P138" s="128" t="str">
        <v/>
      </c>
      <c r="Q138" s="126">
        <v>0</v>
      </c>
      <c r="R138" s="126">
        <v>0</v>
      </c>
      <c r="S138" s="126" t="str">
        <v/>
      </c>
      <c r="T138" s="139" t="str">
        <v/>
      </c>
      <c r="U138" s="25"/>
      <c r="V138"/>
      <c r="W138"/>
    </row>
    <row r="139" spans="1:23" ht="19.95" customHeight="1">
      <c r="A139" s="369"/>
      <c r="B139" s="145">
        <v>129</v>
      </c>
      <c r="C139" s="126" t="str">
        <v/>
      </c>
      <c r="D139" s="126" t="str">
        <v/>
      </c>
      <c r="E139" s="126" t="str">
        <v>GIRLS</v>
      </c>
      <c r="F139" s="126" t="str">
        <v>U12</v>
      </c>
      <c r="G139" s="125" t="str">
        <v/>
      </c>
      <c r="H139" s="126">
        <v>0</v>
      </c>
      <c r="I139" s="126" t="str">
        <v/>
      </c>
      <c r="J139" s="127">
        <v>0</v>
      </c>
      <c r="K139" s="126">
        <v>0</v>
      </c>
      <c r="L139" s="126" t="str">
        <v/>
      </c>
      <c r="M139" s="128" t="str">
        <v/>
      </c>
      <c r="N139" s="126">
        <v>0</v>
      </c>
      <c r="O139" s="126">
        <v>0</v>
      </c>
      <c r="P139" s="128" t="str">
        <v/>
      </c>
      <c r="Q139" s="126">
        <v>0</v>
      </c>
      <c r="R139" s="126">
        <v>0</v>
      </c>
      <c r="S139" s="126" t="str">
        <v/>
      </c>
      <c r="T139" s="139" t="str">
        <v/>
      </c>
      <c r="U139" s="25"/>
      <c r="V139"/>
      <c r="W139"/>
    </row>
    <row r="140" spans="1:23" ht="19.95" customHeight="1">
      <c r="A140" s="369"/>
      <c r="B140" s="145">
        <v>130</v>
      </c>
      <c r="C140" s="126" t="str">
        <v/>
      </c>
      <c r="D140" s="126" t="str">
        <v/>
      </c>
      <c r="E140" s="126" t="str">
        <v>GIRLS</v>
      </c>
      <c r="F140" s="126" t="str">
        <v>U12</v>
      </c>
      <c r="G140" s="125" t="str">
        <v/>
      </c>
      <c r="H140" s="126">
        <v>0</v>
      </c>
      <c r="I140" s="126" t="str">
        <v/>
      </c>
      <c r="J140" s="127">
        <v>0</v>
      </c>
      <c r="K140" s="126">
        <v>0</v>
      </c>
      <c r="L140" s="126" t="str">
        <v/>
      </c>
      <c r="M140" s="128" t="str">
        <v/>
      </c>
      <c r="N140" s="126">
        <v>0</v>
      </c>
      <c r="O140" s="126">
        <v>0</v>
      </c>
      <c r="P140" s="128" t="str">
        <v/>
      </c>
      <c r="Q140" s="126">
        <v>0</v>
      </c>
      <c r="R140" s="126">
        <v>0</v>
      </c>
      <c r="S140" s="126" t="str">
        <v/>
      </c>
      <c r="T140" s="139" t="str">
        <v/>
      </c>
      <c r="U140" s="25"/>
      <c r="V140"/>
      <c r="W140"/>
    </row>
    <row r="141" spans="1:23" ht="19.95" customHeight="1">
      <c r="A141" s="369"/>
      <c r="B141" s="145"/>
      <c r="C141" s="126"/>
      <c r="D141" s="126"/>
      <c r="E141" s="126"/>
      <c r="F141" s="126"/>
      <c r="G141" s="125"/>
      <c r="H141" s="126"/>
      <c r="I141" s="126"/>
      <c r="J141" s="127"/>
      <c r="K141" s="126"/>
      <c r="L141" s="126"/>
      <c r="M141" s="128"/>
      <c r="N141" s="126"/>
      <c r="O141" s="126"/>
      <c r="P141" s="128"/>
      <c r="Q141" s="126"/>
      <c r="R141" s="126"/>
      <c r="S141" s="126"/>
      <c r="T141" s="139"/>
      <c r="U141" s="25"/>
      <c r="V141"/>
      <c r="W141"/>
    </row>
    <row r="142" spans="1:23" ht="19.95" customHeight="1">
      <c r="A142" s="369"/>
      <c r="B142" s="145"/>
      <c r="C142" s="126"/>
      <c r="D142" s="126"/>
      <c r="E142" s="126"/>
      <c r="F142" s="126"/>
      <c r="G142" s="125"/>
      <c r="H142" s="126"/>
      <c r="I142" s="126"/>
      <c r="J142" s="127"/>
      <c r="K142" s="126"/>
      <c r="L142" s="126"/>
      <c r="M142" s="128"/>
      <c r="N142" s="126"/>
      <c r="O142" s="126"/>
      <c r="P142" s="128"/>
      <c r="Q142" s="126"/>
      <c r="R142" s="126"/>
      <c r="S142" s="126"/>
      <c r="T142" s="139"/>
      <c r="U142" s="25"/>
      <c r="V142"/>
      <c r="W142"/>
    </row>
    <row r="143" spans="1:23" ht="19.95" customHeight="1">
      <c r="A143" s="369"/>
      <c r="B143" s="145"/>
      <c r="C143" s="126"/>
      <c r="D143" s="126"/>
      <c r="E143" s="126"/>
      <c r="F143" s="126"/>
      <c r="G143" s="125"/>
      <c r="H143" s="126"/>
      <c r="I143" s="126"/>
      <c r="J143" s="127"/>
      <c r="K143" s="126"/>
      <c r="L143" s="126"/>
      <c r="M143" s="128"/>
      <c r="N143" s="126"/>
      <c r="O143" s="126"/>
      <c r="P143" s="128"/>
      <c r="Q143" s="126"/>
      <c r="R143" s="126"/>
      <c r="S143" s="126"/>
      <c r="T143" s="139"/>
      <c r="U143" s="25"/>
      <c r="V143"/>
      <c r="W143"/>
    </row>
    <row r="144" spans="1:23" ht="19.95" customHeight="1">
      <c r="A144" s="369"/>
      <c r="B144" s="145"/>
      <c r="C144" s="126"/>
      <c r="D144" s="126"/>
      <c r="E144" s="126"/>
      <c r="F144" s="126"/>
      <c r="G144" s="125"/>
      <c r="H144" s="126"/>
      <c r="I144" s="126"/>
      <c r="J144" s="127"/>
      <c r="K144" s="126"/>
      <c r="L144" s="126"/>
      <c r="M144" s="128"/>
      <c r="N144" s="126"/>
      <c r="O144" s="126"/>
      <c r="P144" s="128"/>
      <c r="Q144" s="126"/>
      <c r="R144" s="126"/>
      <c r="S144" s="126"/>
      <c r="T144" s="139"/>
      <c r="U144" s="25"/>
      <c r="V144"/>
      <c r="W144"/>
    </row>
    <row r="145" spans="1:23" ht="19.95" customHeight="1">
      <c r="A145" s="369"/>
      <c r="B145" s="145"/>
      <c r="C145" s="126"/>
      <c r="D145" s="126"/>
      <c r="E145" s="126"/>
      <c r="F145" s="126"/>
      <c r="G145" s="125"/>
      <c r="H145" s="126"/>
      <c r="I145" s="126"/>
      <c r="J145" s="127"/>
      <c r="K145" s="126"/>
      <c r="L145" s="126"/>
      <c r="M145" s="128"/>
      <c r="N145" s="126"/>
      <c r="O145" s="126"/>
      <c r="P145" s="128"/>
      <c r="Q145" s="126"/>
      <c r="R145" s="126"/>
      <c r="S145" s="126"/>
      <c r="T145" s="139"/>
      <c r="U145" s="25"/>
      <c r="V145"/>
      <c r="W145"/>
    </row>
    <row r="146" spans="1:23" ht="19.95" customHeight="1">
      <c r="A146" s="369"/>
      <c r="B146" s="145"/>
      <c r="C146" s="126"/>
      <c r="D146" s="126"/>
      <c r="E146" s="126"/>
      <c r="F146" s="126"/>
      <c r="G146" s="125"/>
      <c r="H146" s="126"/>
      <c r="I146" s="126"/>
      <c r="J146" s="127"/>
      <c r="K146" s="126"/>
      <c r="L146" s="126"/>
      <c r="M146" s="128"/>
      <c r="N146" s="126"/>
      <c r="O146" s="126"/>
      <c r="P146" s="128"/>
      <c r="Q146" s="126"/>
      <c r="R146" s="126"/>
      <c r="S146" s="126"/>
      <c r="T146" s="139"/>
      <c r="U146" s="25"/>
      <c r="V146"/>
      <c r="W146"/>
    </row>
    <row r="147" spans="1:23" ht="19.95" customHeight="1">
      <c r="A147" s="369"/>
      <c r="B147" s="145"/>
      <c r="C147" s="126"/>
      <c r="D147" s="126"/>
      <c r="E147" s="126"/>
      <c r="F147" s="126"/>
      <c r="G147" s="125"/>
      <c r="H147" s="126"/>
      <c r="I147" s="126"/>
      <c r="J147" s="127"/>
      <c r="K147" s="126"/>
      <c r="L147" s="126"/>
      <c r="M147" s="128"/>
      <c r="N147" s="126"/>
      <c r="O147" s="126"/>
      <c r="P147" s="128"/>
      <c r="Q147" s="126"/>
      <c r="R147" s="126"/>
      <c r="S147" s="126"/>
      <c r="T147" s="139"/>
      <c r="U147" s="25"/>
      <c r="V147"/>
      <c r="W147"/>
    </row>
    <row r="148" spans="1:23" ht="19.95" customHeight="1">
      <c r="A148" s="369"/>
      <c r="B148" s="145"/>
      <c r="C148" s="126"/>
      <c r="D148" s="126"/>
      <c r="E148" s="126"/>
      <c r="F148" s="126"/>
      <c r="G148" s="125"/>
      <c r="H148" s="126"/>
      <c r="I148" s="126"/>
      <c r="J148" s="127"/>
      <c r="K148" s="126"/>
      <c r="L148" s="126"/>
      <c r="M148" s="128"/>
      <c r="N148" s="126"/>
      <c r="O148" s="126"/>
      <c r="P148" s="128"/>
      <c r="Q148" s="126"/>
      <c r="R148" s="126"/>
      <c r="S148" s="126"/>
      <c r="T148" s="139"/>
      <c r="U148" s="25"/>
      <c r="V148"/>
      <c r="W148"/>
    </row>
    <row r="149" spans="1:23" ht="19.95" customHeight="1">
      <c r="A149" s="369"/>
      <c r="B149" s="145"/>
      <c r="C149" s="126"/>
      <c r="D149" s="126"/>
      <c r="E149" s="126"/>
      <c r="F149" s="126"/>
      <c r="G149" s="125"/>
      <c r="H149" s="126"/>
      <c r="I149" s="126"/>
      <c r="J149" s="127"/>
      <c r="K149" s="126"/>
      <c r="L149" s="126"/>
      <c r="M149" s="128"/>
      <c r="N149" s="126"/>
      <c r="O149" s="126"/>
      <c r="P149" s="128"/>
      <c r="Q149" s="126"/>
      <c r="R149" s="126"/>
      <c r="S149" s="126"/>
      <c r="T149" s="139"/>
      <c r="U149" s="25"/>
      <c r="V149"/>
      <c r="W149"/>
    </row>
    <row r="150" spans="1:23" ht="19.95" customHeight="1" thickBot="1">
      <c r="A150" s="370"/>
      <c r="B150" s="146"/>
      <c r="C150" s="140"/>
      <c r="D150" s="140"/>
      <c r="E150" s="140"/>
      <c r="F150" s="140"/>
      <c r="G150" s="141"/>
      <c r="H150" s="140"/>
      <c r="I150" s="140"/>
      <c r="J150" s="142"/>
      <c r="K150" s="140"/>
      <c r="L150" s="140"/>
      <c r="M150" s="143"/>
      <c r="N150" s="140"/>
      <c r="O150" s="140"/>
      <c r="P150" s="143"/>
      <c r="Q150" s="140"/>
      <c r="R150" s="140"/>
      <c r="S150" s="140"/>
      <c r="T150" s="144"/>
      <c r="U150" s="25"/>
      <c r="V150"/>
      <c r="W150"/>
    </row>
    <row r="151" spans="1:23" ht="19.95" hidden="1" customHeight="1">
      <c r="A151" s="368" t="str">
        <f>'Read Me First'!C18</f>
        <v/>
      </c>
      <c r="B151" s="133" cm="1">
        <f t="array" ref="B151:T160">_xlfn.LET(_xlpm.x, _xlfn._xlws.SORT(_xlfn._xlws.FILTER(Data!$A$33:$S$212,(Data!$C$33:$C$212=$A151)*(Data!$D$33:$D$212=$E$4)*(Data!$E$33:$E$212="U10")),18),_xlpm.y,_xlfn._xlws.SORT(_xlfn._xlws.FILTER(Data!$A$33:$S$212,(Data!$C$33:$C$212=$A151)*(Data!$D$33:$D$212=$E$4)*(Data!$E$33:$E$212="U12")),19), IFERROR(_xlfn.VSTACK(_xlpm.x,_xlpm.y), IFERROR(_xlpm.y,IFERROR(_xlpm.x, ""))))</f>
        <v>121</v>
      </c>
      <c r="C151" s="134" t="str">
        <v/>
      </c>
      <c r="D151" s="134" t="str">
        <v/>
      </c>
      <c r="E151" s="134" t="str">
        <v>GIRLS</v>
      </c>
      <c r="F151" s="134" t="str">
        <v>U12</v>
      </c>
      <c r="G151" s="135" t="str">
        <v/>
      </c>
      <c r="H151" s="134">
        <v>0</v>
      </c>
      <c r="I151" s="134" t="str">
        <v/>
      </c>
      <c r="J151" s="136">
        <v>0</v>
      </c>
      <c r="K151" s="134">
        <v>0</v>
      </c>
      <c r="L151" s="134" t="str">
        <v/>
      </c>
      <c r="M151" s="137" t="str">
        <v/>
      </c>
      <c r="N151" s="134">
        <v>0</v>
      </c>
      <c r="O151" s="134">
        <v>0</v>
      </c>
      <c r="P151" s="137" t="str">
        <v/>
      </c>
      <c r="Q151" s="134">
        <v>0</v>
      </c>
      <c r="R151" s="134">
        <v>0</v>
      </c>
      <c r="S151" s="134" t="str">
        <v/>
      </c>
      <c r="T151" s="138" t="str">
        <v/>
      </c>
      <c r="U151" s="25"/>
      <c r="V151"/>
      <c r="W151"/>
    </row>
    <row r="152" spans="1:23" ht="19.95" hidden="1" customHeight="1">
      <c r="A152" s="369"/>
      <c r="B152" s="145">
        <v>122</v>
      </c>
      <c r="C152" s="126" t="str">
        <v/>
      </c>
      <c r="D152" s="126" t="str">
        <v/>
      </c>
      <c r="E152" s="126" t="str">
        <v>GIRLS</v>
      </c>
      <c r="F152" s="126" t="str">
        <v>U12</v>
      </c>
      <c r="G152" s="125" t="str">
        <v/>
      </c>
      <c r="H152" s="126">
        <v>0</v>
      </c>
      <c r="I152" s="126" t="str">
        <v/>
      </c>
      <c r="J152" s="127">
        <v>0</v>
      </c>
      <c r="K152" s="126">
        <v>0</v>
      </c>
      <c r="L152" s="126" t="str">
        <v/>
      </c>
      <c r="M152" s="128" t="str">
        <v/>
      </c>
      <c r="N152" s="126">
        <v>0</v>
      </c>
      <c r="O152" s="126">
        <v>0</v>
      </c>
      <c r="P152" s="128" t="str">
        <v/>
      </c>
      <c r="Q152" s="126">
        <v>0</v>
      </c>
      <c r="R152" s="126">
        <v>0</v>
      </c>
      <c r="S152" s="126" t="str">
        <v/>
      </c>
      <c r="T152" s="139" t="str">
        <v/>
      </c>
      <c r="U152" s="25"/>
      <c r="V152"/>
      <c r="W152"/>
    </row>
    <row r="153" spans="1:23" s="9" customFormat="1" ht="19.95" hidden="1" customHeight="1">
      <c r="A153" s="369"/>
      <c r="B153" s="145">
        <v>123</v>
      </c>
      <c r="C153" s="126" t="str">
        <v/>
      </c>
      <c r="D153" s="126" t="str">
        <v/>
      </c>
      <c r="E153" s="126" t="str">
        <v>GIRLS</v>
      </c>
      <c r="F153" s="126" t="str">
        <v>U12</v>
      </c>
      <c r="G153" s="125" t="str">
        <v/>
      </c>
      <c r="H153" s="126">
        <v>0</v>
      </c>
      <c r="I153" s="126" t="str">
        <v/>
      </c>
      <c r="J153" s="127">
        <v>0</v>
      </c>
      <c r="K153" s="126">
        <v>0</v>
      </c>
      <c r="L153" s="126" t="str">
        <v/>
      </c>
      <c r="M153" s="128" t="str">
        <v/>
      </c>
      <c r="N153" s="126">
        <v>0</v>
      </c>
      <c r="O153" s="126">
        <v>0</v>
      </c>
      <c r="P153" s="128" t="str">
        <v/>
      </c>
      <c r="Q153" s="126">
        <v>0</v>
      </c>
      <c r="R153" s="126">
        <v>0</v>
      </c>
      <c r="S153" s="126" t="str">
        <v/>
      </c>
      <c r="T153" s="139" t="str">
        <v/>
      </c>
      <c r="U153" s="54"/>
    </row>
    <row r="154" spans="1:23" s="9" customFormat="1" ht="19.95" hidden="1" customHeight="1">
      <c r="A154" s="369"/>
      <c r="B154" s="145">
        <v>124</v>
      </c>
      <c r="C154" s="126" t="str">
        <v/>
      </c>
      <c r="D154" s="126" t="str">
        <v/>
      </c>
      <c r="E154" s="126" t="str">
        <v>GIRLS</v>
      </c>
      <c r="F154" s="126" t="str">
        <v>U12</v>
      </c>
      <c r="G154" s="125" t="str">
        <v/>
      </c>
      <c r="H154" s="126">
        <v>0</v>
      </c>
      <c r="I154" s="126" t="str">
        <v/>
      </c>
      <c r="J154" s="127">
        <v>0</v>
      </c>
      <c r="K154" s="126">
        <v>0</v>
      </c>
      <c r="L154" s="126" t="str">
        <v/>
      </c>
      <c r="M154" s="128" t="str">
        <v/>
      </c>
      <c r="N154" s="126">
        <v>0</v>
      </c>
      <c r="O154" s="126">
        <v>0</v>
      </c>
      <c r="P154" s="128" t="str">
        <v/>
      </c>
      <c r="Q154" s="126">
        <v>0</v>
      </c>
      <c r="R154" s="126">
        <v>0</v>
      </c>
      <c r="S154" s="126" t="str">
        <v/>
      </c>
      <c r="T154" s="139" t="str">
        <v/>
      </c>
      <c r="U154" s="54"/>
    </row>
    <row r="155" spans="1:23" s="9" customFormat="1" ht="19.95" hidden="1" customHeight="1">
      <c r="A155" s="369"/>
      <c r="B155" s="145">
        <v>125</v>
      </c>
      <c r="C155" s="126" t="str">
        <v/>
      </c>
      <c r="D155" s="126" t="str">
        <v/>
      </c>
      <c r="E155" s="126" t="str">
        <v>GIRLS</v>
      </c>
      <c r="F155" s="126" t="str">
        <v>U12</v>
      </c>
      <c r="G155" s="125" t="str">
        <v/>
      </c>
      <c r="H155" s="126">
        <v>0</v>
      </c>
      <c r="I155" s="126" t="str">
        <v/>
      </c>
      <c r="J155" s="127">
        <v>0</v>
      </c>
      <c r="K155" s="126">
        <v>0</v>
      </c>
      <c r="L155" s="126" t="str">
        <v/>
      </c>
      <c r="M155" s="128" t="str">
        <v/>
      </c>
      <c r="N155" s="126">
        <v>0</v>
      </c>
      <c r="O155" s="126">
        <v>0</v>
      </c>
      <c r="P155" s="128" t="str">
        <v/>
      </c>
      <c r="Q155" s="126">
        <v>0</v>
      </c>
      <c r="R155" s="126">
        <v>0</v>
      </c>
      <c r="S155" s="126" t="str">
        <v/>
      </c>
      <c r="T155" s="139" t="str">
        <v/>
      </c>
      <c r="U155" s="54"/>
    </row>
    <row r="156" spans="1:23" s="9" customFormat="1" ht="19.95" hidden="1" customHeight="1">
      <c r="A156" s="369"/>
      <c r="B156" s="145">
        <v>126</v>
      </c>
      <c r="C156" s="126" t="str">
        <v/>
      </c>
      <c r="D156" s="126" t="str">
        <v/>
      </c>
      <c r="E156" s="126" t="str">
        <v>GIRLS</v>
      </c>
      <c r="F156" s="126" t="str">
        <v>U12</v>
      </c>
      <c r="G156" s="125" t="str">
        <v/>
      </c>
      <c r="H156" s="126">
        <v>0</v>
      </c>
      <c r="I156" s="126" t="str">
        <v/>
      </c>
      <c r="J156" s="127">
        <v>0</v>
      </c>
      <c r="K156" s="126">
        <v>0</v>
      </c>
      <c r="L156" s="126" t="str">
        <v/>
      </c>
      <c r="M156" s="128" t="str">
        <v/>
      </c>
      <c r="N156" s="126">
        <v>0</v>
      </c>
      <c r="O156" s="126">
        <v>0</v>
      </c>
      <c r="P156" s="128" t="str">
        <v/>
      </c>
      <c r="Q156" s="126">
        <v>0</v>
      </c>
      <c r="R156" s="126">
        <v>0</v>
      </c>
      <c r="S156" s="126" t="str">
        <v/>
      </c>
      <c r="T156" s="139" t="str">
        <v/>
      </c>
      <c r="U156" s="54"/>
    </row>
    <row r="157" spans="1:23" s="9" customFormat="1" ht="19.95" hidden="1" customHeight="1">
      <c r="A157" s="369"/>
      <c r="B157" s="145">
        <v>127</v>
      </c>
      <c r="C157" s="126" t="str">
        <v/>
      </c>
      <c r="D157" s="126" t="str">
        <v/>
      </c>
      <c r="E157" s="126" t="str">
        <v>GIRLS</v>
      </c>
      <c r="F157" s="126" t="str">
        <v>U12</v>
      </c>
      <c r="G157" s="125" t="str">
        <v/>
      </c>
      <c r="H157" s="126">
        <v>0</v>
      </c>
      <c r="I157" s="126" t="str">
        <v/>
      </c>
      <c r="J157" s="127">
        <v>0</v>
      </c>
      <c r="K157" s="126">
        <v>0</v>
      </c>
      <c r="L157" s="126" t="str">
        <v/>
      </c>
      <c r="M157" s="128" t="str">
        <v/>
      </c>
      <c r="N157" s="126">
        <v>0</v>
      </c>
      <c r="O157" s="126">
        <v>0</v>
      </c>
      <c r="P157" s="128" t="str">
        <v/>
      </c>
      <c r="Q157" s="126">
        <v>0</v>
      </c>
      <c r="R157" s="126">
        <v>0</v>
      </c>
      <c r="S157" s="126" t="str">
        <v/>
      </c>
      <c r="T157" s="139" t="str">
        <v/>
      </c>
      <c r="U157" s="54"/>
    </row>
    <row r="158" spans="1:23" s="9" customFormat="1" ht="19.95" hidden="1" customHeight="1">
      <c r="A158" s="369"/>
      <c r="B158" s="145">
        <v>128</v>
      </c>
      <c r="C158" s="126" t="str">
        <v/>
      </c>
      <c r="D158" s="126" t="str">
        <v/>
      </c>
      <c r="E158" s="126" t="str">
        <v>GIRLS</v>
      </c>
      <c r="F158" s="126" t="str">
        <v>U12</v>
      </c>
      <c r="G158" s="125" t="str">
        <v/>
      </c>
      <c r="H158" s="126">
        <v>0</v>
      </c>
      <c r="I158" s="126" t="str">
        <v/>
      </c>
      <c r="J158" s="127">
        <v>0</v>
      </c>
      <c r="K158" s="126">
        <v>0</v>
      </c>
      <c r="L158" s="126" t="str">
        <v/>
      </c>
      <c r="M158" s="128" t="str">
        <v/>
      </c>
      <c r="N158" s="126">
        <v>0</v>
      </c>
      <c r="O158" s="126">
        <v>0</v>
      </c>
      <c r="P158" s="128" t="str">
        <v/>
      </c>
      <c r="Q158" s="126">
        <v>0</v>
      </c>
      <c r="R158" s="126">
        <v>0</v>
      </c>
      <c r="S158" s="126" t="str">
        <v/>
      </c>
      <c r="T158" s="139" t="str">
        <v/>
      </c>
      <c r="U158" s="25"/>
    </row>
    <row r="159" spans="1:23" s="4" customFormat="1" ht="19.95" hidden="1" customHeight="1">
      <c r="A159" s="369"/>
      <c r="B159" s="145">
        <v>129</v>
      </c>
      <c r="C159" s="126" t="str">
        <v/>
      </c>
      <c r="D159" s="126" t="str">
        <v/>
      </c>
      <c r="E159" s="126" t="str">
        <v>GIRLS</v>
      </c>
      <c r="F159" s="126" t="str">
        <v>U12</v>
      </c>
      <c r="G159" s="125" t="str">
        <v/>
      </c>
      <c r="H159" s="126">
        <v>0</v>
      </c>
      <c r="I159" s="126" t="str">
        <v/>
      </c>
      <c r="J159" s="127">
        <v>0</v>
      </c>
      <c r="K159" s="126">
        <v>0</v>
      </c>
      <c r="L159" s="126" t="str">
        <v/>
      </c>
      <c r="M159" s="128" t="str">
        <v/>
      </c>
      <c r="N159" s="126">
        <v>0</v>
      </c>
      <c r="O159" s="126">
        <v>0</v>
      </c>
      <c r="P159" s="128" t="str">
        <v/>
      </c>
      <c r="Q159" s="126">
        <v>0</v>
      </c>
      <c r="R159" s="126">
        <v>0</v>
      </c>
      <c r="S159" s="126" t="str">
        <v/>
      </c>
      <c r="T159" s="139" t="str">
        <v/>
      </c>
      <c r="U159" s="25"/>
    </row>
    <row r="160" spans="1:23" s="4" customFormat="1" ht="19.95" hidden="1" customHeight="1">
      <c r="A160" s="369"/>
      <c r="B160" s="145">
        <v>130</v>
      </c>
      <c r="C160" s="126" t="str">
        <v/>
      </c>
      <c r="D160" s="126" t="str">
        <v/>
      </c>
      <c r="E160" s="126" t="str">
        <v>GIRLS</v>
      </c>
      <c r="F160" s="126" t="str">
        <v>U12</v>
      </c>
      <c r="G160" s="125" t="str">
        <v/>
      </c>
      <c r="H160" s="126">
        <v>0</v>
      </c>
      <c r="I160" s="126" t="str">
        <v/>
      </c>
      <c r="J160" s="127">
        <v>0</v>
      </c>
      <c r="K160" s="126">
        <v>0</v>
      </c>
      <c r="L160" s="126" t="str">
        <v/>
      </c>
      <c r="M160" s="128" t="str">
        <v/>
      </c>
      <c r="N160" s="126">
        <v>0</v>
      </c>
      <c r="O160" s="126">
        <v>0</v>
      </c>
      <c r="P160" s="128" t="str">
        <v/>
      </c>
      <c r="Q160" s="126">
        <v>0</v>
      </c>
      <c r="R160" s="126">
        <v>0</v>
      </c>
      <c r="S160" s="126" t="str">
        <v/>
      </c>
      <c r="T160" s="139" t="str">
        <v/>
      </c>
      <c r="U160" s="25"/>
    </row>
    <row r="161" spans="1:23" s="4" customFormat="1" ht="19.95" hidden="1" customHeight="1">
      <c r="A161" s="369"/>
      <c r="B161" s="145"/>
      <c r="C161" s="126"/>
      <c r="D161" s="126"/>
      <c r="E161" s="126"/>
      <c r="F161" s="126"/>
      <c r="G161" s="125"/>
      <c r="H161" s="126"/>
      <c r="I161" s="126"/>
      <c r="J161" s="127"/>
      <c r="K161" s="126"/>
      <c r="L161" s="126"/>
      <c r="M161" s="128"/>
      <c r="N161" s="126"/>
      <c r="O161" s="126"/>
      <c r="P161" s="128"/>
      <c r="Q161" s="126"/>
      <c r="R161" s="126"/>
      <c r="S161" s="126"/>
      <c r="T161" s="139"/>
      <c r="U161" s="25"/>
    </row>
    <row r="162" spans="1:23" s="4" customFormat="1" ht="19.95" hidden="1" customHeight="1">
      <c r="A162" s="369"/>
      <c r="B162" s="145"/>
      <c r="C162" s="126"/>
      <c r="D162" s="126"/>
      <c r="E162" s="126"/>
      <c r="F162" s="126"/>
      <c r="G162" s="125"/>
      <c r="H162" s="126"/>
      <c r="I162" s="126"/>
      <c r="J162" s="127"/>
      <c r="K162" s="126"/>
      <c r="L162" s="126"/>
      <c r="M162" s="128"/>
      <c r="N162" s="126"/>
      <c r="O162" s="126"/>
      <c r="P162" s="128"/>
      <c r="Q162" s="126"/>
      <c r="R162" s="126"/>
      <c r="S162" s="126"/>
      <c r="T162" s="139"/>
      <c r="U162" s="25"/>
    </row>
    <row r="163" spans="1:23" ht="19.95" hidden="1" customHeight="1">
      <c r="A163" s="369"/>
      <c r="B163" s="145"/>
      <c r="C163" s="126"/>
      <c r="D163" s="126"/>
      <c r="E163" s="126"/>
      <c r="F163" s="126"/>
      <c r="G163" s="125"/>
      <c r="H163" s="126"/>
      <c r="I163" s="126"/>
      <c r="J163" s="127"/>
      <c r="K163" s="126"/>
      <c r="L163" s="126"/>
      <c r="M163" s="128"/>
      <c r="N163" s="126"/>
      <c r="O163" s="126"/>
      <c r="P163" s="128"/>
      <c r="Q163" s="126"/>
      <c r="R163" s="126"/>
      <c r="S163" s="126"/>
      <c r="T163" s="139"/>
      <c r="U163" s="25"/>
      <c r="V163"/>
      <c r="W163"/>
    </row>
    <row r="164" spans="1:23" ht="19.95" hidden="1" customHeight="1">
      <c r="A164" s="369"/>
      <c r="B164" s="145"/>
      <c r="C164" s="126"/>
      <c r="D164" s="126"/>
      <c r="E164" s="126"/>
      <c r="F164" s="126"/>
      <c r="G164" s="125"/>
      <c r="H164" s="126"/>
      <c r="I164" s="126"/>
      <c r="J164" s="127"/>
      <c r="K164" s="126"/>
      <c r="L164" s="126"/>
      <c r="M164" s="128"/>
      <c r="N164" s="126"/>
      <c r="O164" s="126"/>
      <c r="P164" s="128"/>
      <c r="Q164" s="126"/>
      <c r="R164" s="126"/>
      <c r="S164" s="126"/>
      <c r="T164" s="139"/>
      <c r="U164" s="25"/>
      <c r="V164"/>
      <c r="W164"/>
    </row>
    <row r="165" spans="1:23" ht="19.95" hidden="1" customHeight="1">
      <c r="A165" s="369"/>
      <c r="B165" s="145"/>
      <c r="C165" s="126"/>
      <c r="D165" s="126"/>
      <c r="E165" s="126"/>
      <c r="F165" s="126"/>
      <c r="G165" s="125"/>
      <c r="H165" s="126"/>
      <c r="I165" s="126"/>
      <c r="J165" s="127"/>
      <c r="K165" s="126"/>
      <c r="L165" s="126"/>
      <c r="M165" s="128"/>
      <c r="N165" s="126"/>
      <c r="O165" s="126"/>
      <c r="P165" s="128"/>
      <c r="Q165" s="126"/>
      <c r="R165" s="126"/>
      <c r="S165" s="126"/>
      <c r="T165" s="139"/>
      <c r="U165" s="25"/>
      <c r="V165"/>
      <c r="W165"/>
    </row>
    <row r="166" spans="1:23" ht="19.95" hidden="1" customHeight="1">
      <c r="A166" s="369"/>
      <c r="B166" s="145"/>
      <c r="C166" s="126"/>
      <c r="D166" s="126"/>
      <c r="E166" s="126"/>
      <c r="F166" s="126"/>
      <c r="G166" s="125"/>
      <c r="H166" s="126"/>
      <c r="I166" s="126"/>
      <c r="J166" s="127"/>
      <c r="K166" s="126"/>
      <c r="L166" s="126"/>
      <c r="M166" s="128"/>
      <c r="N166" s="126"/>
      <c r="O166" s="126"/>
      <c r="P166" s="128"/>
      <c r="Q166" s="126"/>
      <c r="R166" s="126"/>
      <c r="S166" s="126"/>
      <c r="T166" s="139"/>
      <c r="U166" s="25"/>
      <c r="V166"/>
      <c r="W166"/>
    </row>
    <row r="167" spans="1:23" ht="6" hidden="1" customHeight="1">
      <c r="A167" s="369"/>
      <c r="B167" s="145"/>
      <c r="C167" s="126"/>
      <c r="D167" s="126"/>
      <c r="E167" s="126"/>
      <c r="F167" s="126"/>
      <c r="G167" s="125"/>
      <c r="H167" s="126"/>
      <c r="I167" s="126"/>
      <c r="J167" s="127"/>
      <c r="K167" s="126"/>
      <c r="L167" s="126"/>
      <c r="M167" s="128"/>
      <c r="N167" s="126"/>
      <c r="O167" s="126"/>
      <c r="P167" s="128"/>
      <c r="Q167" s="126"/>
      <c r="R167" s="126"/>
      <c r="S167" s="126"/>
      <c r="T167" s="139"/>
      <c r="U167" s="25"/>
      <c r="V167"/>
      <c r="W167"/>
    </row>
    <row r="168" spans="1:23" ht="19.95" hidden="1" customHeight="1">
      <c r="A168" s="369"/>
      <c r="B168" s="145"/>
      <c r="C168" s="126"/>
      <c r="D168" s="126"/>
      <c r="E168" s="126"/>
      <c r="F168" s="126"/>
      <c r="G168" s="125"/>
      <c r="H168" s="126"/>
      <c r="I168" s="126"/>
      <c r="J168" s="127"/>
      <c r="K168" s="126"/>
      <c r="L168" s="126"/>
      <c r="M168" s="128"/>
      <c r="N168" s="126"/>
      <c r="O168" s="126"/>
      <c r="P168" s="128"/>
      <c r="Q168" s="126"/>
      <c r="R168" s="126"/>
      <c r="S168" s="126"/>
      <c r="T168" s="139"/>
      <c r="U168" s="25"/>
      <c r="V168"/>
      <c r="W168"/>
    </row>
    <row r="169" spans="1:23" ht="19.95" hidden="1" customHeight="1">
      <c r="A169" s="369"/>
      <c r="B169" s="145"/>
      <c r="C169" s="126"/>
      <c r="D169" s="126"/>
      <c r="E169" s="126"/>
      <c r="F169" s="126"/>
      <c r="G169" s="125"/>
      <c r="H169" s="126"/>
      <c r="I169" s="126"/>
      <c r="J169" s="127"/>
      <c r="K169" s="126"/>
      <c r="L169" s="126"/>
      <c r="M169" s="128"/>
      <c r="N169" s="126"/>
      <c r="O169" s="126"/>
      <c r="P169" s="128"/>
      <c r="Q169" s="126"/>
      <c r="R169" s="126"/>
      <c r="S169" s="126"/>
      <c r="T169" s="139"/>
      <c r="U169" s="25"/>
      <c r="V169"/>
      <c r="W169"/>
    </row>
    <row r="170" spans="1:23" ht="19.95" hidden="1" customHeight="1" thickBot="1">
      <c r="A170" s="370"/>
      <c r="B170" s="146"/>
      <c r="C170" s="140"/>
      <c r="D170" s="140"/>
      <c r="E170" s="140"/>
      <c r="F170" s="140"/>
      <c r="G170" s="141"/>
      <c r="H170" s="140"/>
      <c r="I170" s="140"/>
      <c r="J170" s="142"/>
      <c r="K170" s="140"/>
      <c r="L170" s="140"/>
      <c r="M170" s="143"/>
      <c r="N170" s="140"/>
      <c r="O170" s="140"/>
      <c r="P170" s="143"/>
      <c r="Q170" s="140"/>
      <c r="R170" s="140"/>
      <c r="S170" s="140"/>
      <c r="T170" s="144"/>
      <c r="U170" s="25"/>
      <c r="V170"/>
      <c r="W170"/>
    </row>
    <row r="171" spans="1:23" ht="19.95" hidden="1" customHeight="1">
      <c r="A171" s="368" t="str">
        <f>'Read Me First'!C19</f>
        <v/>
      </c>
      <c r="B171" s="133" cm="1">
        <f t="array" ref="B171:T180">_xlfn.LET(_xlpm.x, _xlfn._xlws.SORT(_xlfn._xlws.FILTER(Data!$A$33:$S$212,(Data!$C$33:$C$212=$A171)*(Data!$D$33:$D$212=$E$4)*(Data!$E$33:$E$212="U10")),18),_xlpm.y,_xlfn._xlws.SORT(_xlfn._xlws.FILTER(Data!$A$33:$S$212,(Data!$C$33:$C$212=$A171)*(Data!$D$33:$D$212=$E$4)*(Data!$E$33:$E$212="U12")),19), IFERROR(_xlfn.VSTACK(_xlpm.x,_xlpm.y), IFERROR(_xlpm.y,IFERROR(_xlpm.x, ""))))</f>
        <v>121</v>
      </c>
      <c r="C171" s="134" t="str">
        <v/>
      </c>
      <c r="D171" s="134" t="str">
        <v/>
      </c>
      <c r="E171" s="134" t="str">
        <v>GIRLS</v>
      </c>
      <c r="F171" s="134" t="str">
        <v>U12</v>
      </c>
      <c r="G171" s="135" t="str">
        <v/>
      </c>
      <c r="H171" s="134">
        <v>0</v>
      </c>
      <c r="I171" s="134" t="str">
        <v/>
      </c>
      <c r="J171" s="136">
        <v>0</v>
      </c>
      <c r="K171" s="134">
        <v>0</v>
      </c>
      <c r="L171" s="134" t="str">
        <v/>
      </c>
      <c r="M171" s="137" t="str">
        <v/>
      </c>
      <c r="N171" s="134">
        <v>0</v>
      </c>
      <c r="O171" s="134">
        <v>0</v>
      </c>
      <c r="P171" s="137" t="str">
        <v/>
      </c>
      <c r="Q171" s="134">
        <v>0</v>
      </c>
      <c r="R171" s="134">
        <v>0</v>
      </c>
      <c r="S171" s="134" t="str">
        <v/>
      </c>
      <c r="T171" s="138" t="str">
        <v/>
      </c>
      <c r="U171" s="25"/>
      <c r="V171"/>
      <c r="W171"/>
    </row>
    <row r="172" spans="1:23" ht="19.95" hidden="1" customHeight="1">
      <c r="A172" s="369"/>
      <c r="B172" s="145">
        <v>122</v>
      </c>
      <c r="C172" s="126" t="str">
        <v/>
      </c>
      <c r="D172" s="126" t="str">
        <v/>
      </c>
      <c r="E172" s="126" t="str">
        <v>GIRLS</v>
      </c>
      <c r="F172" s="126" t="str">
        <v>U12</v>
      </c>
      <c r="G172" s="125" t="str">
        <v/>
      </c>
      <c r="H172" s="126">
        <v>0</v>
      </c>
      <c r="I172" s="126" t="str">
        <v/>
      </c>
      <c r="J172" s="127">
        <v>0</v>
      </c>
      <c r="K172" s="126">
        <v>0</v>
      </c>
      <c r="L172" s="126" t="str">
        <v/>
      </c>
      <c r="M172" s="128" t="str">
        <v/>
      </c>
      <c r="N172" s="126">
        <v>0</v>
      </c>
      <c r="O172" s="126">
        <v>0</v>
      </c>
      <c r="P172" s="128" t="str">
        <v/>
      </c>
      <c r="Q172" s="126">
        <v>0</v>
      </c>
      <c r="R172" s="126">
        <v>0</v>
      </c>
      <c r="S172" s="126" t="str">
        <v/>
      </c>
      <c r="T172" s="139" t="str">
        <v/>
      </c>
      <c r="U172" s="25"/>
      <c r="V172"/>
      <c r="W172"/>
    </row>
    <row r="173" spans="1:23" ht="19.95" hidden="1" customHeight="1">
      <c r="A173" s="369"/>
      <c r="B173" s="145">
        <v>123</v>
      </c>
      <c r="C173" s="126" t="str">
        <v/>
      </c>
      <c r="D173" s="126" t="str">
        <v/>
      </c>
      <c r="E173" s="126" t="str">
        <v>GIRLS</v>
      </c>
      <c r="F173" s="126" t="str">
        <v>U12</v>
      </c>
      <c r="G173" s="125" t="str">
        <v/>
      </c>
      <c r="H173" s="126">
        <v>0</v>
      </c>
      <c r="I173" s="126" t="str">
        <v/>
      </c>
      <c r="J173" s="127">
        <v>0</v>
      </c>
      <c r="K173" s="126">
        <v>0</v>
      </c>
      <c r="L173" s="126" t="str">
        <v/>
      </c>
      <c r="M173" s="128" t="str">
        <v/>
      </c>
      <c r="N173" s="126">
        <v>0</v>
      </c>
      <c r="O173" s="126">
        <v>0</v>
      </c>
      <c r="P173" s="128" t="str">
        <v/>
      </c>
      <c r="Q173" s="126">
        <v>0</v>
      </c>
      <c r="R173" s="126">
        <v>0</v>
      </c>
      <c r="S173" s="126" t="str">
        <v/>
      </c>
      <c r="T173" s="139" t="str">
        <v/>
      </c>
      <c r="U173" s="25"/>
      <c r="V173"/>
      <c r="W173"/>
    </row>
    <row r="174" spans="1:23" ht="19.95" hidden="1" customHeight="1">
      <c r="A174" s="369"/>
      <c r="B174" s="145">
        <v>124</v>
      </c>
      <c r="C174" s="126" t="str">
        <v/>
      </c>
      <c r="D174" s="126" t="str">
        <v/>
      </c>
      <c r="E174" s="126" t="str">
        <v>GIRLS</v>
      </c>
      <c r="F174" s="126" t="str">
        <v>U12</v>
      </c>
      <c r="G174" s="125" t="str">
        <v/>
      </c>
      <c r="H174" s="126">
        <v>0</v>
      </c>
      <c r="I174" s="126" t="str">
        <v/>
      </c>
      <c r="J174" s="127">
        <v>0</v>
      </c>
      <c r="K174" s="126">
        <v>0</v>
      </c>
      <c r="L174" s="126" t="str">
        <v/>
      </c>
      <c r="M174" s="128" t="str">
        <v/>
      </c>
      <c r="N174" s="126">
        <v>0</v>
      </c>
      <c r="O174" s="126">
        <v>0</v>
      </c>
      <c r="P174" s="128" t="str">
        <v/>
      </c>
      <c r="Q174" s="126">
        <v>0</v>
      </c>
      <c r="R174" s="126">
        <v>0</v>
      </c>
      <c r="S174" s="126" t="str">
        <v/>
      </c>
      <c r="T174" s="139" t="str">
        <v/>
      </c>
      <c r="U174" s="25"/>
      <c r="V174"/>
      <c r="W174"/>
    </row>
    <row r="175" spans="1:23" ht="19.95" hidden="1" customHeight="1">
      <c r="A175" s="369"/>
      <c r="B175" s="145">
        <v>125</v>
      </c>
      <c r="C175" s="126" t="str">
        <v/>
      </c>
      <c r="D175" s="126" t="str">
        <v/>
      </c>
      <c r="E175" s="126" t="str">
        <v>GIRLS</v>
      </c>
      <c r="F175" s="126" t="str">
        <v>U12</v>
      </c>
      <c r="G175" s="125" t="str">
        <v/>
      </c>
      <c r="H175" s="126">
        <v>0</v>
      </c>
      <c r="I175" s="126" t="str">
        <v/>
      </c>
      <c r="J175" s="127">
        <v>0</v>
      </c>
      <c r="K175" s="126">
        <v>0</v>
      </c>
      <c r="L175" s="126" t="str">
        <v/>
      </c>
      <c r="M175" s="128" t="str">
        <v/>
      </c>
      <c r="N175" s="126">
        <v>0</v>
      </c>
      <c r="O175" s="126">
        <v>0</v>
      </c>
      <c r="P175" s="128" t="str">
        <v/>
      </c>
      <c r="Q175" s="126">
        <v>0</v>
      </c>
      <c r="R175" s="126">
        <v>0</v>
      </c>
      <c r="S175" s="126" t="str">
        <v/>
      </c>
      <c r="T175" s="139" t="str">
        <v/>
      </c>
      <c r="U175" s="25"/>
      <c r="V175"/>
      <c r="W175"/>
    </row>
    <row r="176" spans="1:23" ht="19.95" hidden="1" customHeight="1">
      <c r="A176" s="369"/>
      <c r="B176" s="145">
        <v>126</v>
      </c>
      <c r="C176" s="126" t="str">
        <v/>
      </c>
      <c r="D176" s="126" t="str">
        <v/>
      </c>
      <c r="E176" s="126" t="str">
        <v>GIRLS</v>
      </c>
      <c r="F176" s="126" t="str">
        <v>U12</v>
      </c>
      <c r="G176" s="125" t="str">
        <v/>
      </c>
      <c r="H176" s="126">
        <v>0</v>
      </c>
      <c r="I176" s="126" t="str">
        <v/>
      </c>
      <c r="J176" s="127">
        <v>0</v>
      </c>
      <c r="K176" s="126">
        <v>0</v>
      </c>
      <c r="L176" s="126" t="str">
        <v/>
      </c>
      <c r="M176" s="128" t="str">
        <v/>
      </c>
      <c r="N176" s="126">
        <v>0</v>
      </c>
      <c r="O176" s="126">
        <v>0</v>
      </c>
      <c r="P176" s="128" t="str">
        <v/>
      </c>
      <c r="Q176" s="126">
        <v>0</v>
      </c>
      <c r="R176" s="126">
        <v>0</v>
      </c>
      <c r="S176" s="126" t="str">
        <v/>
      </c>
      <c r="T176" s="139" t="str">
        <v/>
      </c>
      <c r="U176" s="25"/>
      <c r="V176"/>
      <c r="W176"/>
    </row>
    <row r="177" spans="1:23" ht="19.95" hidden="1" customHeight="1">
      <c r="A177" s="369"/>
      <c r="B177" s="145">
        <v>127</v>
      </c>
      <c r="C177" s="126" t="str">
        <v/>
      </c>
      <c r="D177" s="126" t="str">
        <v/>
      </c>
      <c r="E177" s="126" t="str">
        <v>GIRLS</v>
      </c>
      <c r="F177" s="126" t="str">
        <v>U12</v>
      </c>
      <c r="G177" s="125" t="str">
        <v/>
      </c>
      <c r="H177" s="126">
        <v>0</v>
      </c>
      <c r="I177" s="126" t="str">
        <v/>
      </c>
      <c r="J177" s="127">
        <v>0</v>
      </c>
      <c r="K177" s="126">
        <v>0</v>
      </c>
      <c r="L177" s="126" t="str">
        <v/>
      </c>
      <c r="M177" s="128" t="str">
        <v/>
      </c>
      <c r="N177" s="126">
        <v>0</v>
      </c>
      <c r="O177" s="126">
        <v>0</v>
      </c>
      <c r="P177" s="128" t="str">
        <v/>
      </c>
      <c r="Q177" s="126">
        <v>0</v>
      </c>
      <c r="R177" s="126">
        <v>0</v>
      </c>
      <c r="S177" s="126" t="str">
        <v/>
      </c>
      <c r="T177" s="139" t="str">
        <v/>
      </c>
      <c r="U177" s="25"/>
      <c r="V177"/>
      <c r="W177"/>
    </row>
    <row r="178" spans="1:23" ht="19.95" hidden="1" customHeight="1">
      <c r="A178" s="369"/>
      <c r="B178" s="145">
        <v>128</v>
      </c>
      <c r="C178" s="126" t="str">
        <v/>
      </c>
      <c r="D178" s="126" t="str">
        <v/>
      </c>
      <c r="E178" s="126" t="str">
        <v>GIRLS</v>
      </c>
      <c r="F178" s="126" t="str">
        <v>U12</v>
      </c>
      <c r="G178" s="125" t="str">
        <v/>
      </c>
      <c r="H178" s="126">
        <v>0</v>
      </c>
      <c r="I178" s="126" t="str">
        <v/>
      </c>
      <c r="J178" s="127">
        <v>0</v>
      </c>
      <c r="K178" s="126">
        <v>0</v>
      </c>
      <c r="L178" s="126" t="str">
        <v/>
      </c>
      <c r="M178" s="128" t="str">
        <v/>
      </c>
      <c r="N178" s="126">
        <v>0</v>
      </c>
      <c r="O178" s="126">
        <v>0</v>
      </c>
      <c r="P178" s="128" t="str">
        <v/>
      </c>
      <c r="Q178" s="126">
        <v>0</v>
      </c>
      <c r="R178" s="126">
        <v>0</v>
      </c>
      <c r="S178" s="126" t="str">
        <v/>
      </c>
      <c r="T178" s="139" t="str">
        <v/>
      </c>
      <c r="U178" s="54"/>
      <c r="V178"/>
      <c r="W178"/>
    </row>
    <row r="179" spans="1:23" ht="19.95" hidden="1" customHeight="1">
      <c r="A179" s="369"/>
      <c r="B179" s="145">
        <v>129</v>
      </c>
      <c r="C179" s="126" t="str">
        <v/>
      </c>
      <c r="D179" s="126" t="str">
        <v/>
      </c>
      <c r="E179" s="126" t="str">
        <v>GIRLS</v>
      </c>
      <c r="F179" s="126" t="str">
        <v>U12</v>
      </c>
      <c r="G179" s="125" t="str">
        <v/>
      </c>
      <c r="H179" s="126">
        <v>0</v>
      </c>
      <c r="I179" s="126" t="str">
        <v/>
      </c>
      <c r="J179" s="127">
        <v>0</v>
      </c>
      <c r="K179" s="126">
        <v>0</v>
      </c>
      <c r="L179" s="126" t="str">
        <v/>
      </c>
      <c r="M179" s="128" t="str">
        <v/>
      </c>
      <c r="N179" s="126">
        <v>0</v>
      </c>
      <c r="O179" s="126">
        <v>0</v>
      </c>
      <c r="P179" s="128" t="str">
        <v/>
      </c>
      <c r="Q179" s="126">
        <v>0</v>
      </c>
      <c r="R179" s="126">
        <v>0</v>
      </c>
      <c r="S179" s="126" t="str">
        <v/>
      </c>
      <c r="T179" s="139" t="str">
        <v/>
      </c>
      <c r="U179" s="25"/>
      <c r="V179"/>
      <c r="W179"/>
    </row>
    <row r="180" spans="1:23" ht="19.95" hidden="1" customHeight="1">
      <c r="A180" s="369"/>
      <c r="B180" s="145">
        <v>130</v>
      </c>
      <c r="C180" s="126" t="str">
        <v/>
      </c>
      <c r="D180" s="126" t="str">
        <v/>
      </c>
      <c r="E180" s="126" t="str">
        <v>GIRLS</v>
      </c>
      <c r="F180" s="126" t="str">
        <v>U12</v>
      </c>
      <c r="G180" s="125" t="str">
        <v/>
      </c>
      <c r="H180" s="126">
        <v>0</v>
      </c>
      <c r="I180" s="126" t="str">
        <v/>
      </c>
      <c r="J180" s="127">
        <v>0</v>
      </c>
      <c r="K180" s="126">
        <v>0</v>
      </c>
      <c r="L180" s="126" t="str">
        <v/>
      </c>
      <c r="M180" s="128" t="str">
        <v/>
      </c>
      <c r="N180" s="126">
        <v>0</v>
      </c>
      <c r="O180" s="126">
        <v>0</v>
      </c>
      <c r="P180" s="128" t="str">
        <v/>
      </c>
      <c r="Q180" s="126">
        <v>0</v>
      </c>
      <c r="R180" s="126">
        <v>0</v>
      </c>
      <c r="S180" s="126" t="str">
        <v/>
      </c>
      <c r="T180" s="139" t="str">
        <v/>
      </c>
      <c r="U180" s="25"/>
      <c r="V180"/>
      <c r="W180"/>
    </row>
    <row r="181" spans="1:23" ht="19.95" hidden="1" customHeight="1">
      <c r="A181" s="369"/>
      <c r="B181" s="145"/>
      <c r="C181" s="126"/>
      <c r="D181" s="126"/>
      <c r="E181" s="126"/>
      <c r="F181" s="126"/>
      <c r="G181" s="125"/>
      <c r="H181" s="126"/>
      <c r="I181" s="126"/>
      <c r="J181" s="127"/>
      <c r="K181" s="126"/>
      <c r="L181" s="126"/>
      <c r="M181" s="128"/>
      <c r="N181" s="126"/>
      <c r="O181" s="126"/>
      <c r="P181" s="128"/>
      <c r="Q181" s="126"/>
      <c r="R181" s="126"/>
      <c r="S181" s="126"/>
      <c r="T181" s="139"/>
      <c r="U181" s="25"/>
      <c r="V181"/>
      <c r="W181"/>
    </row>
    <row r="182" spans="1:23" ht="19.95" hidden="1" customHeight="1">
      <c r="A182" s="369"/>
      <c r="B182" s="145"/>
      <c r="C182" s="126"/>
      <c r="D182" s="126"/>
      <c r="E182" s="126"/>
      <c r="F182" s="126"/>
      <c r="G182" s="125"/>
      <c r="H182" s="126"/>
      <c r="I182" s="126"/>
      <c r="J182" s="127"/>
      <c r="K182" s="126"/>
      <c r="L182" s="126"/>
      <c r="M182" s="128"/>
      <c r="N182" s="126"/>
      <c r="O182" s="126"/>
      <c r="P182" s="128"/>
      <c r="Q182" s="126"/>
      <c r="R182" s="126"/>
      <c r="S182" s="126"/>
      <c r="T182" s="139"/>
      <c r="U182" s="25"/>
      <c r="V182"/>
      <c r="W182"/>
    </row>
    <row r="183" spans="1:23" ht="19.95" hidden="1" customHeight="1">
      <c r="A183" s="369"/>
      <c r="B183" s="145"/>
      <c r="C183" s="126"/>
      <c r="D183" s="126"/>
      <c r="E183" s="126"/>
      <c r="F183" s="126"/>
      <c r="G183" s="125"/>
      <c r="H183" s="126"/>
      <c r="I183" s="126"/>
      <c r="J183" s="127"/>
      <c r="K183" s="126"/>
      <c r="L183" s="126"/>
      <c r="M183" s="128"/>
      <c r="N183" s="126"/>
      <c r="O183" s="126"/>
      <c r="P183" s="128"/>
      <c r="Q183" s="126"/>
      <c r="R183" s="126"/>
      <c r="S183" s="126"/>
      <c r="T183" s="139"/>
      <c r="U183" s="25"/>
      <c r="V183"/>
      <c r="W183"/>
    </row>
    <row r="184" spans="1:23" ht="19.95" hidden="1" customHeight="1">
      <c r="A184" s="369"/>
      <c r="B184" s="145"/>
      <c r="C184" s="126"/>
      <c r="D184" s="126"/>
      <c r="E184" s="126"/>
      <c r="F184" s="126"/>
      <c r="G184" s="125"/>
      <c r="H184" s="126"/>
      <c r="I184" s="126"/>
      <c r="J184" s="127"/>
      <c r="K184" s="126"/>
      <c r="L184" s="126"/>
      <c r="M184" s="128"/>
      <c r="N184" s="126"/>
      <c r="O184" s="126"/>
      <c r="P184" s="128"/>
      <c r="Q184" s="126"/>
      <c r="R184" s="126"/>
      <c r="S184" s="126"/>
      <c r="T184" s="139"/>
      <c r="U184" s="25"/>
      <c r="V184"/>
      <c r="W184"/>
    </row>
    <row r="185" spans="1:23" ht="19.95" hidden="1" customHeight="1">
      <c r="A185" s="369"/>
      <c r="B185" s="145"/>
      <c r="C185" s="126"/>
      <c r="D185" s="126"/>
      <c r="E185" s="126"/>
      <c r="F185" s="126"/>
      <c r="G185" s="125"/>
      <c r="H185" s="126"/>
      <c r="I185" s="126"/>
      <c r="J185" s="127"/>
      <c r="K185" s="126"/>
      <c r="L185" s="126"/>
      <c r="M185" s="128"/>
      <c r="N185" s="126"/>
      <c r="O185" s="126"/>
      <c r="P185" s="128"/>
      <c r="Q185" s="126"/>
      <c r="R185" s="126"/>
      <c r="S185" s="126"/>
      <c r="T185" s="139"/>
      <c r="U185" s="25"/>
      <c r="V185"/>
      <c r="W185"/>
    </row>
    <row r="186" spans="1:23" ht="19.95" hidden="1" customHeight="1">
      <c r="A186" s="369"/>
      <c r="B186" s="145"/>
      <c r="C186" s="126"/>
      <c r="D186" s="126"/>
      <c r="E186" s="126"/>
      <c r="F186" s="126"/>
      <c r="G186" s="125"/>
      <c r="H186" s="126"/>
      <c r="I186" s="126"/>
      <c r="J186" s="127"/>
      <c r="K186" s="126"/>
      <c r="L186" s="126"/>
      <c r="M186" s="128"/>
      <c r="N186" s="126"/>
      <c r="O186" s="126"/>
      <c r="P186" s="128"/>
      <c r="Q186" s="126"/>
      <c r="R186" s="126"/>
      <c r="S186" s="126"/>
      <c r="T186" s="139"/>
      <c r="U186" s="25"/>
      <c r="V186"/>
      <c r="W186"/>
    </row>
    <row r="187" spans="1:23" ht="19.95" hidden="1" customHeight="1">
      <c r="A187" s="369"/>
      <c r="B187" s="145"/>
      <c r="C187" s="126"/>
      <c r="D187" s="126"/>
      <c r="E187" s="126"/>
      <c r="F187" s="126"/>
      <c r="G187" s="125"/>
      <c r="H187" s="126"/>
      <c r="I187" s="126"/>
      <c r="J187" s="127"/>
      <c r="K187" s="126"/>
      <c r="L187" s="126"/>
      <c r="M187" s="128"/>
      <c r="N187" s="126"/>
      <c r="O187" s="126"/>
      <c r="P187" s="128"/>
      <c r="Q187" s="126"/>
      <c r="R187" s="126"/>
      <c r="S187" s="126"/>
      <c r="T187" s="139"/>
      <c r="U187" s="25"/>
      <c r="V187"/>
      <c r="W187"/>
    </row>
    <row r="188" spans="1:23" ht="19.95" hidden="1" customHeight="1">
      <c r="A188" s="369"/>
      <c r="B188" s="145"/>
      <c r="C188" s="126"/>
      <c r="D188" s="126"/>
      <c r="E188" s="126"/>
      <c r="F188" s="126"/>
      <c r="G188" s="125"/>
      <c r="H188" s="126"/>
      <c r="I188" s="126"/>
      <c r="J188" s="127"/>
      <c r="K188" s="126"/>
      <c r="L188" s="126"/>
      <c r="M188" s="128"/>
      <c r="N188" s="126"/>
      <c r="O188" s="126"/>
      <c r="P188" s="128"/>
      <c r="Q188" s="126"/>
      <c r="R188" s="126"/>
      <c r="S188" s="126"/>
      <c r="T188" s="139"/>
      <c r="U188" s="25"/>
      <c r="V188"/>
      <c r="W188"/>
    </row>
    <row r="189" spans="1:23" ht="19.95" hidden="1" customHeight="1">
      <c r="A189" s="369"/>
      <c r="B189" s="145"/>
      <c r="C189" s="126"/>
      <c r="D189" s="126"/>
      <c r="E189" s="126"/>
      <c r="F189" s="126"/>
      <c r="G189" s="125"/>
      <c r="H189" s="126"/>
      <c r="I189" s="126"/>
      <c r="J189" s="127"/>
      <c r="K189" s="126"/>
      <c r="L189" s="126"/>
      <c r="M189" s="128"/>
      <c r="N189" s="126"/>
      <c r="O189" s="126"/>
      <c r="P189" s="128"/>
      <c r="Q189" s="126"/>
      <c r="R189" s="126"/>
      <c r="S189" s="126"/>
      <c r="T189" s="139"/>
      <c r="U189" s="25"/>
      <c r="V189"/>
      <c r="W189"/>
    </row>
    <row r="190" spans="1:23" ht="19.95" hidden="1" customHeight="1" thickBot="1">
      <c r="A190" s="370"/>
      <c r="B190" s="146"/>
      <c r="C190" s="140"/>
      <c r="D190" s="140"/>
      <c r="E190" s="140"/>
      <c r="F190" s="140"/>
      <c r="G190" s="141"/>
      <c r="H190" s="140"/>
      <c r="I190" s="140"/>
      <c r="J190" s="142"/>
      <c r="K190" s="140"/>
      <c r="L190" s="140"/>
      <c r="M190" s="143"/>
      <c r="N190" s="140"/>
      <c r="O190" s="140"/>
      <c r="P190" s="143"/>
      <c r="Q190" s="140"/>
      <c r="R190" s="140"/>
      <c r="S190" s="140"/>
      <c r="T190" s="144"/>
      <c r="U190" s="25"/>
      <c r="V190"/>
      <c r="W190"/>
    </row>
    <row r="191" spans="1:23" ht="18" customHeight="1">
      <c r="B191" s="25"/>
      <c r="C191" s="41"/>
      <c r="D191" s="41"/>
      <c r="E191" s="41"/>
      <c r="F191" s="41"/>
      <c r="G191" s="42"/>
      <c r="H191" s="25"/>
      <c r="I191" s="25"/>
      <c r="J191" s="42"/>
      <c r="K191" s="25"/>
      <c r="L191" s="25"/>
      <c r="M191" s="43"/>
      <c r="N191" s="25"/>
      <c r="O191" s="25"/>
      <c r="P191" s="42"/>
      <c r="Q191" s="25"/>
      <c r="R191" s="25"/>
      <c r="S191" s="25"/>
      <c r="T191" s="25"/>
      <c r="U191" s="25"/>
      <c r="V191"/>
      <c r="W191"/>
    </row>
    <row r="192" spans="1:23" ht="18" customHeight="1">
      <c r="B192" s="25"/>
      <c r="C192" s="41"/>
      <c r="D192" s="41"/>
      <c r="E192" s="41"/>
      <c r="F192" s="41"/>
      <c r="G192" s="42"/>
      <c r="H192" s="25"/>
      <c r="I192" s="25"/>
      <c r="J192" s="42"/>
      <c r="K192" s="25"/>
      <c r="L192" s="25"/>
      <c r="M192" s="43"/>
      <c r="N192" s="25"/>
      <c r="O192" s="25"/>
      <c r="P192" s="42"/>
      <c r="Q192" s="25"/>
      <c r="R192" s="25"/>
      <c r="S192" s="25"/>
      <c r="T192" s="25"/>
      <c r="U192" s="25"/>
      <c r="V192"/>
      <c r="W192"/>
    </row>
    <row r="193" spans="1:23" ht="18" customHeight="1">
      <c r="B193" s="25"/>
      <c r="C193" s="41"/>
      <c r="D193" s="41"/>
      <c r="E193" s="41"/>
      <c r="F193" s="41"/>
      <c r="G193" s="42"/>
      <c r="H193" s="25"/>
      <c r="I193" s="25"/>
      <c r="J193" s="42"/>
      <c r="K193" s="25"/>
      <c r="L193" s="25"/>
      <c r="M193" s="43"/>
      <c r="N193" s="25"/>
      <c r="O193" s="25"/>
      <c r="P193" s="42"/>
      <c r="Q193" s="25"/>
      <c r="R193" s="25"/>
      <c r="S193" s="25"/>
      <c r="T193" s="25"/>
      <c r="U193" s="25"/>
      <c r="V193"/>
      <c r="W193"/>
    </row>
    <row r="194" spans="1:23" ht="18" customHeight="1">
      <c r="A194" s="41"/>
      <c r="B194" s="41"/>
      <c r="C194" s="41"/>
      <c r="D194" s="41"/>
      <c r="E194" s="41"/>
      <c r="F194" s="41"/>
      <c r="G194" s="42"/>
      <c r="H194" s="25"/>
      <c r="I194" s="25"/>
      <c r="J194" s="42"/>
      <c r="K194" s="25"/>
      <c r="L194" s="25"/>
      <c r="M194" s="43"/>
      <c r="N194" s="25"/>
      <c r="O194" s="25"/>
      <c r="P194" s="42"/>
      <c r="Q194" s="25"/>
      <c r="R194" s="25"/>
      <c r="S194" s="25"/>
      <c r="T194" s="25"/>
      <c r="U194" s="25"/>
      <c r="V194"/>
      <c r="W194"/>
    </row>
    <row r="195" spans="1:23" ht="18" customHeight="1">
      <c r="U195" s="25"/>
      <c r="V195"/>
      <c r="W195"/>
    </row>
    <row r="196" spans="1:23" ht="19.95" customHeight="1">
      <c r="A196" s="363"/>
      <c r="B196" s="363" t="s">
        <v>106</v>
      </c>
      <c r="C196" s="365" t="s">
        <v>107</v>
      </c>
      <c r="D196" s="365" t="s">
        <v>108</v>
      </c>
      <c r="E196" s="365" t="s">
        <v>15</v>
      </c>
      <c r="F196" s="371" t="s">
        <v>109</v>
      </c>
      <c r="G196" s="373" t="s">
        <v>85</v>
      </c>
      <c r="H196" s="374"/>
      <c r="I196" s="375"/>
      <c r="J196" s="373" t="s">
        <v>95</v>
      </c>
      <c r="K196" s="374"/>
      <c r="L196" s="375"/>
      <c r="M196" s="373" t="s">
        <v>110</v>
      </c>
      <c r="N196" s="374"/>
      <c r="O196" s="375"/>
      <c r="P196" s="376" t="s">
        <v>104</v>
      </c>
      <c r="Q196" s="377"/>
      <c r="R196" s="78" t="s">
        <v>81</v>
      </c>
      <c r="S196" s="325" t="s">
        <v>111</v>
      </c>
      <c r="T196" s="308" t="s">
        <v>112</v>
      </c>
      <c r="U196" s="25"/>
      <c r="V196"/>
      <c r="W196"/>
    </row>
    <row r="197" spans="1:23" ht="19.95" customHeight="1" thickBot="1">
      <c r="A197" s="364"/>
      <c r="B197" s="364"/>
      <c r="C197" s="366"/>
      <c r="D197" s="366"/>
      <c r="E197" s="366"/>
      <c r="F197" s="372"/>
      <c r="G197" s="130" t="s">
        <v>113</v>
      </c>
      <c r="H197" s="131" t="s">
        <v>81</v>
      </c>
      <c r="I197" s="131" t="s">
        <v>82</v>
      </c>
      <c r="J197" s="132" t="s">
        <v>113</v>
      </c>
      <c r="K197" s="131" t="s">
        <v>81</v>
      </c>
      <c r="L197" s="131" t="s">
        <v>82</v>
      </c>
      <c r="M197" s="130" t="s">
        <v>114</v>
      </c>
      <c r="N197" s="131" t="s">
        <v>81</v>
      </c>
      <c r="O197" s="131" t="s">
        <v>82</v>
      </c>
      <c r="P197" s="130" t="s">
        <v>114</v>
      </c>
      <c r="Q197" s="131" t="s">
        <v>81</v>
      </c>
      <c r="R197" s="318" t="s">
        <v>115</v>
      </c>
      <c r="S197" s="318" t="s">
        <v>116</v>
      </c>
      <c r="T197" s="318" t="s">
        <v>116</v>
      </c>
      <c r="U197" s="25"/>
      <c r="V197"/>
      <c r="W197"/>
    </row>
    <row r="198" spans="1:23" ht="19.95" customHeight="1">
      <c r="A198" s="360" t="str">
        <f>'Read Me First'!C11</f>
        <v>Camberley &amp; District AC</v>
      </c>
      <c r="B198" s="133" cm="1">
        <f t="array" ref="B198:T207">_xlfn.LET(_xlpm.x, _xlfn._xlws.SORT(_xlfn._xlws.FILTER(Data!$A$33:$S$212,(Data!$C$33:$C$212=$A198)*(Data!$D$33:$D$212=$E$196)*(Data!$E$33:$E$212="U10")),18),_xlpm.y,_xlfn._xlws.SORT(_xlfn._xlws.FILTER(Data!$A$33:$S$212,(Data!$C$33:$C$212=$A198)*(Data!$D$33:$D$212=$E$196)*(Data!$E$33:$E$212="U12")),19), IFERROR(_xlfn.VSTACK(_xlpm.x,_xlpm.y), IFERROR(_xlpm.y,IFERROR(_xlpm.x, ""))))</f>
        <v>11</v>
      </c>
      <c r="C198" s="134" t="str">
        <v>MATTHEW SCALES</v>
      </c>
      <c r="D198" s="134" t="str">
        <v>Camberley &amp; District AC</v>
      </c>
      <c r="E198" s="134" t="str">
        <v>BOYS</v>
      </c>
      <c r="F198" s="134" t="str">
        <v>U12</v>
      </c>
      <c r="G198" s="135">
        <v>11</v>
      </c>
      <c r="H198" s="134">
        <v>60</v>
      </c>
      <c r="I198" s="134" t="str">
        <v>PB9</v>
      </c>
      <c r="J198" s="136">
        <v>1.2789351851851853E-3</v>
      </c>
      <c r="K198" s="134">
        <v>79</v>
      </c>
      <c r="L198" s="134" t="str">
        <v>PB7</v>
      </c>
      <c r="M198" s="137">
        <v>3.83</v>
      </c>
      <c r="N198" s="134">
        <v>64</v>
      </c>
      <c r="O198" s="134" t="str">
        <v>PB8</v>
      </c>
      <c r="P198" s="137">
        <v>29.83</v>
      </c>
      <c r="Q198" s="134">
        <v>59</v>
      </c>
      <c r="R198" s="134">
        <v>262</v>
      </c>
      <c r="S198" s="134">
        <v>1</v>
      </c>
      <c r="T198" s="138">
        <v>3</v>
      </c>
      <c r="U198" s="25"/>
      <c r="V198"/>
      <c r="W198"/>
    </row>
    <row r="199" spans="1:23" ht="19.95" customHeight="1">
      <c r="A199" s="361"/>
      <c r="B199" s="145">
        <v>12</v>
      </c>
      <c r="C199" s="126" t="str">
        <v>OSCAR FROST</v>
      </c>
      <c r="D199" s="126" t="str">
        <v>Camberley &amp; District AC</v>
      </c>
      <c r="E199" s="126" t="str">
        <v>BOYS</v>
      </c>
      <c r="F199" s="126" t="str">
        <v>U12</v>
      </c>
      <c r="G199" s="125">
        <v>11.9</v>
      </c>
      <c r="H199" s="126">
        <v>51</v>
      </c>
      <c r="I199" s="126" t="str">
        <v>PB7</v>
      </c>
      <c r="J199" s="127">
        <v>1.3888888888888889E-3</v>
      </c>
      <c r="K199" s="126">
        <v>70</v>
      </c>
      <c r="L199" s="126" t="str">
        <v>PB5</v>
      </c>
      <c r="M199" s="128">
        <v>3.09</v>
      </c>
      <c r="N199" s="126">
        <v>39</v>
      </c>
      <c r="O199" s="126" t="str">
        <v>PB5</v>
      </c>
      <c r="P199" s="128">
        <v>22.86</v>
      </c>
      <c r="Q199" s="126">
        <v>45</v>
      </c>
      <c r="R199" s="126">
        <v>205</v>
      </c>
      <c r="S199" s="126">
        <v>2</v>
      </c>
      <c r="T199" s="139">
        <v>21</v>
      </c>
      <c r="V199"/>
      <c r="W199"/>
    </row>
    <row r="200" spans="1:23" ht="19.95" customHeight="1">
      <c r="A200" s="361"/>
      <c r="B200" s="145">
        <v>14</v>
      </c>
      <c r="C200" s="126" t="str">
        <v>DANIEL BURDON</v>
      </c>
      <c r="D200" s="126" t="str">
        <v>Camberley &amp; District AC</v>
      </c>
      <c r="E200" s="126" t="str">
        <v>BOYS</v>
      </c>
      <c r="F200" s="126" t="str">
        <v>U12</v>
      </c>
      <c r="G200" s="125">
        <v>11.8</v>
      </c>
      <c r="H200" s="126">
        <v>52</v>
      </c>
      <c r="I200" s="126" t="str">
        <v>PB7</v>
      </c>
      <c r="J200" s="127">
        <v>1.4849537037037038E-3</v>
      </c>
      <c r="K200" s="126">
        <v>61</v>
      </c>
      <c r="L200" s="126" t="str">
        <v>PB3</v>
      </c>
      <c r="M200" s="128">
        <v>3.3</v>
      </c>
      <c r="N200" s="126">
        <v>46</v>
      </c>
      <c r="O200" s="126" t="str">
        <v>PB6</v>
      </c>
      <c r="P200" s="128">
        <v>17.190000000000001</v>
      </c>
      <c r="Q200" s="126">
        <v>34</v>
      </c>
      <c r="R200" s="126">
        <v>193</v>
      </c>
      <c r="S200" s="126">
        <v>3</v>
      </c>
      <c r="T200" s="139">
        <v>24</v>
      </c>
      <c r="U200" s="19"/>
      <c r="V200"/>
      <c r="W200"/>
    </row>
    <row r="201" spans="1:23" ht="19.95" customHeight="1">
      <c r="A201" s="361"/>
      <c r="B201" s="145">
        <v>16</v>
      </c>
      <c r="C201" s="126" t="str">
        <v>RAFI PAYNE</v>
      </c>
      <c r="D201" s="126" t="str">
        <v>Camberley &amp; District AC</v>
      </c>
      <c r="E201" s="126" t="str">
        <v>BOYS</v>
      </c>
      <c r="F201" s="126" t="str">
        <v>U12</v>
      </c>
      <c r="G201" s="125">
        <v>12.6</v>
      </c>
      <c r="H201" s="126">
        <v>44</v>
      </c>
      <c r="I201" s="126" t="str">
        <v>PB5</v>
      </c>
      <c r="J201" s="127">
        <v>1.4583333333333334E-3</v>
      </c>
      <c r="K201" s="126">
        <v>64</v>
      </c>
      <c r="L201" s="126" t="str">
        <v>PB3</v>
      </c>
      <c r="M201" s="128">
        <v>3.21</v>
      </c>
      <c r="N201" s="126">
        <v>43</v>
      </c>
      <c r="O201" s="126" t="str">
        <v>PB5</v>
      </c>
      <c r="P201" s="128">
        <v>21.25</v>
      </c>
      <c r="Q201" s="126">
        <v>42</v>
      </c>
      <c r="R201" s="126">
        <v>193</v>
      </c>
      <c r="S201" s="126">
        <v>3</v>
      </c>
      <c r="T201" s="139">
        <v>24</v>
      </c>
      <c r="U201" s="25"/>
      <c r="V201"/>
      <c r="W201"/>
    </row>
    <row r="202" spans="1:23" ht="19.95" customHeight="1">
      <c r="A202" s="361"/>
      <c r="B202" s="145">
        <v>13</v>
      </c>
      <c r="C202" s="126" t="str">
        <v>HARRY COLLINS</v>
      </c>
      <c r="D202" s="126" t="str">
        <v>Camberley &amp; District AC</v>
      </c>
      <c r="E202" s="126" t="str">
        <v>BOYS</v>
      </c>
      <c r="F202" s="126" t="str">
        <v>U12</v>
      </c>
      <c r="G202" s="125">
        <v>12.5</v>
      </c>
      <c r="H202" s="126">
        <v>45</v>
      </c>
      <c r="I202" s="126" t="str">
        <v>PB6</v>
      </c>
      <c r="J202" s="127">
        <v>1.4212962962962964E-3</v>
      </c>
      <c r="K202" s="126">
        <v>67</v>
      </c>
      <c r="L202" s="126" t="str">
        <v>PB4</v>
      </c>
      <c r="M202" s="128">
        <v>2.99</v>
      </c>
      <c r="N202" s="126">
        <v>36</v>
      </c>
      <c r="O202" s="126" t="str">
        <v>PB4</v>
      </c>
      <c r="P202" s="128">
        <v>21.13</v>
      </c>
      <c r="Q202" s="126">
        <v>42</v>
      </c>
      <c r="R202" s="126">
        <v>190</v>
      </c>
      <c r="S202" s="126">
        <v>5</v>
      </c>
      <c r="T202" s="139">
        <v>28</v>
      </c>
      <c r="U202" s="25"/>
      <c r="V202"/>
      <c r="W202"/>
    </row>
    <row r="203" spans="1:23" ht="19.95" customHeight="1">
      <c r="A203" s="361"/>
      <c r="B203" s="145">
        <v>15</v>
      </c>
      <c r="C203" s="126" t="str">
        <v>TOBI AKINLUYI</v>
      </c>
      <c r="D203" s="126" t="str">
        <v>Camberley &amp; District AC</v>
      </c>
      <c r="E203" s="126" t="str">
        <v>BOYS</v>
      </c>
      <c r="F203" s="126" t="str">
        <v>U12</v>
      </c>
      <c r="G203" s="125">
        <v>10.9</v>
      </c>
      <c r="H203" s="126">
        <v>61</v>
      </c>
      <c r="I203" s="126" t="str">
        <v>PB9</v>
      </c>
      <c r="J203" s="127">
        <v>1.7604166666666666E-3</v>
      </c>
      <c r="K203" s="126">
        <v>37</v>
      </c>
      <c r="L203" s="126" t="str">
        <v/>
      </c>
      <c r="M203" s="128">
        <v>3.07</v>
      </c>
      <c r="N203" s="126">
        <v>39</v>
      </c>
      <c r="O203" s="126" t="str">
        <v>PB5</v>
      </c>
      <c r="P203" s="128">
        <v>15.01</v>
      </c>
      <c r="Q203" s="126">
        <v>30</v>
      </c>
      <c r="R203" s="126">
        <v>167</v>
      </c>
      <c r="S203" s="126">
        <v>6</v>
      </c>
      <c r="T203" s="139">
        <v>36</v>
      </c>
      <c r="U203" s="25"/>
      <c r="V203"/>
      <c r="W203"/>
    </row>
    <row r="204" spans="1:23" ht="19.95" customHeight="1">
      <c r="A204" s="361"/>
      <c r="B204" s="145">
        <v>17</v>
      </c>
      <c r="C204" s="126" t="str">
        <v>FELIX POWERS</v>
      </c>
      <c r="D204" s="126" t="str">
        <v>Camberley &amp; District AC</v>
      </c>
      <c r="E204" s="126" t="str">
        <v>BOYS</v>
      </c>
      <c r="F204" s="126" t="str">
        <v>U12</v>
      </c>
      <c r="G204" s="125">
        <v>12.8</v>
      </c>
      <c r="H204" s="126">
        <v>42</v>
      </c>
      <c r="I204" s="126" t="str">
        <v>PB5</v>
      </c>
      <c r="J204" s="127">
        <v>1.6319444444444445E-3</v>
      </c>
      <c r="K204" s="126">
        <v>49</v>
      </c>
      <c r="L204" s="126" t="str">
        <v>PB1</v>
      </c>
      <c r="M204" s="128">
        <v>2.72</v>
      </c>
      <c r="N204" s="126">
        <v>27</v>
      </c>
      <c r="O204" s="126" t="str">
        <v>PB3</v>
      </c>
      <c r="P204" s="128">
        <v>22.11</v>
      </c>
      <c r="Q204" s="126">
        <v>44</v>
      </c>
      <c r="R204" s="126">
        <v>162</v>
      </c>
      <c r="S204" s="126">
        <v>7</v>
      </c>
      <c r="T204" s="139">
        <v>37</v>
      </c>
      <c r="U204" s="25"/>
      <c r="V204"/>
      <c r="W204"/>
    </row>
    <row r="205" spans="1:23" ht="19.95" customHeight="1">
      <c r="A205" s="361"/>
      <c r="B205" s="145">
        <v>18</v>
      </c>
      <c r="C205" s="126" t="str">
        <v>CADEN LUCAS</v>
      </c>
      <c r="D205" s="126" t="str">
        <v>Camberley &amp; District AC</v>
      </c>
      <c r="E205" s="126" t="str">
        <v>BOYS</v>
      </c>
      <c r="F205" s="126" t="str">
        <v>U12</v>
      </c>
      <c r="G205" s="125">
        <v>13.7</v>
      </c>
      <c r="H205" s="126">
        <v>33</v>
      </c>
      <c r="I205" s="126" t="str">
        <v>PB3</v>
      </c>
      <c r="J205" s="127">
        <v>1.8692129629629629E-3</v>
      </c>
      <c r="K205" s="126">
        <v>28</v>
      </c>
      <c r="L205" s="126" t="str">
        <v/>
      </c>
      <c r="M205" s="128">
        <v>2.72</v>
      </c>
      <c r="N205" s="126">
        <v>27</v>
      </c>
      <c r="O205" s="126" t="str">
        <v>PB3</v>
      </c>
      <c r="P205" s="128">
        <v>18.940000000000001</v>
      </c>
      <c r="Q205" s="126">
        <v>37</v>
      </c>
      <c r="R205" s="126">
        <v>125</v>
      </c>
      <c r="S205" s="126">
        <v>8</v>
      </c>
      <c r="T205" s="139">
        <v>43</v>
      </c>
      <c r="U205" s="25"/>
      <c r="V205"/>
      <c r="W205"/>
    </row>
    <row r="206" spans="1:23" ht="19.95" customHeight="1">
      <c r="A206" s="361"/>
      <c r="B206" s="145">
        <v>19</v>
      </c>
      <c r="C206" s="126" t="str">
        <v/>
      </c>
      <c r="D206" s="126" t="str">
        <v>Camberley &amp; District AC</v>
      </c>
      <c r="E206" s="126" t="str">
        <v>BOYS</v>
      </c>
      <c r="F206" s="126" t="str">
        <v>U12</v>
      </c>
      <c r="G206" s="125" t="str">
        <v/>
      </c>
      <c r="H206" s="126">
        <v>0</v>
      </c>
      <c r="I206" s="126" t="str">
        <v/>
      </c>
      <c r="J206" s="127">
        <v>0</v>
      </c>
      <c r="K206" s="126">
        <v>0</v>
      </c>
      <c r="L206" s="126" t="str">
        <v/>
      </c>
      <c r="M206" s="128" t="str">
        <v/>
      </c>
      <c r="N206" s="126">
        <v>0</v>
      </c>
      <c r="O206" s="126">
        <v>0</v>
      </c>
      <c r="P206" s="128" t="str">
        <v/>
      </c>
      <c r="Q206" s="126">
        <v>0</v>
      </c>
      <c r="R206" s="126">
        <v>0</v>
      </c>
      <c r="S206" s="126" t="str">
        <v/>
      </c>
      <c r="T206" s="139" t="str">
        <v/>
      </c>
      <c r="U206" s="25"/>
      <c r="V206"/>
      <c r="W206"/>
    </row>
    <row r="207" spans="1:23" ht="19.95" customHeight="1">
      <c r="A207" s="361"/>
      <c r="B207" s="145">
        <v>20</v>
      </c>
      <c r="C207" s="126" t="str">
        <v/>
      </c>
      <c r="D207" s="126" t="str">
        <v>Camberley &amp; District AC</v>
      </c>
      <c r="E207" s="126" t="str">
        <v>BOYS</v>
      </c>
      <c r="F207" s="126" t="str">
        <v>U12</v>
      </c>
      <c r="G207" s="125" t="str">
        <v/>
      </c>
      <c r="H207" s="126">
        <v>0</v>
      </c>
      <c r="I207" s="126" t="str">
        <v/>
      </c>
      <c r="J207" s="127">
        <v>0</v>
      </c>
      <c r="K207" s="126">
        <v>0</v>
      </c>
      <c r="L207" s="126" t="str">
        <v/>
      </c>
      <c r="M207" s="128" t="str">
        <v/>
      </c>
      <c r="N207" s="126">
        <v>0</v>
      </c>
      <c r="O207" s="126">
        <v>0</v>
      </c>
      <c r="P207" s="128" t="str">
        <v/>
      </c>
      <c r="Q207" s="126">
        <v>0</v>
      </c>
      <c r="R207" s="126">
        <v>0</v>
      </c>
      <c r="S207" s="126" t="str">
        <v/>
      </c>
      <c r="T207" s="139" t="str">
        <v/>
      </c>
      <c r="U207" s="25"/>
      <c r="V207"/>
      <c r="W207"/>
    </row>
    <row r="208" spans="1:23" ht="19.95" customHeight="1">
      <c r="A208" s="361"/>
      <c r="B208" s="145"/>
      <c r="C208" s="126"/>
      <c r="D208" s="126"/>
      <c r="E208" s="126"/>
      <c r="F208" s="126"/>
      <c r="G208" s="125"/>
      <c r="H208" s="126"/>
      <c r="I208" s="126"/>
      <c r="J208" s="127"/>
      <c r="K208" s="126"/>
      <c r="L208" s="126"/>
      <c r="M208" s="128"/>
      <c r="N208" s="126"/>
      <c r="O208" s="126"/>
      <c r="P208" s="128"/>
      <c r="Q208" s="126"/>
      <c r="R208" s="126"/>
      <c r="S208" s="126"/>
      <c r="T208" s="139"/>
      <c r="U208" s="25"/>
      <c r="V208"/>
      <c r="W208"/>
    </row>
    <row r="209" spans="1:23" ht="19.95" customHeight="1">
      <c r="A209" s="361"/>
      <c r="B209" s="145"/>
      <c r="C209" s="126"/>
      <c r="D209" s="126"/>
      <c r="E209" s="126"/>
      <c r="F209" s="126"/>
      <c r="G209" s="125"/>
      <c r="H209" s="126"/>
      <c r="I209" s="126"/>
      <c r="J209" s="127"/>
      <c r="K209" s="126"/>
      <c r="L209" s="126"/>
      <c r="M209" s="128"/>
      <c r="N209" s="126"/>
      <c r="O209" s="126"/>
      <c r="P209" s="128"/>
      <c r="Q209" s="126"/>
      <c r="R209" s="126"/>
      <c r="S209" s="126"/>
      <c r="T209" s="139"/>
      <c r="U209" s="25"/>
      <c r="V209"/>
      <c r="W209"/>
    </row>
    <row r="210" spans="1:23" ht="19.95" customHeight="1">
      <c r="A210" s="361"/>
      <c r="B210" s="145"/>
      <c r="C210" s="126"/>
      <c r="D210" s="126"/>
      <c r="E210" s="126"/>
      <c r="F210" s="126"/>
      <c r="G210" s="125"/>
      <c r="H210" s="126"/>
      <c r="I210" s="126"/>
      <c r="J210" s="127"/>
      <c r="K210" s="126"/>
      <c r="L210" s="126"/>
      <c r="M210" s="128"/>
      <c r="N210" s="126"/>
      <c r="O210" s="126"/>
      <c r="P210" s="128"/>
      <c r="Q210" s="126"/>
      <c r="R210" s="126"/>
      <c r="S210" s="126"/>
      <c r="T210" s="139"/>
      <c r="U210" s="25"/>
      <c r="V210"/>
      <c r="W210"/>
    </row>
    <row r="211" spans="1:23" ht="19.95" customHeight="1">
      <c r="A211" s="361"/>
      <c r="B211" s="145"/>
      <c r="C211" s="126"/>
      <c r="D211" s="126"/>
      <c r="E211" s="126"/>
      <c r="F211" s="126"/>
      <c r="G211" s="125"/>
      <c r="H211" s="126"/>
      <c r="I211" s="126"/>
      <c r="J211" s="127"/>
      <c r="K211" s="126"/>
      <c r="L211" s="126"/>
      <c r="M211" s="128"/>
      <c r="N211" s="126"/>
      <c r="O211" s="126"/>
      <c r="P211" s="128"/>
      <c r="Q211" s="126"/>
      <c r="R211" s="126"/>
      <c r="S211" s="126"/>
      <c r="T211" s="139"/>
      <c r="U211" s="25"/>
      <c r="V211"/>
      <c r="W211"/>
    </row>
    <row r="212" spans="1:23" ht="19.95" customHeight="1">
      <c r="A212" s="361"/>
      <c r="B212" s="145"/>
      <c r="C212" s="126"/>
      <c r="D212" s="126"/>
      <c r="E212" s="126"/>
      <c r="F212" s="126"/>
      <c r="G212" s="125"/>
      <c r="H212" s="126"/>
      <c r="I212" s="126"/>
      <c r="J212" s="127"/>
      <c r="K212" s="126"/>
      <c r="L212" s="126"/>
      <c r="M212" s="128"/>
      <c r="N212" s="126"/>
      <c r="O212" s="126"/>
      <c r="P212" s="128"/>
      <c r="Q212" s="126"/>
      <c r="R212" s="126"/>
      <c r="S212" s="126"/>
      <c r="T212" s="139"/>
      <c r="U212" s="25"/>
      <c r="V212"/>
      <c r="W212"/>
    </row>
    <row r="213" spans="1:23" ht="19.95" customHeight="1">
      <c r="A213" s="361"/>
      <c r="B213" s="145"/>
      <c r="C213" s="126"/>
      <c r="D213" s="126"/>
      <c r="E213" s="126"/>
      <c r="F213" s="126"/>
      <c r="G213" s="125"/>
      <c r="H213" s="126"/>
      <c r="I213" s="126"/>
      <c r="J213" s="127"/>
      <c r="K213" s="126"/>
      <c r="L213" s="126"/>
      <c r="M213" s="128"/>
      <c r="N213" s="126"/>
      <c r="O213" s="126"/>
      <c r="P213" s="128"/>
      <c r="Q213" s="126"/>
      <c r="R213" s="126"/>
      <c r="S213" s="126"/>
      <c r="T213" s="139"/>
      <c r="U213" s="25"/>
      <c r="V213"/>
      <c r="W213"/>
    </row>
    <row r="214" spans="1:23" ht="19.95" customHeight="1">
      <c r="A214" s="361"/>
      <c r="B214" s="145"/>
      <c r="C214" s="126"/>
      <c r="D214" s="126"/>
      <c r="E214" s="126"/>
      <c r="F214" s="126"/>
      <c r="G214" s="125"/>
      <c r="H214" s="126"/>
      <c r="I214" s="126"/>
      <c r="J214" s="127"/>
      <c r="K214" s="126"/>
      <c r="L214" s="126"/>
      <c r="M214" s="128"/>
      <c r="N214" s="126"/>
      <c r="O214" s="126"/>
      <c r="P214" s="128"/>
      <c r="Q214" s="126"/>
      <c r="R214" s="126"/>
      <c r="S214" s="126"/>
      <c r="T214" s="139"/>
      <c r="U214" s="25"/>
      <c r="V214"/>
      <c r="W214"/>
    </row>
    <row r="215" spans="1:23" ht="19.95" customHeight="1">
      <c r="A215" s="361"/>
      <c r="B215" s="145"/>
      <c r="C215" s="126"/>
      <c r="D215" s="126"/>
      <c r="E215" s="126"/>
      <c r="F215" s="126"/>
      <c r="G215" s="125"/>
      <c r="H215" s="126"/>
      <c r="I215" s="126"/>
      <c r="J215" s="127"/>
      <c r="K215" s="126"/>
      <c r="L215" s="126"/>
      <c r="M215" s="128"/>
      <c r="N215" s="126"/>
      <c r="O215" s="126"/>
      <c r="P215" s="128"/>
      <c r="Q215" s="126"/>
      <c r="R215" s="126"/>
      <c r="S215" s="126"/>
      <c r="T215" s="139"/>
      <c r="U215" s="25"/>
      <c r="V215"/>
      <c r="W215"/>
    </row>
    <row r="216" spans="1:23" ht="19.95" customHeight="1">
      <c r="A216" s="361"/>
      <c r="B216" s="145"/>
      <c r="C216" s="126"/>
      <c r="D216" s="126"/>
      <c r="E216" s="126"/>
      <c r="F216" s="126"/>
      <c r="G216" s="125"/>
      <c r="H216" s="126"/>
      <c r="I216" s="126"/>
      <c r="J216" s="127"/>
      <c r="K216" s="126"/>
      <c r="L216" s="126"/>
      <c r="M216" s="128"/>
      <c r="N216" s="126"/>
      <c r="O216" s="126"/>
      <c r="P216" s="128"/>
      <c r="Q216" s="126"/>
      <c r="R216" s="126"/>
      <c r="S216" s="126"/>
      <c r="T216" s="139"/>
      <c r="U216" s="25"/>
      <c r="V216"/>
      <c r="W216"/>
    </row>
    <row r="217" spans="1:23" ht="19.95" customHeight="1" thickBot="1">
      <c r="A217" s="362"/>
      <c r="B217" s="146"/>
      <c r="C217" s="140"/>
      <c r="D217" s="140"/>
      <c r="E217" s="140"/>
      <c r="F217" s="140"/>
      <c r="G217" s="141"/>
      <c r="H217" s="140"/>
      <c r="I217" s="140"/>
      <c r="J217" s="142"/>
      <c r="K217" s="140"/>
      <c r="L217" s="140"/>
      <c r="M217" s="143"/>
      <c r="N217" s="140"/>
      <c r="O217" s="140"/>
      <c r="P217" s="143"/>
      <c r="Q217" s="140"/>
      <c r="R217" s="140"/>
      <c r="S217" s="140"/>
      <c r="T217" s="144"/>
      <c r="U217" s="25"/>
      <c r="V217"/>
      <c r="W217"/>
    </row>
    <row r="218" spans="1:23" ht="19.95" customHeight="1">
      <c r="A218" s="360" t="str">
        <f>'Read Me First'!C12</f>
        <v>Woking AC</v>
      </c>
      <c r="B218" s="133" cm="1">
        <f t="array" ref="B218:T227">_xlfn.LET(_xlpm.x, _xlfn._xlws.SORT(_xlfn._xlws.FILTER(Data!$A$33:$S$212,(Data!$C$33:$C$212=$A218)*(Data!$D$33:$D$212=$E$196)*(Data!$E$33:$E$212="U10")),18),_xlpm.y,_xlfn._xlws.SORT(_xlfn._xlws.FILTER(Data!$A$33:$S$212,(Data!$C$33:$C$212=$A218)*(Data!$D$33:$D$212=$E$196)*(Data!$E$33:$E$212="U12")),19), IFERROR(_xlfn.VSTACK(_xlpm.x,_xlpm.y), IFERROR(_xlpm.y,IFERROR(_xlpm.x, ""))))</f>
        <v>33</v>
      </c>
      <c r="C218" s="134" t="str">
        <v>WILLIAM PEARCE</v>
      </c>
      <c r="D218" s="134" t="str">
        <v>Woking AC</v>
      </c>
      <c r="E218" s="134" t="str">
        <v>BOYS</v>
      </c>
      <c r="F218" s="134" t="str">
        <v>U12</v>
      </c>
      <c r="G218" s="135">
        <v>11.2</v>
      </c>
      <c r="H218" s="134">
        <v>58</v>
      </c>
      <c r="I218" s="134" t="str">
        <v>PB9</v>
      </c>
      <c r="J218" s="136">
        <v>1.2893518518518519E-3</v>
      </c>
      <c r="K218" s="134">
        <v>78</v>
      </c>
      <c r="L218" s="134" t="str">
        <v>PB7</v>
      </c>
      <c r="M218" s="137">
        <v>3.79</v>
      </c>
      <c r="N218" s="134">
        <v>63</v>
      </c>
      <c r="O218" s="134" t="str">
        <v>PB8</v>
      </c>
      <c r="P218" s="137">
        <v>45.44</v>
      </c>
      <c r="Q218" s="134">
        <v>90</v>
      </c>
      <c r="R218" s="134">
        <v>289</v>
      </c>
      <c r="S218" s="134">
        <v>1</v>
      </c>
      <c r="T218" s="138">
        <v>1</v>
      </c>
      <c r="U218" s="25"/>
      <c r="V218"/>
      <c r="W218"/>
    </row>
    <row r="219" spans="1:23" ht="19.95" customHeight="1">
      <c r="A219" s="361"/>
      <c r="B219" s="145">
        <v>40</v>
      </c>
      <c r="C219" s="126" t="str">
        <v>OWEN BRAYBOOKE</v>
      </c>
      <c r="D219" s="126" t="str">
        <v>Woking AC</v>
      </c>
      <c r="E219" s="126" t="str">
        <v>BOYS</v>
      </c>
      <c r="F219" s="126" t="str">
        <v>U12</v>
      </c>
      <c r="G219" s="125">
        <v>11.1</v>
      </c>
      <c r="H219" s="126">
        <v>59</v>
      </c>
      <c r="I219" s="126" t="str">
        <v>PB9</v>
      </c>
      <c r="J219" s="127">
        <v>1.6226851851851851E-3</v>
      </c>
      <c r="K219" s="126">
        <v>49</v>
      </c>
      <c r="L219" s="126" t="str">
        <v>PB1</v>
      </c>
      <c r="M219" s="128">
        <v>4.07</v>
      </c>
      <c r="N219" s="126">
        <v>72</v>
      </c>
      <c r="O219" s="126" t="str">
        <v>PB9</v>
      </c>
      <c r="P219" s="128">
        <v>38.74</v>
      </c>
      <c r="Q219" s="126">
        <v>77</v>
      </c>
      <c r="R219" s="126">
        <v>257</v>
      </c>
      <c r="S219" s="126">
        <v>2</v>
      </c>
      <c r="T219" s="139">
        <v>4</v>
      </c>
      <c r="U219" s="25"/>
      <c r="V219"/>
      <c r="W219"/>
    </row>
    <row r="220" spans="1:23" ht="19.95" customHeight="1">
      <c r="A220" s="361"/>
      <c r="B220" s="145">
        <v>36</v>
      </c>
      <c r="C220" s="126" t="str">
        <v>KAI TEGG</v>
      </c>
      <c r="D220" s="126" t="str">
        <v>Woking AC</v>
      </c>
      <c r="E220" s="126" t="str">
        <v>BOYS</v>
      </c>
      <c r="F220" s="126" t="str">
        <v>U12</v>
      </c>
      <c r="G220" s="125">
        <v>11.6</v>
      </c>
      <c r="H220" s="126">
        <v>54</v>
      </c>
      <c r="I220" s="126" t="str">
        <v>PB8</v>
      </c>
      <c r="J220" s="127">
        <v>1.2824074074074075E-3</v>
      </c>
      <c r="K220" s="126">
        <v>79</v>
      </c>
      <c r="L220" s="126" t="str">
        <v>PB7</v>
      </c>
      <c r="M220" s="128">
        <v>3.75</v>
      </c>
      <c r="N220" s="126">
        <v>61</v>
      </c>
      <c r="O220" s="126" t="str">
        <v>PB8</v>
      </c>
      <c r="P220" s="128">
        <v>31.26</v>
      </c>
      <c r="Q220" s="126">
        <v>62</v>
      </c>
      <c r="R220" s="126">
        <v>256</v>
      </c>
      <c r="S220" s="126">
        <v>3</v>
      </c>
      <c r="T220" s="139">
        <v>5</v>
      </c>
      <c r="U220" s="25"/>
      <c r="V220"/>
      <c r="W220"/>
    </row>
    <row r="221" spans="1:23" ht="19.95" customHeight="1">
      <c r="A221" s="361"/>
      <c r="B221" s="145">
        <v>34</v>
      </c>
      <c r="C221" s="126" t="str">
        <v>LOUIS MASON</v>
      </c>
      <c r="D221" s="126" t="str">
        <v>Woking AC</v>
      </c>
      <c r="E221" s="126" t="str">
        <v>BOYS</v>
      </c>
      <c r="F221" s="126" t="str">
        <v>U12</v>
      </c>
      <c r="G221" s="125">
        <v>11.6</v>
      </c>
      <c r="H221" s="126">
        <v>54</v>
      </c>
      <c r="I221" s="126" t="str">
        <v>PB8</v>
      </c>
      <c r="J221" s="127">
        <v>1.3888888888888889E-3</v>
      </c>
      <c r="K221" s="126">
        <v>70</v>
      </c>
      <c r="L221" s="126" t="str">
        <v>PB5</v>
      </c>
      <c r="M221" s="128">
        <v>3.3</v>
      </c>
      <c r="N221" s="126">
        <v>46</v>
      </c>
      <c r="O221" s="126" t="str">
        <v>PB6</v>
      </c>
      <c r="P221" s="128">
        <v>32.17</v>
      </c>
      <c r="Q221" s="126">
        <v>64</v>
      </c>
      <c r="R221" s="126">
        <v>234</v>
      </c>
      <c r="S221" s="126">
        <v>4</v>
      </c>
      <c r="T221" s="139">
        <v>9</v>
      </c>
      <c r="U221" s="19"/>
      <c r="V221"/>
      <c r="W221"/>
    </row>
    <row r="222" spans="1:23" ht="19.95" customHeight="1">
      <c r="A222" s="361"/>
      <c r="B222" s="145">
        <v>39</v>
      </c>
      <c r="C222" s="126" t="str">
        <v>FREDDIE SMITH</v>
      </c>
      <c r="D222" s="126" t="str">
        <v>Woking AC</v>
      </c>
      <c r="E222" s="126" t="str">
        <v>BOYS</v>
      </c>
      <c r="F222" s="126" t="str">
        <v>U12</v>
      </c>
      <c r="G222" s="125">
        <v>11.8</v>
      </c>
      <c r="H222" s="126">
        <v>52</v>
      </c>
      <c r="I222" s="126" t="str">
        <v>PB7</v>
      </c>
      <c r="J222" s="127">
        <v>1.7083333333333332E-3</v>
      </c>
      <c r="K222" s="126">
        <v>42</v>
      </c>
      <c r="L222" s="126" t="str">
        <v>PB1</v>
      </c>
      <c r="M222" s="128">
        <v>3.67</v>
      </c>
      <c r="N222" s="126">
        <v>59</v>
      </c>
      <c r="O222" s="126" t="str">
        <v>PB7</v>
      </c>
      <c r="P222" s="128">
        <v>32.340000000000003</v>
      </c>
      <c r="Q222" s="126">
        <v>64</v>
      </c>
      <c r="R222" s="126">
        <v>217</v>
      </c>
      <c r="S222" s="126">
        <v>5</v>
      </c>
      <c r="T222" s="139">
        <v>14</v>
      </c>
      <c r="U222" s="19"/>
      <c r="V222"/>
      <c r="W222"/>
    </row>
    <row r="223" spans="1:23" ht="19.95" customHeight="1">
      <c r="A223" s="361"/>
      <c r="B223" s="145">
        <v>35</v>
      </c>
      <c r="C223" s="126" t="str">
        <v>MATTHIAS DE PAULA DENS</v>
      </c>
      <c r="D223" s="126" t="str">
        <v>Woking AC</v>
      </c>
      <c r="E223" s="126" t="str">
        <v>BOYS</v>
      </c>
      <c r="F223" s="126" t="str">
        <v>U12</v>
      </c>
      <c r="G223" s="125">
        <v>11</v>
      </c>
      <c r="H223" s="126">
        <v>60</v>
      </c>
      <c r="I223" s="126" t="str">
        <v>PB9</v>
      </c>
      <c r="J223" s="127">
        <v>1.4409722222222222E-3</v>
      </c>
      <c r="K223" s="126">
        <v>65</v>
      </c>
      <c r="L223" s="126" t="str">
        <v>PB4</v>
      </c>
      <c r="M223" s="128">
        <v>3.08</v>
      </c>
      <c r="N223" s="126">
        <v>39</v>
      </c>
      <c r="O223" s="126" t="str">
        <v>PB5</v>
      </c>
      <c r="P223" s="128">
        <v>24.79</v>
      </c>
      <c r="Q223" s="126">
        <v>49</v>
      </c>
      <c r="R223" s="126">
        <v>213</v>
      </c>
      <c r="S223" s="126">
        <v>6</v>
      </c>
      <c r="T223" s="139">
        <v>16</v>
      </c>
      <c r="U223" s="19"/>
      <c r="V223"/>
      <c r="W223"/>
    </row>
    <row r="224" spans="1:23" ht="19.95" customHeight="1">
      <c r="A224" s="361"/>
      <c r="B224" s="145">
        <v>31</v>
      </c>
      <c r="C224" s="126" t="str">
        <v>OLI THOMPSON</v>
      </c>
      <c r="D224" s="126" t="str">
        <v>Woking AC</v>
      </c>
      <c r="E224" s="126" t="str">
        <v>BOYS</v>
      </c>
      <c r="F224" s="126" t="str">
        <v>U12</v>
      </c>
      <c r="G224" s="125">
        <v>12.8</v>
      </c>
      <c r="H224" s="126">
        <v>42</v>
      </c>
      <c r="I224" s="126" t="str">
        <v>PB5</v>
      </c>
      <c r="J224" s="127">
        <v>1.4074074074074073E-3</v>
      </c>
      <c r="K224" s="126">
        <v>68</v>
      </c>
      <c r="L224" s="126" t="str">
        <v>PB4</v>
      </c>
      <c r="M224" s="128">
        <v>3.06</v>
      </c>
      <c r="N224" s="126">
        <v>38</v>
      </c>
      <c r="O224" s="126" t="str">
        <v>PB5</v>
      </c>
      <c r="P224" s="128">
        <v>30.85</v>
      </c>
      <c r="Q224" s="126">
        <v>61</v>
      </c>
      <c r="R224" s="126">
        <v>209</v>
      </c>
      <c r="S224" s="126">
        <v>7</v>
      </c>
      <c r="T224" s="139">
        <v>18</v>
      </c>
      <c r="U224" s="19"/>
      <c r="V224"/>
      <c r="W224"/>
    </row>
    <row r="225" spans="1:23" ht="19.95" customHeight="1">
      <c r="A225" s="361"/>
      <c r="B225" s="145">
        <v>38</v>
      </c>
      <c r="C225" s="126" t="str">
        <v>MATTHEW LEWIS</v>
      </c>
      <c r="D225" s="126" t="str">
        <v>Woking AC</v>
      </c>
      <c r="E225" s="126" t="str">
        <v>BOYS</v>
      </c>
      <c r="F225" s="126" t="str">
        <v>U12</v>
      </c>
      <c r="G225" s="125">
        <v>12.9</v>
      </c>
      <c r="H225" s="126">
        <v>41</v>
      </c>
      <c r="I225" s="126" t="str">
        <v>PB5</v>
      </c>
      <c r="J225" s="127">
        <v>1.4826388888888888E-3</v>
      </c>
      <c r="K225" s="126">
        <v>61</v>
      </c>
      <c r="L225" s="126" t="str">
        <v>PB3</v>
      </c>
      <c r="M225" s="128">
        <v>3.07</v>
      </c>
      <c r="N225" s="126">
        <v>39</v>
      </c>
      <c r="O225" s="126" t="str">
        <v>PB5</v>
      </c>
      <c r="P225" s="128">
        <v>31.88</v>
      </c>
      <c r="Q225" s="126">
        <v>63</v>
      </c>
      <c r="R225" s="126">
        <v>204</v>
      </c>
      <c r="S225" s="126">
        <v>8</v>
      </c>
      <c r="T225" s="139">
        <v>22</v>
      </c>
      <c r="U225" s="19"/>
      <c r="V225"/>
      <c r="W225"/>
    </row>
    <row r="226" spans="1:23" ht="19.95" customHeight="1">
      <c r="A226" s="361"/>
      <c r="B226" s="145">
        <v>32</v>
      </c>
      <c r="C226" s="126" t="str">
        <v>ISAAC HUTCHISON</v>
      </c>
      <c r="D226" s="126" t="str">
        <v>Woking AC</v>
      </c>
      <c r="E226" s="126" t="str">
        <v>BOYS</v>
      </c>
      <c r="F226" s="126" t="str">
        <v>U12</v>
      </c>
      <c r="G226" s="125">
        <v>11.8</v>
      </c>
      <c r="H226" s="126">
        <v>52</v>
      </c>
      <c r="I226" s="126" t="str">
        <v>PB7</v>
      </c>
      <c r="J226" s="127">
        <v>1.5312500000000001E-3</v>
      </c>
      <c r="K226" s="126">
        <v>57</v>
      </c>
      <c r="L226" s="126" t="str">
        <v>PB2</v>
      </c>
      <c r="M226" s="128">
        <v>3.01</v>
      </c>
      <c r="N226" s="126">
        <v>37</v>
      </c>
      <c r="O226" s="126" t="str">
        <v>PB5</v>
      </c>
      <c r="P226" s="128">
        <v>22.53</v>
      </c>
      <c r="Q226" s="126">
        <v>45</v>
      </c>
      <c r="R226" s="126">
        <v>191</v>
      </c>
      <c r="S226" s="126">
        <v>9</v>
      </c>
      <c r="T226" s="139">
        <v>26</v>
      </c>
      <c r="U226" s="25"/>
      <c r="V226"/>
      <c r="W226"/>
    </row>
    <row r="227" spans="1:23" ht="19.95" customHeight="1">
      <c r="A227" s="361"/>
      <c r="B227" s="145">
        <v>37</v>
      </c>
      <c r="C227" s="126" t="str">
        <v>ADAM PRICE</v>
      </c>
      <c r="D227" s="126" t="str">
        <v>Woking AC</v>
      </c>
      <c r="E227" s="126" t="str">
        <v>BOYS</v>
      </c>
      <c r="F227" s="126" t="str">
        <v>U12</v>
      </c>
      <c r="G227" s="125">
        <v>12.2</v>
      </c>
      <c r="H227" s="126">
        <v>48</v>
      </c>
      <c r="I227" s="126" t="str">
        <v>PB6</v>
      </c>
      <c r="J227" s="127">
        <v>1.5578703703703703E-3</v>
      </c>
      <c r="K227" s="126">
        <v>55</v>
      </c>
      <c r="L227" s="126" t="str">
        <v>PB2</v>
      </c>
      <c r="M227" s="128">
        <v>1.52</v>
      </c>
      <c r="N227" s="126">
        <v>10</v>
      </c>
      <c r="O227" s="126" t="str">
        <v/>
      </c>
      <c r="P227" s="128">
        <v>23.06</v>
      </c>
      <c r="Q227" s="126">
        <v>46</v>
      </c>
      <c r="R227" s="126">
        <v>159</v>
      </c>
      <c r="S227" s="126">
        <v>10</v>
      </c>
      <c r="T227" s="139">
        <v>38</v>
      </c>
      <c r="U227" s="25"/>
      <c r="V227"/>
      <c r="W227"/>
    </row>
    <row r="228" spans="1:23" ht="19.95" customHeight="1">
      <c r="A228" s="361"/>
      <c r="B228" s="145"/>
      <c r="C228" s="126"/>
      <c r="D228" s="126"/>
      <c r="E228" s="126"/>
      <c r="F228" s="126"/>
      <c r="G228" s="125"/>
      <c r="H228" s="126"/>
      <c r="I228" s="126"/>
      <c r="J228" s="127"/>
      <c r="K228" s="126"/>
      <c r="L228" s="126"/>
      <c r="M228" s="128"/>
      <c r="N228" s="126"/>
      <c r="O228" s="126"/>
      <c r="P228" s="128"/>
      <c r="Q228" s="126"/>
      <c r="R228" s="126"/>
      <c r="S228" s="126"/>
      <c r="T228" s="139"/>
      <c r="U228" s="25"/>
      <c r="V228"/>
      <c r="W228"/>
    </row>
    <row r="229" spans="1:23" ht="19.95" customHeight="1">
      <c r="A229" s="361"/>
      <c r="B229" s="145"/>
      <c r="C229" s="126"/>
      <c r="D229" s="126"/>
      <c r="E229" s="126"/>
      <c r="F229" s="126"/>
      <c r="G229" s="125"/>
      <c r="H229" s="126"/>
      <c r="I229" s="126"/>
      <c r="J229" s="127"/>
      <c r="K229" s="126"/>
      <c r="L229" s="126"/>
      <c r="M229" s="128"/>
      <c r="N229" s="126"/>
      <c r="O229" s="126"/>
      <c r="P229" s="128"/>
      <c r="Q229" s="126"/>
      <c r="R229" s="126"/>
      <c r="S229" s="126"/>
      <c r="T229" s="139"/>
      <c r="U229" s="25"/>
      <c r="V229"/>
      <c r="W229"/>
    </row>
    <row r="230" spans="1:23" ht="19.95" customHeight="1">
      <c r="A230" s="361"/>
      <c r="B230" s="145"/>
      <c r="C230" s="126"/>
      <c r="D230" s="126"/>
      <c r="E230" s="126"/>
      <c r="F230" s="126"/>
      <c r="G230" s="125"/>
      <c r="H230" s="126"/>
      <c r="I230" s="126"/>
      <c r="J230" s="127"/>
      <c r="K230" s="126"/>
      <c r="L230" s="126"/>
      <c r="M230" s="128"/>
      <c r="N230" s="126"/>
      <c r="O230" s="126"/>
      <c r="P230" s="128"/>
      <c r="Q230" s="126"/>
      <c r="R230" s="126"/>
      <c r="S230" s="126"/>
      <c r="T230" s="139"/>
      <c r="U230" s="25"/>
      <c r="V230"/>
      <c r="W230"/>
    </row>
    <row r="231" spans="1:23" ht="19.95" customHeight="1">
      <c r="A231" s="361"/>
      <c r="B231" s="145"/>
      <c r="C231" s="126"/>
      <c r="D231" s="126"/>
      <c r="E231" s="126"/>
      <c r="F231" s="126"/>
      <c r="G231" s="125"/>
      <c r="H231" s="126"/>
      <c r="I231" s="126"/>
      <c r="J231" s="127"/>
      <c r="K231" s="126"/>
      <c r="L231" s="126"/>
      <c r="M231" s="128"/>
      <c r="N231" s="126"/>
      <c r="O231" s="126"/>
      <c r="P231" s="128"/>
      <c r="Q231" s="126"/>
      <c r="R231" s="126"/>
      <c r="S231" s="126"/>
      <c r="T231" s="139"/>
      <c r="U231" s="25"/>
      <c r="V231"/>
      <c r="W231"/>
    </row>
    <row r="232" spans="1:23" ht="19.95" customHeight="1">
      <c r="A232" s="361"/>
      <c r="B232" s="145"/>
      <c r="C232" s="126"/>
      <c r="D232" s="126"/>
      <c r="E232" s="126"/>
      <c r="F232" s="126"/>
      <c r="G232" s="125"/>
      <c r="H232" s="126"/>
      <c r="I232" s="126"/>
      <c r="J232" s="127"/>
      <c r="K232" s="126"/>
      <c r="L232" s="126"/>
      <c r="M232" s="128"/>
      <c r="N232" s="126"/>
      <c r="O232" s="126"/>
      <c r="P232" s="128"/>
      <c r="Q232" s="126"/>
      <c r="R232" s="126"/>
      <c r="S232" s="126"/>
      <c r="T232" s="139"/>
      <c r="U232" s="25"/>
      <c r="V232"/>
      <c r="W232"/>
    </row>
    <row r="233" spans="1:23" ht="19.95" customHeight="1">
      <c r="A233" s="361"/>
      <c r="B233" s="145"/>
      <c r="C233" s="126"/>
      <c r="D233" s="126"/>
      <c r="E233" s="126"/>
      <c r="F233" s="126"/>
      <c r="G233" s="125"/>
      <c r="H233" s="126"/>
      <c r="I233" s="126"/>
      <c r="J233" s="127"/>
      <c r="K233" s="126"/>
      <c r="L233" s="126"/>
      <c r="M233" s="128"/>
      <c r="N233" s="126"/>
      <c r="O233" s="126"/>
      <c r="P233" s="128"/>
      <c r="Q233" s="126"/>
      <c r="R233" s="126"/>
      <c r="S233" s="126"/>
      <c r="T233" s="139"/>
      <c r="U233" s="25"/>
      <c r="V233"/>
      <c r="W233"/>
    </row>
    <row r="234" spans="1:23" ht="19.95" customHeight="1">
      <c r="A234" s="361"/>
      <c r="B234" s="145"/>
      <c r="C234" s="126"/>
      <c r="D234" s="126"/>
      <c r="E234" s="126"/>
      <c r="F234" s="126"/>
      <c r="G234" s="125"/>
      <c r="H234" s="126"/>
      <c r="I234" s="126"/>
      <c r="J234" s="127"/>
      <c r="K234" s="126"/>
      <c r="L234" s="126"/>
      <c r="M234" s="128"/>
      <c r="N234" s="126"/>
      <c r="O234" s="126"/>
      <c r="P234" s="128"/>
      <c r="Q234" s="126"/>
      <c r="R234" s="126"/>
      <c r="S234" s="126"/>
      <c r="T234" s="139"/>
      <c r="U234" s="25"/>
      <c r="V234"/>
      <c r="W234"/>
    </row>
    <row r="235" spans="1:23" ht="19.95" customHeight="1">
      <c r="A235" s="361"/>
      <c r="B235" s="145"/>
      <c r="C235" s="126"/>
      <c r="D235" s="126"/>
      <c r="E235" s="126"/>
      <c r="F235" s="126"/>
      <c r="G235" s="125"/>
      <c r="H235" s="126"/>
      <c r="I235" s="126"/>
      <c r="J235" s="127"/>
      <c r="K235" s="126"/>
      <c r="L235" s="126"/>
      <c r="M235" s="128"/>
      <c r="N235" s="126"/>
      <c r="O235" s="126"/>
      <c r="P235" s="128"/>
      <c r="Q235" s="126"/>
      <c r="R235" s="126"/>
      <c r="S235" s="126"/>
      <c r="T235" s="139"/>
      <c r="U235" s="25"/>
      <c r="V235"/>
      <c r="W235"/>
    </row>
    <row r="236" spans="1:23" ht="19.95" customHeight="1">
      <c r="A236" s="361"/>
      <c r="B236" s="145"/>
      <c r="C236" s="126"/>
      <c r="D236" s="126"/>
      <c r="E236" s="126"/>
      <c r="F236" s="126"/>
      <c r="G236" s="125"/>
      <c r="H236" s="126"/>
      <c r="I236" s="126"/>
      <c r="J236" s="127"/>
      <c r="K236" s="126"/>
      <c r="L236" s="126"/>
      <c r="M236" s="128"/>
      <c r="N236" s="126"/>
      <c r="O236" s="126"/>
      <c r="P236" s="128"/>
      <c r="Q236" s="126"/>
      <c r="R236" s="126"/>
      <c r="S236" s="126"/>
      <c r="T236" s="139"/>
      <c r="U236" s="25"/>
      <c r="V236"/>
      <c r="W236"/>
    </row>
    <row r="237" spans="1:23" ht="19.95" customHeight="1" thickBot="1">
      <c r="A237" s="362"/>
      <c r="B237" s="146"/>
      <c r="C237" s="140"/>
      <c r="D237" s="140"/>
      <c r="E237" s="140"/>
      <c r="F237" s="140"/>
      <c r="G237" s="141"/>
      <c r="H237" s="140"/>
      <c r="I237" s="140"/>
      <c r="J237" s="142"/>
      <c r="K237" s="140"/>
      <c r="L237" s="140"/>
      <c r="M237" s="143"/>
      <c r="N237" s="140"/>
      <c r="O237" s="140"/>
      <c r="P237" s="143"/>
      <c r="Q237" s="140"/>
      <c r="R237" s="140"/>
      <c r="S237" s="140"/>
      <c r="T237" s="144"/>
      <c r="U237" s="25"/>
      <c r="V237"/>
      <c r="W237"/>
    </row>
    <row r="238" spans="1:23" ht="19.95" customHeight="1">
      <c r="A238" s="360" t="str">
        <f>'Read Me First'!C13</f>
        <v>Poole Runners</v>
      </c>
      <c r="B238" s="133" cm="1">
        <f t="array" ref="B238:T247">_xlfn.LET(_xlpm.x, _xlfn._xlws.SORT(_xlfn._xlws.FILTER(Data!$A$33:$S$212,(Data!$C$33:$C$212=$A238)*(Data!$D$33:$D$212=$E$196)*(Data!$E$33:$E$212="U10")),18),_xlpm.y,_xlfn._xlws.SORT(_xlfn._xlws.FILTER(Data!$A$33:$S$212,(Data!$C$33:$C$212=$A238)*(Data!$D$33:$D$212=$E$196)*(Data!$E$33:$E$212="U12")),19), IFERROR(_xlfn.VSTACK(_xlpm.x,_xlpm.y), IFERROR(_xlpm.y,IFERROR(_xlpm.x, ""))))</f>
        <v>56</v>
      </c>
      <c r="C238" s="134" t="str">
        <v>LEO AMEY</v>
      </c>
      <c r="D238" s="134" t="str">
        <v>Poole Runners</v>
      </c>
      <c r="E238" s="134" t="str">
        <v>BOYS</v>
      </c>
      <c r="F238" s="134" t="str">
        <v>U12</v>
      </c>
      <c r="G238" s="135">
        <v>12</v>
      </c>
      <c r="H238" s="134">
        <v>50</v>
      </c>
      <c r="I238" s="134" t="str">
        <v>PB7</v>
      </c>
      <c r="J238" s="136">
        <v>1.4872685185185186E-3</v>
      </c>
      <c r="K238" s="134">
        <v>61</v>
      </c>
      <c r="L238" s="134" t="str">
        <v>PB3</v>
      </c>
      <c r="M238" s="137">
        <v>3.37</v>
      </c>
      <c r="N238" s="134">
        <v>49</v>
      </c>
      <c r="O238" s="134" t="str">
        <v>PB6</v>
      </c>
      <c r="P238" s="137">
        <v>33.67</v>
      </c>
      <c r="Q238" s="134">
        <v>67</v>
      </c>
      <c r="R238" s="134">
        <v>227</v>
      </c>
      <c r="S238" s="134">
        <v>1</v>
      </c>
      <c r="T238" s="138">
        <v>10</v>
      </c>
      <c r="U238" s="25"/>
      <c r="V238"/>
      <c r="W238"/>
    </row>
    <row r="239" spans="1:23" ht="19.95" customHeight="1">
      <c r="A239" s="361"/>
      <c r="B239" s="145">
        <v>51</v>
      </c>
      <c r="C239" s="126" t="str">
        <v>OSCAR CARTWRIGHT</v>
      </c>
      <c r="D239" s="126" t="str">
        <v>Poole Runners</v>
      </c>
      <c r="E239" s="126" t="str">
        <v>BOYS</v>
      </c>
      <c r="F239" s="126" t="str">
        <v>U12</v>
      </c>
      <c r="G239" s="125">
        <v>11.6</v>
      </c>
      <c r="H239" s="126">
        <v>54</v>
      </c>
      <c r="I239" s="126" t="str">
        <v>PB8</v>
      </c>
      <c r="J239" s="127">
        <v>1.4386574074074074E-3</v>
      </c>
      <c r="K239" s="126">
        <v>65</v>
      </c>
      <c r="L239" s="126" t="str">
        <v>PB4</v>
      </c>
      <c r="M239" s="128">
        <v>3.38</v>
      </c>
      <c r="N239" s="126">
        <v>49</v>
      </c>
      <c r="O239" s="126" t="str">
        <v>PB6</v>
      </c>
      <c r="P239" s="128">
        <v>28.67</v>
      </c>
      <c r="Q239" s="126">
        <v>57</v>
      </c>
      <c r="R239" s="126">
        <v>225</v>
      </c>
      <c r="S239" s="126">
        <v>2</v>
      </c>
      <c r="T239" s="139">
        <v>11</v>
      </c>
      <c r="U239" s="25"/>
      <c r="V239"/>
      <c r="W239"/>
    </row>
    <row r="240" spans="1:23" ht="19.95" customHeight="1">
      <c r="A240" s="361"/>
      <c r="B240" s="145">
        <v>58</v>
      </c>
      <c r="C240" s="126" t="str">
        <v>FINLAY KENYON</v>
      </c>
      <c r="D240" s="126" t="str">
        <v>Poole Runners</v>
      </c>
      <c r="E240" s="126" t="str">
        <v>BOYS</v>
      </c>
      <c r="F240" s="126" t="str">
        <v>U12</v>
      </c>
      <c r="G240" s="125">
        <v>12</v>
      </c>
      <c r="H240" s="126">
        <v>50</v>
      </c>
      <c r="I240" s="126" t="str">
        <v>PB7</v>
      </c>
      <c r="J240" s="127">
        <v>1.3541666666666667E-3</v>
      </c>
      <c r="K240" s="126">
        <v>73</v>
      </c>
      <c r="L240" s="126" t="str">
        <v>PB5</v>
      </c>
      <c r="M240" s="128">
        <v>3.33</v>
      </c>
      <c r="N240" s="126">
        <v>47</v>
      </c>
      <c r="O240" s="126" t="str">
        <v>PB6</v>
      </c>
      <c r="P240" s="128">
        <v>21.39</v>
      </c>
      <c r="Q240" s="126">
        <v>42</v>
      </c>
      <c r="R240" s="126">
        <v>212</v>
      </c>
      <c r="S240" s="126">
        <v>3</v>
      </c>
      <c r="T240" s="139">
        <v>17</v>
      </c>
      <c r="U240" s="25"/>
      <c r="V240"/>
      <c r="W240"/>
    </row>
    <row r="241" spans="1:23" ht="19.95" customHeight="1">
      <c r="A241" s="361"/>
      <c r="B241" s="145">
        <v>54</v>
      </c>
      <c r="C241" s="126" t="str">
        <v>FERGUS STANNING</v>
      </c>
      <c r="D241" s="126" t="str">
        <v>Poole Runners</v>
      </c>
      <c r="E241" s="126" t="str">
        <v>BOYS</v>
      </c>
      <c r="F241" s="126" t="str">
        <v>U12</v>
      </c>
      <c r="G241" s="125">
        <v>13</v>
      </c>
      <c r="H241" s="126">
        <v>40</v>
      </c>
      <c r="I241" s="126" t="str">
        <v>PB5</v>
      </c>
      <c r="J241" s="127">
        <v>1.4803240740740742E-3</v>
      </c>
      <c r="K241" s="126">
        <v>62</v>
      </c>
      <c r="L241" s="126" t="str">
        <v>PB3</v>
      </c>
      <c r="M241" s="128">
        <v>3.09</v>
      </c>
      <c r="N241" s="126">
        <v>39</v>
      </c>
      <c r="O241" s="126" t="str">
        <v>PB5</v>
      </c>
      <c r="P241" s="128">
        <v>25.15</v>
      </c>
      <c r="Q241" s="126">
        <v>50</v>
      </c>
      <c r="R241" s="126">
        <v>191</v>
      </c>
      <c r="S241" s="126">
        <v>4</v>
      </c>
      <c r="T241" s="139">
        <v>26</v>
      </c>
      <c r="U241" s="25"/>
      <c r="V241"/>
      <c r="W241"/>
    </row>
    <row r="242" spans="1:23" ht="19.95" customHeight="1">
      <c r="A242" s="361"/>
      <c r="B242" s="145">
        <v>55</v>
      </c>
      <c r="C242" s="126" t="str">
        <v>BERTIE LEIGH</v>
      </c>
      <c r="D242" s="126" t="str">
        <v>Poole Runners</v>
      </c>
      <c r="E242" s="126" t="str">
        <v>BOYS</v>
      </c>
      <c r="F242" s="126" t="str">
        <v>U12</v>
      </c>
      <c r="G242" s="125">
        <v>13.1</v>
      </c>
      <c r="H242" s="126">
        <v>39</v>
      </c>
      <c r="I242" s="126" t="str">
        <v>PB4</v>
      </c>
      <c r="J242" s="127">
        <v>1.5729166666666667E-3</v>
      </c>
      <c r="K242" s="126">
        <v>54</v>
      </c>
      <c r="L242" s="126" t="str">
        <v>PB2</v>
      </c>
      <c r="M242" s="128">
        <v>3.13</v>
      </c>
      <c r="N242" s="126">
        <v>41</v>
      </c>
      <c r="O242" s="126" t="str">
        <v>PB5</v>
      </c>
      <c r="P242" s="128">
        <v>24.11</v>
      </c>
      <c r="Q242" s="126">
        <v>48</v>
      </c>
      <c r="R242" s="126">
        <v>182</v>
      </c>
      <c r="S242" s="126">
        <v>5</v>
      </c>
      <c r="T242" s="139">
        <v>30</v>
      </c>
      <c r="U242" s="25"/>
      <c r="V242"/>
      <c r="W242"/>
    </row>
    <row r="243" spans="1:23" ht="19.95" customHeight="1">
      <c r="A243" s="361"/>
      <c r="B243" s="145">
        <v>53</v>
      </c>
      <c r="C243" s="126" t="str">
        <v>OAKLEY SHEAN-STEVENS</v>
      </c>
      <c r="D243" s="126" t="str">
        <v>Poole Runners</v>
      </c>
      <c r="E243" s="126" t="str">
        <v>BOYS</v>
      </c>
      <c r="F243" s="126" t="str">
        <v>U12</v>
      </c>
      <c r="G243" s="125">
        <v>12.8</v>
      </c>
      <c r="H243" s="126">
        <v>42</v>
      </c>
      <c r="I243" s="126" t="str">
        <v>PB5</v>
      </c>
      <c r="J243" s="127">
        <v>1.646990740740741E-3</v>
      </c>
      <c r="K243" s="126">
        <v>47</v>
      </c>
      <c r="L243" s="126" t="str">
        <v>PB1</v>
      </c>
      <c r="M243" s="128">
        <v>3.27</v>
      </c>
      <c r="N243" s="126">
        <v>45</v>
      </c>
      <c r="O243" s="126" t="str">
        <v>PB6</v>
      </c>
      <c r="P243" s="128">
        <v>20.63</v>
      </c>
      <c r="Q243" s="126">
        <v>41</v>
      </c>
      <c r="R243" s="126">
        <v>175</v>
      </c>
      <c r="S243" s="126">
        <v>6</v>
      </c>
      <c r="T243" s="139">
        <v>32</v>
      </c>
      <c r="U243" s="25"/>
      <c r="V243"/>
      <c r="W243"/>
    </row>
    <row r="244" spans="1:23" ht="19.95" customHeight="1">
      <c r="A244" s="361"/>
      <c r="B244" s="145">
        <v>57</v>
      </c>
      <c r="C244" s="126" t="str">
        <v>SAM SUCKLING</v>
      </c>
      <c r="D244" s="126" t="str">
        <v>Poole Runners</v>
      </c>
      <c r="E244" s="126" t="str">
        <v>BOYS</v>
      </c>
      <c r="F244" s="126" t="str">
        <v>U12</v>
      </c>
      <c r="G244" s="125">
        <v>13.1</v>
      </c>
      <c r="H244" s="126">
        <v>39</v>
      </c>
      <c r="I244" s="126" t="str">
        <v>PB4</v>
      </c>
      <c r="J244" s="127">
        <v>1.5671296296296297E-3</v>
      </c>
      <c r="K244" s="126">
        <v>54</v>
      </c>
      <c r="L244" s="126" t="str">
        <v>PB2</v>
      </c>
      <c r="M244" s="128">
        <v>2.3199999999999998</v>
      </c>
      <c r="N244" s="126">
        <v>14</v>
      </c>
      <c r="O244" s="126" t="str">
        <v>PB2</v>
      </c>
      <c r="P244" s="128">
        <v>18.059999999999999</v>
      </c>
      <c r="Q244" s="126">
        <v>36</v>
      </c>
      <c r="R244" s="126">
        <v>143</v>
      </c>
      <c r="S244" s="126">
        <v>7</v>
      </c>
      <c r="T244" s="139">
        <v>41</v>
      </c>
      <c r="U244" s="25"/>
      <c r="V244"/>
      <c r="W244"/>
    </row>
    <row r="245" spans="1:23" ht="19.95" customHeight="1">
      <c r="A245" s="361"/>
      <c r="B245" s="145">
        <v>52</v>
      </c>
      <c r="C245" s="126" t="str">
        <v>MARLOWE PEACH</v>
      </c>
      <c r="D245" s="126" t="str">
        <v>Poole Runners</v>
      </c>
      <c r="E245" s="126" t="str">
        <v>BOYS</v>
      </c>
      <c r="F245" s="126" t="str">
        <v>U12</v>
      </c>
      <c r="G245" s="125">
        <v>13.1</v>
      </c>
      <c r="H245" s="126">
        <v>39</v>
      </c>
      <c r="I245" s="126" t="str">
        <v>PB4</v>
      </c>
      <c r="J245" s="127">
        <v>1.965277777777778E-3</v>
      </c>
      <c r="K245" s="126">
        <v>20</v>
      </c>
      <c r="L245" s="126" t="str">
        <v/>
      </c>
      <c r="M245" s="128">
        <v>2.36</v>
      </c>
      <c r="N245" s="126">
        <v>15</v>
      </c>
      <c r="O245" s="126" t="str">
        <v>PB2</v>
      </c>
      <c r="P245" s="128">
        <v>11.36</v>
      </c>
      <c r="Q245" s="126">
        <v>22</v>
      </c>
      <c r="R245" s="126">
        <v>96</v>
      </c>
      <c r="S245" s="126">
        <v>8</v>
      </c>
      <c r="T245" s="139">
        <v>45</v>
      </c>
      <c r="U245" s="25"/>
      <c r="V245"/>
      <c r="W245"/>
    </row>
    <row r="246" spans="1:23" ht="19.95" customHeight="1">
      <c r="A246" s="361"/>
      <c r="B246" s="145">
        <v>59</v>
      </c>
      <c r="C246" s="126" t="str">
        <v/>
      </c>
      <c r="D246" s="126" t="str">
        <v>Poole Runners</v>
      </c>
      <c r="E246" s="126" t="str">
        <v>BOYS</v>
      </c>
      <c r="F246" s="126" t="str">
        <v>U12</v>
      </c>
      <c r="G246" s="125" t="str">
        <v/>
      </c>
      <c r="H246" s="126">
        <v>0</v>
      </c>
      <c r="I246" s="126" t="str">
        <v/>
      </c>
      <c r="J246" s="127">
        <v>0</v>
      </c>
      <c r="K246" s="126">
        <v>0</v>
      </c>
      <c r="L246" s="126" t="str">
        <v/>
      </c>
      <c r="M246" s="128" t="str">
        <v/>
      </c>
      <c r="N246" s="126">
        <v>0</v>
      </c>
      <c r="O246" s="126">
        <v>0</v>
      </c>
      <c r="P246" s="128" t="str">
        <v/>
      </c>
      <c r="Q246" s="126">
        <v>0</v>
      </c>
      <c r="R246" s="126">
        <v>0</v>
      </c>
      <c r="S246" s="126" t="str">
        <v/>
      </c>
      <c r="T246" s="139" t="str">
        <v/>
      </c>
      <c r="U246" s="19"/>
      <c r="V246"/>
      <c r="W246"/>
    </row>
    <row r="247" spans="1:23" ht="19.95" customHeight="1">
      <c r="A247" s="361"/>
      <c r="B247" s="145">
        <v>60</v>
      </c>
      <c r="C247" s="126" t="str">
        <v/>
      </c>
      <c r="D247" s="126" t="str">
        <v>Poole Runners</v>
      </c>
      <c r="E247" s="126" t="str">
        <v>BOYS</v>
      </c>
      <c r="F247" s="126" t="str">
        <v>U12</v>
      </c>
      <c r="G247" s="125" t="str">
        <v/>
      </c>
      <c r="H247" s="126">
        <v>0</v>
      </c>
      <c r="I247" s="126" t="str">
        <v/>
      </c>
      <c r="J247" s="127">
        <v>0</v>
      </c>
      <c r="K247" s="126">
        <v>0</v>
      </c>
      <c r="L247" s="126" t="str">
        <v/>
      </c>
      <c r="M247" s="128" t="str">
        <v/>
      </c>
      <c r="N247" s="126">
        <v>0</v>
      </c>
      <c r="O247" s="126">
        <v>0</v>
      </c>
      <c r="P247" s="128" t="str">
        <v/>
      </c>
      <c r="Q247" s="126">
        <v>0</v>
      </c>
      <c r="R247" s="126">
        <v>0</v>
      </c>
      <c r="S247" s="126" t="str">
        <v/>
      </c>
      <c r="T247" s="139" t="str">
        <v/>
      </c>
      <c r="U247" s="25"/>
      <c r="V247"/>
      <c r="W247"/>
    </row>
    <row r="248" spans="1:23" ht="19.95" customHeight="1">
      <c r="A248" s="361"/>
      <c r="B248" s="145"/>
      <c r="C248" s="126"/>
      <c r="D248" s="126"/>
      <c r="E248" s="126"/>
      <c r="F248" s="126"/>
      <c r="G248" s="125"/>
      <c r="H248" s="126"/>
      <c r="I248" s="126"/>
      <c r="J248" s="127"/>
      <c r="K248" s="126"/>
      <c r="L248" s="126"/>
      <c r="M248" s="128"/>
      <c r="N248" s="126"/>
      <c r="O248" s="126"/>
      <c r="P248" s="128"/>
      <c r="Q248" s="126"/>
      <c r="R248" s="126"/>
      <c r="S248" s="126"/>
      <c r="T248" s="139"/>
      <c r="U248" s="25"/>
      <c r="V248"/>
      <c r="W248"/>
    </row>
    <row r="249" spans="1:23" ht="19.95" customHeight="1">
      <c r="A249" s="361"/>
      <c r="B249" s="145"/>
      <c r="C249" s="126"/>
      <c r="D249" s="126"/>
      <c r="E249" s="126"/>
      <c r="F249" s="126"/>
      <c r="G249" s="125"/>
      <c r="H249" s="126"/>
      <c r="I249" s="126"/>
      <c r="J249" s="127"/>
      <c r="K249" s="126"/>
      <c r="L249" s="126"/>
      <c r="M249" s="128"/>
      <c r="N249" s="126"/>
      <c r="O249" s="126"/>
      <c r="P249" s="128"/>
      <c r="Q249" s="126"/>
      <c r="R249" s="126"/>
      <c r="S249" s="126"/>
      <c r="T249" s="139"/>
      <c r="U249" s="25"/>
      <c r="V249"/>
      <c r="W249"/>
    </row>
    <row r="250" spans="1:23" ht="19.95" customHeight="1">
      <c r="A250" s="361"/>
      <c r="B250" s="145"/>
      <c r="C250" s="126"/>
      <c r="D250" s="126"/>
      <c r="E250" s="126"/>
      <c r="F250" s="126"/>
      <c r="G250" s="125"/>
      <c r="H250" s="126"/>
      <c r="I250" s="126"/>
      <c r="J250" s="127"/>
      <c r="K250" s="126"/>
      <c r="L250" s="126"/>
      <c r="M250" s="128"/>
      <c r="N250" s="126"/>
      <c r="O250" s="126"/>
      <c r="P250" s="128"/>
      <c r="Q250" s="126"/>
      <c r="R250" s="126"/>
      <c r="S250" s="126"/>
      <c r="T250" s="139"/>
      <c r="U250" s="25"/>
      <c r="V250"/>
      <c r="W250"/>
    </row>
    <row r="251" spans="1:23" ht="19.95" customHeight="1">
      <c r="A251" s="361"/>
      <c r="B251" s="145"/>
      <c r="C251" s="126"/>
      <c r="D251" s="126"/>
      <c r="E251" s="126"/>
      <c r="F251" s="126"/>
      <c r="G251" s="125"/>
      <c r="H251" s="126"/>
      <c r="I251" s="126"/>
      <c r="J251" s="127"/>
      <c r="K251" s="126"/>
      <c r="L251" s="126"/>
      <c r="M251" s="128"/>
      <c r="N251" s="126"/>
      <c r="O251" s="126"/>
      <c r="P251" s="128"/>
      <c r="Q251" s="126"/>
      <c r="R251" s="126"/>
      <c r="S251" s="126"/>
      <c r="T251" s="139"/>
      <c r="U251" s="25"/>
      <c r="V251"/>
      <c r="W251"/>
    </row>
    <row r="252" spans="1:23" ht="19.95" customHeight="1">
      <c r="A252" s="361"/>
      <c r="B252" s="145"/>
      <c r="C252" s="126"/>
      <c r="D252" s="126"/>
      <c r="E252" s="126"/>
      <c r="F252" s="126"/>
      <c r="G252" s="125"/>
      <c r="H252" s="126"/>
      <c r="I252" s="126"/>
      <c r="J252" s="127"/>
      <c r="K252" s="126"/>
      <c r="L252" s="126"/>
      <c r="M252" s="128"/>
      <c r="N252" s="126"/>
      <c r="O252" s="126"/>
      <c r="P252" s="128"/>
      <c r="Q252" s="126"/>
      <c r="R252" s="126"/>
      <c r="S252" s="126"/>
      <c r="T252" s="139"/>
      <c r="U252" s="25"/>
      <c r="V252"/>
      <c r="W252"/>
    </row>
    <row r="253" spans="1:23" ht="19.95" customHeight="1">
      <c r="A253" s="361"/>
      <c r="B253" s="145"/>
      <c r="C253" s="126"/>
      <c r="D253" s="126"/>
      <c r="E253" s="126"/>
      <c r="F253" s="126"/>
      <c r="G253" s="125"/>
      <c r="H253" s="126"/>
      <c r="I253" s="126"/>
      <c r="J253" s="127"/>
      <c r="K253" s="126"/>
      <c r="L253" s="126"/>
      <c r="M253" s="128"/>
      <c r="N253" s="126"/>
      <c r="O253" s="126"/>
      <c r="P253" s="128"/>
      <c r="Q253" s="126"/>
      <c r="R253" s="126"/>
      <c r="S253" s="126"/>
      <c r="T253" s="139"/>
      <c r="U253" s="25"/>
      <c r="V253"/>
      <c r="W253"/>
    </row>
    <row r="254" spans="1:23" ht="19.95" customHeight="1">
      <c r="A254" s="361"/>
      <c r="B254" s="145"/>
      <c r="C254" s="126"/>
      <c r="D254" s="126"/>
      <c r="E254" s="126"/>
      <c r="F254" s="126"/>
      <c r="G254" s="125"/>
      <c r="H254" s="126"/>
      <c r="I254" s="126"/>
      <c r="J254" s="127"/>
      <c r="K254" s="126"/>
      <c r="L254" s="126"/>
      <c r="M254" s="128"/>
      <c r="N254" s="126"/>
      <c r="O254" s="126"/>
      <c r="P254" s="128"/>
      <c r="Q254" s="126"/>
      <c r="R254" s="126"/>
      <c r="S254" s="126"/>
      <c r="T254" s="139"/>
      <c r="U254" s="25"/>
      <c r="V254"/>
      <c r="W254"/>
    </row>
    <row r="255" spans="1:23" ht="19.95" customHeight="1">
      <c r="A255" s="361"/>
      <c r="B255" s="145"/>
      <c r="C255" s="126"/>
      <c r="D255" s="126"/>
      <c r="E255" s="126"/>
      <c r="F255" s="126"/>
      <c r="G255" s="125"/>
      <c r="H255" s="126"/>
      <c r="I255" s="126"/>
      <c r="J255" s="127"/>
      <c r="K255" s="126"/>
      <c r="L255" s="126"/>
      <c r="M255" s="128"/>
      <c r="N255" s="126"/>
      <c r="O255" s="126"/>
      <c r="P255" s="128"/>
      <c r="Q255" s="126"/>
      <c r="R255" s="126"/>
      <c r="S255" s="126"/>
      <c r="T255" s="139"/>
      <c r="U255" s="25"/>
      <c r="V255"/>
      <c r="W255"/>
    </row>
    <row r="256" spans="1:23" ht="19.95" customHeight="1">
      <c r="A256" s="361"/>
      <c r="B256" s="145"/>
      <c r="C256" s="126"/>
      <c r="D256" s="126"/>
      <c r="E256" s="126"/>
      <c r="F256" s="126"/>
      <c r="G256" s="125"/>
      <c r="H256" s="126"/>
      <c r="I256" s="126"/>
      <c r="J256" s="127"/>
      <c r="K256" s="126"/>
      <c r="L256" s="126"/>
      <c r="M256" s="128"/>
      <c r="N256" s="126"/>
      <c r="O256" s="126"/>
      <c r="P256" s="128"/>
      <c r="Q256" s="126"/>
      <c r="R256" s="126"/>
      <c r="S256" s="126"/>
      <c r="T256" s="139"/>
      <c r="U256" s="25"/>
      <c r="V256"/>
      <c r="W256"/>
    </row>
    <row r="257" spans="1:23" ht="19.95" customHeight="1" thickBot="1">
      <c r="A257" s="362"/>
      <c r="B257" s="146"/>
      <c r="C257" s="140"/>
      <c r="D257" s="140"/>
      <c r="E257" s="140"/>
      <c r="F257" s="140"/>
      <c r="G257" s="141"/>
      <c r="H257" s="140"/>
      <c r="I257" s="140"/>
      <c r="J257" s="142"/>
      <c r="K257" s="140"/>
      <c r="L257" s="140"/>
      <c r="M257" s="143"/>
      <c r="N257" s="140"/>
      <c r="O257" s="140"/>
      <c r="P257" s="143"/>
      <c r="Q257" s="140"/>
      <c r="R257" s="140"/>
      <c r="S257" s="140"/>
      <c r="T257" s="144"/>
      <c r="U257" s="25"/>
      <c r="V257"/>
      <c r="W257"/>
    </row>
    <row r="258" spans="1:23" ht="19.95" customHeight="1">
      <c r="A258" s="360" t="str">
        <f>'Read Me First'!C14</f>
        <v>Fleet &amp; Crookham AC</v>
      </c>
      <c r="B258" s="133" cm="1">
        <f t="array" ref="B258:T267">_xlfn.LET(_xlpm.x, _xlfn._xlws.SORT(_xlfn._xlws.FILTER(Data!$A$33:$S$212,(Data!$C$33:$C$212=$A258)*(Data!$D$33:$D$212=$E$196)*(Data!$E$33:$E$212="U10")),18),_xlpm.y,_xlfn._xlws.SORT(_xlfn._xlws.FILTER(Data!$A$33:$S$212,(Data!$C$33:$C$212=$A258)*(Data!$D$33:$D$212=$E$196)*(Data!$E$33:$E$212="U12")),19), IFERROR(_xlfn.VSTACK(_xlpm.x,_xlpm.y), IFERROR(_xlpm.y,IFERROR(_xlpm.x, ""))))</f>
        <v>73</v>
      </c>
      <c r="C258" s="134" t="str">
        <v>CHARLIE BLACKWELL</v>
      </c>
      <c r="D258" s="134" t="str">
        <v>Fleet &amp; Crookham AC</v>
      </c>
      <c r="E258" s="134" t="str">
        <v>BOYS</v>
      </c>
      <c r="F258" s="134" t="str">
        <v>U12</v>
      </c>
      <c r="G258" s="135">
        <v>10.9</v>
      </c>
      <c r="H258" s="134">
        <v>61</v>
      </c>
      <c r="I258" s="134" t="str">
        <v>PB9</v>
      </c>
      <c r="J258" s="136">
        <v>1.4062499999999999E-3</v>
      </c>
      <c r="K258" s="134">
        <v>68</v>
      </c>
      <c r="L258" s="134" t="str">
        <v>PB4</v>
      </c>
      <c r="M258" s="137">
        <v>3.6</v>
      </c>
      <c r="N258" s="134">
        <v>56</v>
      </c>
      <c r="O258" s="134" t="str">
        <v>PB7</v>
      </c>
      <c r="P258" s="137">
        <v>32.840000000000003</v>
      </c>
      <c r="Q258" s="134">
        <v>65</v>
      </c>
      <c r="R258" s="134">
        <v>250</v>
      </c>
      <c r="S258" s="134">
        <v>1</v>
      </c>
      <c r="T258" s="138">
        <v>6</v>
      </c>
      <c r="U258" s="25"/>
      <c r="V258"/>
      <c r="W258"/>
    </row>
    <row r="259" spans="1:23" ht="19.95" customHeight="1">
      <c r="A259" s="361"/>
      <c r="B259" s="145">
        <v>71</v>
      </c>
      <c r="C259" s="126" t="str">
        <v>JESSE MCDONNELL</v>
      </c>
      <c r="D259" s="126" t="str">
        <v>Fleet &amp; Crookham AC</v>
      </c>
      <c r="E259" s="126" t="str">
        <v>BOYS</v>
      </c>
      <c r="F259" s="126" t="str">
        <v>U12</v>
      </c>
      <c r="G259" s="125">
        <v>11.2</v>
      </c>
      <c r="H259" s="126">
        <v>58</v>
      </c>
      <c r="I259" s="126" t="str">
        <v>PB9</v>
      </c>
      <c r="J259" s="127">
        <v>1.3368055555555555E-3</v>
      </c>
      <c r="K259" s="126">
        <v>74</v>
      </c>
      <c r="L259" s="126" t="str">
        <v>PB5</v>
      </c>
      <c r="M259" s="128">
        <v>3.62</v>
      </c>
      <c r="N259" s="126">
        <v>57</v>
      </c>
      <c r="O259" s="126" t="str">
        <v>PB7</v>
      </c>
      <c r="P259" s="128">
        <v>29.88</v>
      </c>
      <c r="Q259" s="126">
        <v>59</v>
      </c>
      <c r="R259" s="126">
        <v>248</v>
      </c>
      <c r="S259" s="126">
        <v>2</v>
      </c>
      <c r="T259" s="139">
        <v>7</v>
      </c>
      <c r="U259" s="25"/>
      <c r="V259"/>
      <c r="W259"/>
    </row>
    <row r="260" spans="1:23" ht="19.95" customHeight="1">
      <c r="A260" s="361"/>
      <c r="B260" s="145">
        <v>72</v>
      </c>
      <c r="C260" s="126" t="str">
        <v>LEVI KIRWAN</v>
      </c>
      <c r="D260" s="126" t="str">
        <v>Fleet &amp; Crookham AC</v>
      </c>
      <c r="E260" s="126" t="str">
        <v>BOYS</v>
      </c>
      <c r="F260" s="126" t="str">
        <v>U12</v>
      </c>
      <c r="G260" s="125">
        <v>11.5</v>
      </c>
      <c r="H260" s="126">
        <v>55</v>
      </c>
      <c r="I260" s="126" t="str">
        <v>PB8</v>
      </c>
      <c r="J260" s="127">
        <v>1.4525462962962964E-3</v>
      </c>
      <c r="K260" s="126">
        <v>64</v>
      </c>
      <c r="L260" s="126" t="str">
        <v>PB3</v>
      </c>
      <c r="M260" s="128">
        <v>3.01</v>
      </c>
      <c r="N260" s="126">
        <v>37</v>
      </c>
      <c r="O260" s="126" t="str">
        <v>PB5</v>
      </c>
      <c r="P260" s="128">
        <v>31.64</v>
      </c>
      <c r="Q260" s="126">
        <v>63</v>
      </c>
      <c r="R260" s="126">
        <v>219</v>
      </c>
      <c r="S260" s="126">
        <v>3</v>
      </c>
      <c r="T260" s="139">
        <v>13</v>
      </c>
      <c r="U260" s="25"/>
      <c r="V260"/>
      <c r="W260"/>
    </row>
    <row r="261" spans="1:23" ht="19.95" customHeight="1">
      <c r="A261" s="361"/>
      <c r="B261" s="145">
        <v>74</v>
      </c>
      <c r="C261" s="126" t="str">
        <v>THOMAS MOORE</v>
      </c>
      <c r="D261" s="126" t="str">
        <v>Fleet &amp; Crookham AC</v>
      </c>
      <c r="E261" s="126" t="str">
        <v>BOYS</v>
      </c>
      <c r="F261" s="126" t="str">
        <v>U12</v>
      </c>
      <c r="G261" s="125">
        <v>12.9</v>
      </c>
      <c r="H261" s="126">
        <v>41</v>
      </c>
      <c r="I261" s="126" t="str">
        <v>PB5</v>
      </c>
      <c r="J261" s="127">
        <v>1.6666666666666668E-3</v>
      </c>
      <c r="K261" s="126">
        <v>46</v>
      </c>
      <c r="L261" s="126" t="str">
        <v>PB1</v>
      </c>
      <c r="M261" s="128">
        <v>2.93</v>
      </c>
      <c r="N261" s="126">
        <v>34</v>
      </c>
      <c r="O261" s="126" t="str">
        <v>PB4</v>
      </c>
      <c r="P261" s="128">
        <v>27.07</v>
      </c>
      <c r="Q261" s="126">
        <v>54</v>
      </c>
      <c r="R261" s="126">
        <v>175</v>
      </c>
      <c r="S261" s="126">
        <v>4</v>
      </c>
      <c r="T261" s="139">
        <v>32</v>
      </c>
      <c r="U261" s="25"/>
      <c r="V261"/>
      <c r="W261"/>
    </row>
    <row r="262" spans="1:23" ht="19.95" customHeight="1">
      <c r="A262" s="361"/>
      <c r="B262" s="145">
        <v>76</v>
      </c>
      <c r="C262" s="126" t="str">
        <v>DYLAN MARLEY</v>
      </c>
      <c r="D262" s="126" t="str">
        <v>Fleet &amp; Crookham AC</v>
      </c>
      <c r="E262" s="126" t="str">
        <v>BOYS</v>
      </c>
      <c r="F262" s="126" t="str">
        <v>U12</v>
      </c>
      <c r="G262" s="125">
        <v>12.4</v>
      </c>
      <c r="H262" s="126">
        <v>46</v>
      </c>
      <c r="I262" s="126" t="str">
        <v>PB6</v>
      </c>
      <c r="J262" s="127">
        <v>1.7476851851851852E-3</v>
      </c>
      <c r="K262" s="126">
        <v>39</v>
      </c>
      <c r="L262" s="126" t="str">
        <v/>
      </c>
      <c r="M262" s="128">
        <v>3.62</v>
      </c>
      <c r="N262" s="126">
        <v>57</v>
      </c>
      <c r="O262" s="126" t="str">
        <v>PB7</v>
      </c>
      <c r="P262" s="128">
        <v>15.47</v>
      </c>
      <c r="Q262" s="126">
        <v>30</v>
      </c>
      <c r="R262" s="126">
        <v>172</v>
      </c>
      <c r="S262" s="126">
        <v>5</v>
      </c>
      <c r="T262" s="139">
        <v>35</v>
      </c>
      <c r="U262" s="25"/>
      <c r="V262"/>
      <c r="W262"/>
    </row>
    <row r="263" spans="1:23" ht="19.95" customHeight="1">
      <c r="A263" s="361"/>
      <c r="B263" s="145">
        <v>75</v>
      </c>
      <c r="C263" s="126" t="str">
        <v>MURRAY VOADEN</v>
      </c>
      <c r="D263" s="126" t="str">
        <v>Fleet &amp; Crookham AC</v>
      </c>
      <c r="E263" s="126" t="str">
        <v>BOYS</v>
      </c>
      <c r="F263" s="126" t="str">
        <v>U12</v>
      </c>
      <c r="G263" s="125">
        <v>13.4</v>
      </c>
      <c r="H263" s="126">
        <v>36</v>
      </c>
      <c r="I263" s="126" t="str">
        <v>PB4</v>
      </c>
      <c r="J263" s="127">
        <v>1.6192129629629629E-3</v>
      </c>
      <c r="K263" s="126">
        <v>50</v>
      </c>
      <c r="L263" s="126" t="str">
        <v>PB2</v>
      </c>
      <c r="M263" s="128">
        <v>2.92</v>
      </c>
      <c r="N263" s="126">
        <v>34</v>
      </c>
      <c r="O263" s="126" t="str">
        <v>PB4</v>
      </c>
      <c r="P263" s="128">
        <v>14.88</v>
      </c>
      <c r="Q263" s="126">
        <v>29</v>
      </c>
      <c r="R263" s="126">
        <v>149</v>
      </c>
      <c r="S263" s="126">
        <v>6</v>
      </c>
      <c r="T263" s="139">
        <v>40</v>
      </c>
      <c r="U263" s="19"/>
      <c r="V263"/>
      <c r="W263"/>
    </row>
    <row r="264" spans="1:23" ht="19.95" customHeight="1">
      <c r="A264" s="361"/>
      <c r="B264" s="145">
        <v>77</v>
      </c>
      <c r="C264" s="126" t="str">
        <v/>
      </c>
      <c r="D264" s="126" t="str">
        <v>Fleet &amp; Crookham AC</v>
      </c>
      <c r="E264" s="126" t="str">
        <v>BOYS</v>
      </c>
      <c r="F264" s="126" t="str">
        <v>U12</v>
      </c>
      <c r="G264" s="125" t="str">
        <v/>
      </c>
      <c r="H264" s="126">
        <v>0</v>
      </c>
      <c r="I264" s="126" t="str">
        <v/>
      </c>
      <c r="J264" s="127">
        <v>0</v>
      </c>
      <c r="K264" s="126">
        <v>0</v>
      </c>
      <c r="L264" s="126" t="str">
        <v/>
      </c>
      <c r="M264" s="128" t="str">
        <v/>
      </c>
      <c r="N264" s="126">
        <v>0</v>
      </c>
      <c r="O264" s="126">
        <v>0</v>
      </c>
      <c r="P264" s="128" t="str">
        <v/>
      </c>
      <c r="Q264" s="126">
        <v>0</v>
      </c>
      <c r="R264" s="126">
        <v>0</v>
      </c>
      <c r="S264" s="126" t="str">
        <v/>
      </c>
      <c r="T264" s="139" t="str">
        <v/>
      </c>
      <c r="U264" s="19"/>
      <c r="V264"/>
      <c r="W264"/>
    </row>
    <row r="265" spans="1:23" ht="19.95" customHeight="1">
      <c r="A265" s="361"/>
      <c r="B265" s="145">
        <v>78</v>
      </c>
      <c r="C265" s="126" t="str">
        <v/>
      </c>
      <c r="D265" s="126" t="str">
        <v>Fleet &amp; Crookham AC</v>
      </c>
      <c r="E265" s="126" t="str">
        <v>BOYS</v>
      </c>
      <c r="F265" s="126" t="str">
        <v>U12</v>
      </c>
      <c r="G265" s="125" t="str">
        <v/>
      </c>
      <c r="H265" s="126">
        <v>0</v>
      </c>
      <c r="I265" s="126" t="str">
        <v/>
      </c>
      <c r="J265" s="127">
        <v>0</v>
      </c>
      <c r="K265" s="126">
        <v>0</v>
      </c>
      <c r="L265" s="126" t="str">
        <v/>
      </c>
      <c r="M265" s="128" t="str">
        <v/>
      </c>
      <c r="N265" s="126">
        <v>0</v>
      </c>
      <c r="O265" s="126">
        <v>0</v>
      </c>
      <c r="P265" s="128" t="str">
        <v/>
      </c>
      <c r="Q265" s="126">
        <v>0</v>
      </c>
      <c r="R265" s="126">
        <v>0</v>
      </c>
      <c r="S265" s="126" t="str">
        <v/>
      </c>
      <c r="T265" s="139" t="str">
        <v/>
      </c>
      <c r="U265" s="19"/>
      <c r="V265"/>
      <c r="W265"/>
    </row>
    <row r="266" spans="1:23" ht="19.95" customHeight="1">
      <c r="A266" s="361"/>
      <c r="B266" s="145">
        <v>79</v>
      </c>
      <c r="C266" s="126" t="str">
        <v/>
      </c>
      <c r="D266" s="126" t="str">
        <v>Fleet &amp; Crookham AC</v>
      </c>
      <c r="E266" s="126" t="str">
        <v>BOYS</v>
      </c>
      <c r="F266" s="126" t="str">
        <v>U12</v>
      </c>
      <c r="G266" s="125" t="str">
        <v/>
      </c>
      <c r="H266" s="126">
        <v>0</v>
      </c>
      <c r="I266" s="126" t="str">
        <v/>
      </c>
      <c r="J266" s="127">
        <v>0</v>
      </c>
      <c r="K266" s="126">
        <v>0</v>
      </c>
      <c r="L266" s="126" t="str">
        <v/>
      </c>
      <c r="M266" s="128" t="str">
        <v/>
      </c>
      <c r="N266" s="126">
        <v>0</v>
      </c>
      <c r="O266" s="126">
        <v>0</v>
      </c>
      <c r="P266" s="128" t="str">
        <v/>
      </c>
      <c r="Q266" s="126">
        <v>0</v>
      </c>
      <c r="R266" s="126">
        <v>0</v>
      </c>
      <c r="S266" s="126" t="str">
        <v/>
      </c>
      <c r="T266" s="139" t="str">
        <v/>
      </c>
      <c r="U266" s="19"/>
      <c r="V266"/>
      <c r="W266"/>
    </row>
    <row r="267" spans="1:23" ht="19.95" customHeight="1">
      <c r="A267" s="361"/>
      <c r="B267" s="145">
        <v>80</v>
      </c>
      <c r="C267" s="126" t="str">
        <v/>
      </c>
      <c r="D267" s="126" t="str">
        <v>Fleet &amp; Crookham AC</v>
      </c>
      <c r="E267" s="126" t="str">
        <v>BOYS</v>
      </c>
      <c r="F267" s="126" t="str">
        <v>U12</v>
      </c>
      <c r="G267" s="125" t="str">
        <v/>
      </c>
      <c r="H267" s="126">
        <v>0</v>
      </c>
      <c r="I267" s="126" t="str">
        <v/>
      </c>
      <c r="J267" s="127">
        <v>0</v>
      </c>
      <c r="K267" s="126">
        <v>0</v>
      </c>
      <c r="L267" s="126" t="str">
        <v/>
      </c>
      <c r="M267" s="128" t="str">
        <v/>
      </c>
      <c r="N267" s="126">
        <v>0</v>
      </c>
      <c r="O267" s="126">
        <v>0</v>
      </c>
      <c r="P267" s="128" t="str">
        <v/>
      </c>
      <c r="Q267" s="126">
        <v>0</v>
      </c>
      <c r="R267" s="126">
        <v>0</v>
      </c>
      <c r="S267" s="126" t="str">
        <v/>
      </c>
      <c r="T267" s="139" t="str">
        <v/>
      </c>
      <c r="U267" s="19"/>
      <c r="V267"/>
      <c r="W267"/>
    </row>
    <row r="268" spans="1:23" s="11" customFormat="1" ht="19.95" customHeight="1">
      <c r="A268" s="361"/>
      <c r="B268" s="145"/>
      <c r="C268" s="126"/>
      <c r="D268" s="126"/>
      <c r="E268" s="126"/>
      <c r="F268" s="126"/>
      <c r="G268" s="125"/>
      <c r="H268" s="126"/>
      <c r="I268" s="126"/>
      <c r="J268" s="127"/>
      <c r="K268" s="126"/>
      <c r="L268" s="126"/>
      <c r="M268" s="128"/>
      <c r="N268" s="126"/>
      <c r="O268" s="126"/>
      <c r="P268" s="128"/>
      <c r="Q268" s="126"/>
      <c r="R268" s="126"/>
      <c r="S268" s="126"/>
      <c r="T268" s="139"/>
      <c r="U268" s="25"/>
    </row>
    <row r="269" spans="1:23" ht="19.95" customHeight="1">
      <c r="A269" s="361"/>
      <c r="B269" s="145"/>
      <c r="C269" s="126"/>
      <c r="D269" s="126"/>
      <c r="E269" s="126"/>
      <c r="F269" s="126"/>
      <c r="G269" s="125"/>
      <c r="H269" s="126"/>
      <c r="I269" s="126"/>
      <c r="J269" s="127"/>
      <c r="K269" s="126"/>
      <c r="L269" s="126"/>
      <c r="M269" s="128"/>
      <c r="N269" s="126"/>
      <c r="O269" s="126"/>
      <c r="P269" s="128"/>
      <c r="Q269" s="126"/>
      <c r="R269" s="126"/>
      <c r="S269" s="126"/>
      <c r="T269" s="139"/>
      <c r="U269" s="25"/>
      <c r="V269"/>
      <c r="W269"/>
    </row>
    <row r="270" spans="1:23" ht="19.95" customHeight="1">
      <c r="A270" s="361"/>
      <c r="B270" s="145"/>
      <c r="C270" s="126"/>
      <c r="D270" s="126"/>
      <c r="E270" s="126"/>
      <c r="F270" s="126"/>
      <c r="G270" s="125"/>
      <c r="H270" s="126"/>
      <c r="I270" s="126"/>
      <c r="J270" s="127"/>
      <c r="K270" s="126"/>
      <c r="L270" s="126"/>
      <c r="M270" s="128"/>
      <c r="N270" s="126"/>
      <c r="O270" s="126"/>
      <c r="P270" s="128"/>
      <c r="Q270" s="126"/>
      <c r="R270" s="126"/>
      <c r="S270" s="126"/>
      <c r="T270" s="139"/>
      <c r="U270" s="25"/>
      <c r="V270"/>
      <c r="W270"/>
    </row>
    <row r="271" spans="1:23" ht="19.95" customHeight="1">
      <c r="A271" s="361"/>
      <c r="B271" s="145"/>
      <c r="C271" s="126"/>
      <c r="D271" s="126"/>
      <c r="E271" s="126"/>
      <c r="F271" s="126"/>
      <c r="G271" s="125"/>
      <c r="H271" s="126"/>
      <c r="I271" s="126"/>
      <c r="J271" s="127"/>
      <c r="K271" s="126"/>
      <c r="L271" s="126"/>
      <c r="M271" s="128"/>
      <c r="N271" s="126"/>
      <c r="O271" s="126"/>
      <c r="P271" s="128"/>
      <c r="Q271" s="126"/>
      <c r="R271" s="126"/>
      <c r="S271" s="126"/>
      <c r="T271" s="139"/>
      <c r="U271" s="25"/>
      <c r="V271"/>
      <c r="W271"/>
    </row>
    <row r="272" spans="1:23" ht="19.95" customHeight="1">
      <c r="A272" s="361"/>
      <c r="B272" s="145"/>
      <c r="C272" s="126"/>
      <c r="D272" s="126"/>
      <c r="E272" s="126"/>
      <c r="F272" s="126"/>
      <c r="G272" s="125"/>
      <c r="H272" s="126"/>
      <c r="I272" s="126"/>
      <c r="J272" s="127"/>
      <c r="K272" s="126"/>
      <c r="L272" s="126"/>
      <c r="M272" s="128"/>
      <c r="N272" s="126"/>
      <c r="O272" s="126"/>
      <c r="P272" s="128"/>
      <c r="Q272" s="126"/>
      <c r="R272" s="126"/>
      <c r="S272" s="126"/>
      <c r="T272" s="139"/>
      <c r="U272" s="25"/>
      <c r="V272"/>
      <c r="W272"/>
    </row>
    <row r="273" spans="1:23" ht="19.95" customHeight="1">
      <c r="A273" s="361"/>
      <c r="B273" s="145"/>
      <c r="C273" s="126"/>
      <c r="D273" s="126"/>
      <c r="E273" s="126"/>
      <c r="F273" s="126"/>
      <c r="G273" s="125"/>
      <c r="H273" s="126"/>
      <c r="I273" s="126"/>
      <c r="J273" s="127"/>
      <c r="K273" s="126"/>
      <c r="L273" s="126"/>
      <c r="M273" s="128"/>
      <c r="N273" s="126"/>
      <c r="O273" s="126"/>
      <c r="P273" s="128"/>
      <c r="Q273" s="126"/>
      <c r="R273" s="126"/>
      <c r="S273" s="126"/>
      <c r="T273" s="139"/>
      <c r="U273" s="25"/>
      <c r="V273"/>
      <c r="W273"/>
    </row>
    <row r="274" spans="1:23" ht="19.95" customHeight="1">
      <c r="A274" s="361"/>
      <c r="B274" s="145"/>
      <c r="C274" s="126"/>
      <c r="D274" s="126"/>
      <c r="E274" s="126"/>
      <c r="F274" s="126"/>
      <c r="G274" s="125"/>
      <c r="H274" s="126"/>
      <c r="I274" s="126"/>
      <c r="J274" s="127"/>
      <c r="K274" s="126"/>
      <c r="L274" s="126"/>
      <c r="M274" s="128"/>
      <c r="N274" s="126"/>
      <c r="O274" s="126"/>
      <c r="P274" s="128"/>
      <c r="Q274" s="126"/>
      <c r="R274" s="126"/>
      <c r="S274" s="126"/>
      <c r="T274" s="139"/>
      <c r="U274" s="25"/>
      <c r="V274"/>
      <c r="W274"/>
    </row>
    <row r="275" spans="1:23" ht="19.95" customHeight="1">
      <c r="A275" s="361"/>
      <c r="B275" s="145"/>
      <c r="C275" s="126"/>
      <c r="D275" s="126"/>
      <c r="E275" s="126"/>
      <c r="F275" s="126"/>
      <c r="G275" s="125"/>
      <c r="H275" s="126"/>
      <c r="I275" s="126"/>
      <c r="J275" s="127"/>
      <c r="K275" s="126"/>
      <c r="L275" s="126"/>
      <c r="M275" s="128"/>
      <c r="N275" s="126"/>
      <c r="O275" s="126"/>
      <c r="P275" s="128"/>
      <c r="Q275" s="126"/>
      <c r="R275" s="126"/>
      <c r="S275" s="126"/>
      <c r="T275" s="139"/>
      <c r="U275" s="25"/>
      <c r="V275"/>
      <c r="W275"/>
    </row>
    <row r="276" spans="1:23" ht="19.95" customHeight="1">
      <c r="A276" s="361"/>
      <c r="B276" s="145"/>
      <c r="C276" s="126"/>
      <c r="D276" s="126"/>
      <c r="E276" s="126"/>
      <c r="F276" s="126"/>
      <c r="G276" s="125"/>
      <c r="H276" s="126"/>
      <c r="I276" s="126"/>
      <c r="J276" s="127"/>
      <c r="K276" s="126"/>
      <c r="L276" s="126"/>
      <c r="M276" s="128"/>
      <c r="N276" s="126"/>
      <c r="O276" s="126"/>
      <c r="P276" s="128"/>
      <c r="Q276" s="126"/>
      <c r="R276" s="126"/>
      <c r="S276" s="126"/>
      <c r="T276" s="139"/>
      <c r="U276" s="25"/>
      <c r="V276"/>
      <c r="W276"/>
    </row>
    <row r="277" spans="1:23" ht="19.95" customHeight="1">
      <c r="A277" s="361"/>
      <c r="B277" s="145"/>
      <c r="C277" s="126"/>
      <c r="D277" s="126"/>
      <c r="E277" s="126"/>
      <c r="F277" s="126"/>
      <c r="G277" s="125"/>
      <c r="H277" s="126"/>
      <c r="I277" s="126"/>
      <c r="J277" s="127"/>
      <c r="K277" s="126"/>
      <c r="L277" s="126"/>
      <c r="M277" s="128"/>
      <c r="N277" s="126"/>
      <c r="O277" s="126"/>
      <c r="P277" s="128"/>
      <c r="Q277" s="126"/>
      <c r="R277" s="126"/>
      <c r="S277" s="126"/>
      <c r="T277" s="139"/>
      <c r="U277" s="25"/>
      <c r="V277"/>
      <c r="W277"/>
    </row>
    <row r="278" spans="1:23" ht="19.95" customHeight="1">
      <c r="A278" s="361"/>
      <c r="B278" s="145"/>
      <c r="C278" s="126"/>
      <c r="D278" s="126"/>
      <c r="E278" s="126"/>
      <c r="F278" s="126"/>
      <c r="G278" s="125"/>
      <c r="H278" s="126"/>
      <c r="I278" s="126"/>
      <c r="J278" s="127"/>
      <c r="K278" s="126"/>
      <c r="L278" s="126"/>
      <c r="M278" s="128"/>
      <c r="N278" s="126"/>
      <c r="O278" s="126"/>
      <c r="P278" s="128"/>
      <c r="Q278" s="126"/>
      <c r="R278" s="126"/>
      <c r="S278" s="126"/>
      <c r="T278" s="139"/>
      <c r="U278" s="25"/>
      <c r="V278"/>
      <c r="W278"/>
    </row>
    <row r="279" spans="1:23" ht="19.95" customHeight="1">
      <c r="A279" s="361"/>
      <c r="B279" s="145"/>
      <c r="C279" s="126"/>
      <c r="D279" s="126"/>
      <c r="E279" s="126"/>
      <c r="F279" s="126"/>
      <c r="G279" s="125"/>
      <c r="H279" s="126"/>
      <c r="I279" s="126"/>
      <c r="J279" s="127"/>
      <c r="K279" s="126"/>
      <c r="L279" s="126"/>
      <c r="M279" s="128"/>
      <c r="N279" s="126"/>
      <c r="O279" s="126"/>
      <c r="P279" s="128"/>
      <c r="Q279" s="126"/>
      <c r="R279" s="126"/>
      <c r="S279" s="126"/>
      <c r="T279" s="139"/>
      <c r="U279" s="25"/>
      <c r="V279"/>
      <c r="W279"/>
    </row>
    <row r="280" spans="1:23" ht="19.95" customHeight="1" thickBot="1">
      <c r="A280" s="362"/>
      <c r="B280" s="146"/>
      <c r="C280" s="140"/>
      <c r="D280" s="140"/>
      <c r="E280" s="140"/>
      <c r="F280" s="140"/>
      <c r="G280" s="141"/>
      <c r="H280" s="140"/>
      <c r="I280" s="140"/>
      <c r="J280" s="142"/>
      <c r="K280" s="140"/>
      <c r="L280" s="140"/>
      <c r="M280" s="143"/>
      <c r="N280" s="140"/>
      <c r="O280" s="140"/>
      <c r="P280" s="143"/>
      <c r="Q280" s="140"/>
      <c r="R280" s="140"/>
      <c r="S280" s="140"/>
      <c r="T280" s="144"/>
      <c r="U280" s="25"/>
      <c r="V280"/>
      <c r="W280"/>
    </row>
    <row r="281" spans="1:23" ht="19.95" customHeight="1">
      <c r="A281" s="360" t="str">
        <f>'Read Me First'!C15</f>
        <v>Waverley Athletics Club</v>
      </c>
      <c r="B281" s="133" cm="1">
        <f t="array" ref="B281:T290">_xlfn.LET(_xlpm.x, _xlfn._xlws.SORT(_xlfn._xlws.FILTER(Data!$A$33:$S$212,(Data!$C$33:$C$212=$A281)*(Data!$D$33:$D$212=$E$196)*(Data!$E$33:$E$212="U10")),18),_xlpm.y,_xlfn._xlws.SORT(_xlfn._xlws.FILTER(Data!$A$33:$S$212,(Data!$C$33:$C$212=$A281)*(Data!$D$33:$D$212=$E$196)*(Data!$E$33:$E$212="U12")),19), IFERROR(_xlfn.VSTACK(_xlpm.x,_xlpm.y), IFERROR(_xlpm.y,IFERROR(_xlpm.x, ""))))</f>
        <v>92</v>
      </c>
      <c r="C281" s="134" t="str">
        <v>BLAKE BARNES</v>
      </c>
      <c r="D281" s="134" t="str">
        <v>Waverley Athletics Club</v>
      </c>
      <c r="E281" s="134" t="str">
        <v>BOYS</v>
      </c>
      <c r="F281" s="134" t="str">
        <v>U12</v>
      </c>
      <c r="G281" s="135">
        <v>12</v>
      </c>
      <c r="H281" s="134">
        <v>50</v>
      </c>
      <c r="I281" s="134" t="str">
        <v>PB7</v>
      </c>
      <c r="J281" s="136">
        <v>1.4756944444444444E-3</v>
      </c>
      <c r="K281" s="134">
        <v>62</v>
      </c>
      <c r="L281" s="134" t="str">
        <v>PB3</v>
      </c>
      <c r="M281" s="137">
        <v>3.29</v>
      </c>
      <c r="N281" s="134">
        <v>46</v>
      </c>
      <c r="O281" s="134" t="str">
        <v>PB6</v>
      </c>
      <c r="P281" s="137">
        <v>24.46</v>
      </c>
      <c r="Q281" s="134">
        <v>48</v>
      </c>
      <c r="R281" s="134">
        <v>206</v>
      </c>
      <c r="S281" s="134">
        <v>1</v>
      </c>
      <c r="T281" s="138">
        <v>20</v>
      </c>
      <c r="U281" s="25"/>
      <c r="V281"/>
      <c r="W281"/>
    </row>
    <row r="282" spans="1:23" ht="19.95" customHeight="1">
      <c r="A282" s="361"/>
      <c r="B282" s="145">
        <v>91</v>
      </c>
      <c r="C282" s="126" t="str">
        <v>NOAH BARKER</v>
      </c>
      <c r="D282" s="126" t="str">
        <v>Waverley Athletics Club</v>
      </c>
      <c r="E282" s="126" t="str">
        <v>BOYS</v>
      </c>
      <c r="F282" s="126" t="str">
        <v>U12</v>
      </c>
      <c r="G282" s="125">
        <v>10.8</v>
      </c>
      <c r="H282" s="126">
        <v>62</v>
      </c>
      <c r="I282" s="126" t="str">
        <v>PB9</v>
      </c>
      <c r="J282" s="127">
        <v>0</v>
      </c>
      <c r="K282" s="126">
        <v>0</v>
      </c>
      <c r="L282" s="126" t="str">
        <v/>
      </c>
      <c r="M282" s="128">
        <v>3.82</v>
      </c>
      <c r="N282" s="126">
        <v>64</v>
      </c>
      <c r="O282" s="126" t="str">
        <v>PB8</v>
      </c>
      <c r="P282" s="128">
        <v>25.72</v>
      </c>
      <c r="Q282" s="126">
        <v>51</v>
      </c>
      <c r="R282" s="126">
        <v>177</v>
      </c>
      <c r="S282" s="126">
        <v>2</v>
      </c>
      <c r="T282" s="139">
        <v>31</v>
      </c>
      <c r="U282" s="25"/>
      <c r="V282"/>
      <c r="W282"/>
    </row>
    <row r="283" spans="1:23" ht="19.95" customHeight="1">
      <c r="A283" s="361"/>
      <c r="B283" s="145">
        <v>93</v>
      </c>
      <c r="C283" s="126" t="str">
        <v>BEN QUICK</v>
      </c>
      <c r="D283" s="126" t="str">
        <v>Waverley Athletics Club</v>
      </c>
      <c r="E283" s="126" t="str">
        <v>BOYS</v>
      </c>
      <c r="F283" s="126" t="str">
        <v>U12</v>
      </c>
      <c r="G283" s="125">
        <v>12.8</v>
      </c>
      <c r="H283" s="126">
        <v>42</v>
      </c>
      <c r="I283" s="126" t="str">
        <v>PB5</v>
      </c>
      <c r="J283" s="127">
        <v>1.6932870370370372E-3</v>
      </c>
      <c r="K283" s="126">
        <v>43</v>
      </c>
      <c r="L283" s="126" t="str">
        <v>PB1</v>
      </c>
      <c r="M283" s="128">
        <v>1.76</v>
      </c>
      <c r="N283" s="126">
        <v>10</v>
      </c>
      <c r="O283" s="126" t="str">
        <v/>
      </c>
      <c r="P283" s="128">
        <v>24.15</v>
      </c>
      <c r="Q283" s="126">
        <v>48</v>
      </c>
      <c r="R283" s="126">
        <v>143</v>
      </c>
      <c r="S283" s="126">
        <v>3</v>
      </c>
      <c r="T283" s="139">
        <v>41</v>
      </c>
      <c r="U283" s="25"/>
      <c r="V283"/>
      <c r="W283"/>
    </row>
    <row r="284" spans="1:23" ht="19.95" customHeight="1">
      <c r="A284" s="361"/>
      <c r="B284" s="145">
        <v>96</v>
      </c>
      <c r="C284" s="126" t="str">
        <v>TADHG WATSON</v>
      </c>
      <c r="D284" s="126" t="str">
        <v>Waverley Athletics Club</v>
      </c>
      <c r="E284" s="126" t="str">
        <v>BOYS</v>
      </c>
      <c r="F284" s="126" t="str">
        <v>U12</v>
      </c>
      <c r="G284" s="125" t="str">
        <v/>
      </c>
      <c r="H284" s="126">
        <v>0</v>
      </c>
      <c r="I284" s="126" t="str">
        <v/>
      </c>
      <c r="J284" s="127">
        <v>1.5312500000000001E-3</v>
      </c>
      <c r="K284" s="126">
        <v>57</v>
      </c>
      <c r="L284" s="126" t="str">
        <v>PB2</v>
      </c>
      <c r="M284" s="128">
        <v>2.92</v>
      </c>
      <c r="N284" s="126">
        <v>34</v>
      </c>
      <c r="O284" s="126" t="str">
        <v>PB4</v>
      </c>
      <c r="P284" s="128">
        <v>0</v>
      </c>
      <c r="Q284" s="126">
        <v>0</v>
      </c>
      <c r="R284" s="126">
        <v>91</v>
      </c>
      <c r="S284" s="126">
        <v>4</v>
      </c>
      <c r="T284" s="139">
        <v>46</v>
      </c>
      <c r="U284" s="19"/>
      <c r="V284"/>
      <c r="W284"/>
    </row>
    <row r="285" spans="1:23" ht="19.95" customHeight="1">
      <c r="A285" s="361"/>
      <c r="B285" s="145">
        <v>95</v>
      </c>
      <c r="C285" s="126" t="str">
        <v>LEONARDO OLALEMI</v>
      </c>
      <c r="D285" s="126" t="str">
        <v>Waverley Athletics Club</v>
      </c>
      <c r="E285" s="126" t="str">
        <v>BOYS</v>
      </c>
      <c r="F285" s="126" t="str">
        <v>U12</v>
      </c>
      <c r="G285" s="125" t="str">
        <v/>
      </c>
      <c r="H285" s="126">
        <v>0</v>
      </c>
      <c r="I285" s="126" t="str">
        <v/>
      </c>
      <c r="J285" s="127">
        <v>0</v>
      </c>
      <c r="K285" s="126">
        <v>0</v>
      </c>
      <c r="L285" s="126" t="str">
        <v/>
      </c>
      <c r="M285" s="128">
        <v>2.29</v>
      </c>
      <c r="N285" s="126">
        <v>13</v>
      </c>
      <c r="O285" s="126" t="str">
        <v>PB2</v>
      </c>
      <c r="P285" s="128">
        <v>36.99</v>
      </c>
      <c r="Q285" s="126">
        <v>73</v>
      </c>
      <c r="R285" s="126">
        <v>86</v>
      </c>
      <c r="S285" s="126">
        <v>5</v>
      </c>
      <c r="T285" s="139">
        <v>47</v>
      </c>
      <c r="U285" s="25"/>
      <c r="V285"/>
      <c r="W285"/>
    </row>
    <row r="286" spans="1:23" ht="19.95" customHeight="1">
      <c r="A286" s="361"/>
      <c r="B286" s="145">
        <v>94</v>
      </c>
      <c r="C286" s="126" t="str">
        <v>DANIEL BURKE</v>
      </c>
      <c r="D286" s="126" t="str">
        <v>Waverley Athletics Club</v>
      </c>
      <c r="E286" s="126" t="str">
        <v>BOYS</v>
      </c>
      <c r="F286" s="126" t="str">
        <v>U12</v>
      </c>
      <c r="G286" s="125" t="str">
        <v/>
      </c>
      <c r="H286" s="126">
        <v>0</v>
      </c>
      <c r="I286" s="126" t="str">
        <v/>
      </c>
      <c r="J286" s="127">
        <v>0</v>
      </c>
      <c r="K286" s="126">
        <v>0</v>
      </c>
      <c r="L286" s="126" t="str">
        <v/>
      </c>
      <c r="M286" s="128">
        <v>0</v>
      </c>
      <c r="N286" s="126">
        <v>0</v>
      </c>
      <c r="O286" s="126" t="str">
        <v/>
      </c>
      <c r="P286" s="128">
        <v>0</v>
      </c>
      <c r="Q286" s="126">
        <v>0</v>
      </c>
      <c r="R286" s="126">
        <v>0</v>
      </c>
      <c r="S286" s="126" t="str">
        <v/>
      </c>
      <c r="T286" s="139" t="str">
        <v/>
      </c>
      <c r="U286" s="25"/>
      <c r="V286"/>
      <c r="W286"/>
    </row>
    <row r="287" spans="1:23" ht="19.95" customHeight="1">
      <c r="A287" s="361"/>
      <c r="B287" s="145">
        <v>97</v>
      </c>
      <c r="C287" s="126" t="str">
        <v>STAN CLIPSHAM</v>
      </c>
      <c r="D287" s="126" t="str">
        <v>Waverley Athletics Club</v>
      </c>
      <c r="E287" s="126" t="str">
        <v>BOYS</v>
      </c>
      <c r="F287" s="126" t="str">
        <v>U12</v>
      </c>
      <c r="G287" s="125" t="str">
        <v/>
      </c>
      <c r="H287" s="126">
        <v>0</v>
      </c>
      <c r="I287" s="126" t="str">
        <v/>
      </c>
      <c r="J287" s="127">
        <v>0</v>
      </c>
      <c r="K287" s="126">
        <v>0</v>
      </c>
      <c r="L287" s="126" t="str">
        <v/>
      </c>
      <c r="M287" s="128">
        <v>0</v>
      </c>
      <c r="N287" s="126">
        <v>0</v>
      </c>
      <c r="O287" s="126" t="str">
        <v/>
      </c>
      <c r="P287" s="128">
        <v>0</v>
      </c>
      <c r="Q287" s="126">
        <v>0</v>
      </c>
      <c r="R287" s="126">
        <v>0</v>
      </c>
      <c r="S287" s="126" t="str">
        <v/>
      </c>
      <c r="T287" s="139" t="str">
        <v/>
      </c>
      <c r="U287" s="25"/>
      <c r="V287"/>
      <c r="W287"/>
    </row>
    <row r="288" spans="1:23" ht="19.95" customHeight="1">
      <c r="A288" s="361"/>
      <c r="B288" s="145">
        <v>98</v>
      </c>
      <c r="C288" s="126" t="str">
        <v/>
      </c>
      <c r="D288" s="126" t="str">
        <v>Waverley Athletics Club</v>
      </c>
      <c r="E288" s="126" t="str">
        <v>BOYS</v>
      </c>
      <c r="F288" s="126" t="str">
        <v>U12</v>
      </c>
      <c r="G288" s="125" t="str">
        <v/>
      </c>
      <c r="H288" s="126">
        <v>0</v>
      </c>
      <c r="I288" s="126" t="str">
        <v/>
      </c>
      <c r="J288" s="127">
        <v>0</v>
      </c>
      <c r="K288" s="126">
        <v>0</v>
      </c>
      <c r="L288" s="126" t="str">
        <v/>
      </c>
      <c r="M288" s="128" t="str">
        <v/>
      </c>
      <c r="N288" s="126">
        <v>0</v>
      </c>
      <c r="O288" s="126">
        <v>0</v>
      </c>
      <c r="P288" s="128" t="str">
        <v/>
      </c>
      <c r="Q288" s="126">
        <v>0</v>
      </c>
      <c r="R288" s="126">
        <v>0</v>
      </c>
      <c r="S288" s="126" t="str">
        <v/>
      </c>
      <c r="T288" s="139" t="str">
        <v/>
      </c>
      <c r="U288" s="25"/>
      <c r="V288"/>
      <c r="W288"/>
    </row>
    <row r="289" spans="1:23" ht="19.95" customHeight="1">
      <c r="A289" s="361"/>
      <c r="B289" s="145">
        <v>99</v>
      </c>
      <c r="C289" s="126" t="str">
        <v/>
      </c>
      <c r="D289" s="126" t="str">
        <v>Waverley Athletics Club</v>
      </c>
      <c r="E289" s="126" t="str">
        <v>BOYS</v>
      </c>
      <c r="F289" s="126" t="str">
        <v>U12</v>
      </c>
      <c r="G289" s="125" t="str">
        <v/>
      </c>
      <c r="H289" s="126">
        <v>0</v>
      </c>
      <c r="I289" s="126" t="str">
        <v/>
      </c>
      <c r="J289" s="127">
        <v>0</v>
      </c>
      <c r="K289" s="126">
        <v>0</v>
      </c>
      <c r="L289" s="126" t="str">
        <v/>
      </c>
      <c r="M289" s="128" t="str">
        <v/>
      </c>
      <c r="N289" s="126">
        <v>0</v>
      </c>
      <c r="O289" s="126">
        <v>0</v>
      </c>
      <c r="P289" s="128" t="str">
        <v/>
      </c>
      <c r="Q289" s="126">
        <v>0</v>
      </c>
      <c r="R289" s="126">
        <v>0</v>
      </c>
      <c r="S289" s="126" t="str">
        <v/>
      </c>
      <c r="T289" s="139" t="str">
        <v/>
      </c>
      <c r="U289" s="25"/>
      <c r="V289"/>
      <c r="W289"/>
    </row>
    <row r="290" spans="1:23" ht="19.95" customHeight="1">
      <c r="A290" s="361"/>
      <c r="B290" s="145">
        <v>100</v>
      </c>
      <c r="C290" s="126" t="str">
        <v/>
      </c>
      <c r="D290" s="126" t="str">
        <v>Waverley Athletics Club</v>
      </c>
      <c r="E290" s="126" t="str">
        <v>BOYS</v>
      </c>
      <c r="F290" s="126" t="str">
        <v>U12</v>
      </c>
      <c r="G290" s="125" t="str">
        <v/>
      </c>
      <c r="H290" s="126">
        <v>0</v>
      </c>
      <c r="I290" s="126" t="str">
        <v/>
      </c>
      <c r="J290" s="127">
        <v>0</v>
      </c>
      <c r="K290" s="126">
        <v>0</v>
      </c>
      <c r="L290" s="126" t="str">
        <v/>
      </c>
      <c r="M290" s="128" t="str">
        <v/>
      </c>
      <c r="N290" s="126">
        <v>0</v>
      </c>
      <c r="O290" s="126">
        <v>0</v>
      </c>
      <c r="P290" s="128" t="str">
        <v/>
      </c>
      <c r="Q290" s="126">
        <v>0</v>
      </c>
      <c r="R290" s="126">
        <v>0</v>
      </c>
      <c r="S290" s="126" t="str">
        <v/>
      </c>
      <c r="T290" s="139" t="str">
        <v/>
      </c>
      <c r="U290" s="25"/>
      <c r="V290"/>
      <c r="W290"/>
    </row>
    <row r="291" spans="1:23" ht="19.95" customHeight="1">
      <c r="A291" s="361"/>
      <c r="B291" s="145"/>
      <c r="C291" s="126"/>
      <c r="D291" s="126"/>
      <c r="E291" s="126"/>
      <c r="F291" s="126"/>
      <c r="G291" s="125"/>
      <c r="H291" s="126"/>
      <c r="I291" s="126"/>
      <c r="J291" s="127"/>
      <c r="K291" s="126"/>
      <c r="L291" s="126"/>
      <c r="M291" s="128"/>
      <c r="N291" s="126"/>
      <c r="O291" s="126"/>
      <c r="P291" s="128"/>
      <c r="Q291" s="126"/>
      <c r="R291" s="126"/>
      <c r="S291" s="126"/>
      <c r="T291" s="139"/>
      <c r="U291" s="25"/>
      <c r="V291"/>
      <c r="W291"/>
    </row>
    <row r="292" spans="1:23" ht="19.95" customHeight="1">
      <c r="A292" s="361"/>
      <c r="B292" s="145"/>
      <c r="C292" s="126"/>
      <c r="D292" s="126"/>
      <c r="E292" s="126"/>
      <c r="F292" s="126"/>
      <c r="G292" s="125"/>
      <c r="H292" s="126"/>
      <c r="I292" s="126"/>
      <c r="J292" s="127"/>
      <c r="K292" s="126"/>
      <c r="L292" s="126"/>
      <c r="M292" s="128"/>
      <c r="N292" s="126"/>
      <c r="O292" s="126"/>
      <c r="P292" s="128"/>
      <c r="Q292" s="126"/>
      <c r="R292" s="126"/>
      <c r="S292" s="126"/>
      <c r="T292" s="139"/>
      <c r="U292" s="25"/>
      <c r="V292"/>
      <c r="W292"/>
    </row>
    <row r="293" spans="1:23" ht="19.95" customHeight="1">
      <c r="A293" s="361"/>
      <c r="B293" s="145"/>
      <c r="C293" s="126"/>
      <c r="D293" s="126"/>
      <c r="E293" s="126"/>
      <c r="F293" s="126"/>
      <c r="G293" s="125"/>
      <c r="H293" s="126"/>
      <c r="I293" s="126"/>
      <c r="J293" s="127"/>
      <c r="K293" s="126"/>
      <c r="L293" s="126"/>
      <c r="M293" s="128"/>
      <c r="N293" s="126"/>
      <c r="O293" s="126"/>
      <c r="P293" s="128"/>
      <c r="Q293" s="126"/>
      <c r="R293" s="126"/>
      <c r="S293" s="126"/>
      <c r="T293" s="139"/>
      <c r="U293" s="25"/>
      <c r="V293"/>
      <c r="W293"/>
    </row>
    <row r="294" spans="1:23" ht="19.95" customHeight="1">
      <c r="A294" s="361"/>
      <c r="B294" s="145"/>
      <c r="C294" s="126"/>
      <c r="D294" s="126"/>
      <c r="E294" s="126"/>
      <c r="F294" s="126"/>
      <c r="G294" s="125"/>
      <c r="H294" s="126"/>
      <c r="I294" s="126"/>
      <c r="J294" s="127"/>
      <c r="K294" s="126"/>
      <c r="L294" s="126"/>
      <c r="M294" s="128"/>
      <c r="N294" s="126"/>
      <c r="O294" s="126"/>
      <c r="P294" s="128"/>
      <c r="Q294" s="126"/>
      <c r="R294" s="126"/>
      <c r="S294" s="126"/>
      <c r="T294" s="139"/>
      <c r="U294" s="25"/>
      <c r="V294"/>
      <c r="W294"/>
    </row>
    <row r="295" spans="1:23" ht="19.95" customHeight="1">
      <c r="A295" s="361"/>
      <c r="B295" s="145"/>
      <c r="C295" s="126"/>
      <c r="D295" s="126"/>
      <c r="E295" s="126"/>
      <c r="F295" s="126"/>
      <c r="G295" s="125"/>
      <c r="H295" s="126"/>
      <c r="I295" s="126"/>
      <c r="J295" s="127"/>
      <c r="K295" s="126"/>
      <c r="L295" s="126"/>
      <c r="M295" s="128"/>
      <c r="N295" s="126"/>
      <c r="O295" s="126"/>
      <c r="P295" s="128"/>
      <c r="Q295" s="126"/>
      <c r="R295" s="126"/>
      <c r="S295" s="126"/>
      <c r="T295" s="139"/>
      <c r="U295" s="25"/>
      <c r="V295"/>
      <c r="W295"/>
    </row>
    <row r="296" spans="1:23" ht="19.95" customHeight="1">
      <c r="A296" s="361"/>
      <c r="B296" s="145"/>
      <c r="C296" s="126"/>
      <c r="D296" s="126"/>
      <c r="E296" s="126"/>
      <c r="F296" s="126"/>
      <c r="G296" s="125"/>
      <c r="H296" s="126"/>
      <c r="I296" s="126"/>
      <c r="J296" s="127"/>
      <c r="K296" s="126"/>
      <c r="L296" s="126"/>
      <c r="M296" s="128"/>
      <c r="N296" s="126"/>
      <c r="O296" s="126"/>
      <c r="P296" s="128"/>
      <c r="Q296" s="126"/>
      <c r="R296" s="126"/>
      <c r="S296" s="126"/>
      <c r="T296" s="139"/>
      <c r="U296" s="25"/>
      <c r="V296"/>
      <c r="W296"/>
    </row>
    <row r="297" spans="1:23" ht="19.95" customHeight="1">
      <c r="A297" s="361"/>
      <c r="B297" s="145"/>
      <c r="C297" s="126"/>
      <c r="D297" s="126"/>
      <c r="E297" s="126"/>
      <c r="F297" s="126"/>
      <c r="G297" s="125"/>
      <c r="H297" s="126"/>
      <c r="I297" s="126"/>
      <c r="J297" s="127"/>
      <c r="K297" s="126"/>
      <c r="L297" s="126"/>
      <c r="M297" s="128"/>
      <c r="N297" s="126"/>
      <c r="O297" s="126"/>
      <c r="P297" s="128"/>
      <c r="Q297" s="126"/>
      <c r="R297" s="126"/>
      <c r="S297" s="126"/>
      <c r="T297" s="139"/>
      <c r="U297" s="25"/>
      <c r="V297"/>
      <c r="W297"/>
    </row>
    <row r="298" spans="1:23" ht="19.95" customHeight="1">
      <c r="A298" s="361"/>
      <c r="B298" s="145"/>
      <c r="C298" s="126"/>
      <c r="D298" s="126"/>
      <c r="E298" s="126"/>
      <c r="F298" s="126"/>
      <c r="G298" s="125"/>
      <c r="H298" s="126"/>
      <c r="I298" s="126"/>
      <c r="J298" s="127"/>
      <c r="K298" s="126"/>
      <c r="L298" s="126"/>
      <c r="M298" s="128"/>
      <c r="N298" s="126"/>
      <c r="O298" s="126"/>
      <c r="P298" s="128"/>
      <c r="Q298" s="126"/>
      <c r="R298" s="126"/>
      <c r="S298" s="126"/>
      <c r="T298" s="139"/>
      <c r="U298" s="25"/>
      <c r="V298"/>
      <c r="W298"/>
    </row>
    <row r="299" spans="1:23" ht="19.95" customHeight="1">
      <c r="A299" s="361"/>
      <c r="B299" s="145"/>
      <c r="C299" s="126"/>
      <c r="D299" s="126"/>
      <c r="E299" s="126"/>
      <c r="F299" s="126"/>
      <c r="G299" s="125"/>
      <c r="H299" s="126"/>
      <c r="I299" s="126"/>
      <c r="J299" s="127"/>
      <c r="K299" s="126"/>
      <c r="L299" s="126"/>
      <c r="M299" s="128"/>
      <c r="N299" s="126"/>
      <c r="O299" s="126"/>
      <c r="P299" s="128"/>
      <c r="Q299" s="126"/>
      <c r="R299" s="126"/>
      <c r="S299" s="126"/>
      <c r="T299" s="139"/>
      <c r="U299" s="25"/>
      <c r="V299"/>
      <c r="W299"/>
    </row>
    <row r="300" spans="1:23" ht="19.95" customHeight="1" thickBot="1">
      <c r="A300" s="362"/>
      <c r="B300" s="146"/>
      <c r="C300" s="140"/>
      <c r="D300" s="140"/>
      <c r="E300" s="140"/>
      <c r="F300" s="140"/>
      <c r="G300" s="141"/>
      <c r="H300" s="140"/>
      <c r="I300" s="140"/>
      <c r="J300" s="142"/>
      <c r="K300" s="140"/>
      <c r="L300" s="140"/>
      <c r="M300" s="143"/>
      <c r="N300" s="140"/>
      <c r="O300" s="140"/>
      <c r="P300" s="143"/>
      <c r="Q300" s="140"/>
      <c r="R300" s="140"/>
      <c r="S300" s="140"/>
      <c r="T300" s="144"/>
      <c r="U300" s="25"/>
      <c r="V300"/>
      <c r="W300"/>
    </row>
    <row r="301" spans="1:23" ht="19.95" customHeight="1">
      <c r="A301" s="360" t="str">
        <f>'Read Me First'!C16</f>
        <v>Basingstoke &amp; Mid Hants AC</v>
      </c>
      <c r="B301" s="133" cm="1">
        <f t="array" ref="B301:T310">_xlfn.LET(_xlpm.x, _xlfn._xlws.SORT(_xlfn._xlws.FILTER(Data!$A$33:$S$212,(Data!$C$33:$C$212=$A301)*(Data!$D$33:$D$212=$E$196)*(Data!$E$33:$E$212="U10")),18),_xlpm.y,_xlfn._xlws.SORT(_xlfn._xlws.FILTER(Data!$A$33:$S$212,(Data!$C$33:$C$212=$A301)*(Data!$D$33:$D$212=$E$196)*(Data!$E$33:$E$212="U12")),19), IFERROR(_xlfn.VSTACK(_xlpm.x,_xlpm.y), IFERROR(_xlpm.y,IFERROR(_xlpm.x, ""))))</f>
        <v>112</v>
      </c>
      <c r="C301" s="134" t="str">
        <v>NOAH GRAHAM</v>
      </c>
      <c r="D301" s="134" t="str">
        <v>Basingstoke &amp; Mid Hants AC</v>
      </c>
      <c r="E301" s="134" t="str">
        <v>BOYS</v>
      </c>
      <c r="F301" s="134" t="str">
        <v>U12</v>
      </c>
      <c r="G301" s="135">
        <v>11.3</v>
      </c>
      <c r="H301" s="134">
        <v>57</v>
      </c>
      <c r="I301" s="134" t="str">
        <v>PB8</v>
      </c>
      <c r="J301" s="136">
        <v>1.3287037037037037E-3</v>
      </c>
      <c r="K301" s="134">
        <v>75</v>
      </c>
      <c r="L301" s="134" t="str">
        <v>PB6</v>
      </c>
      <c r="M301" s="137">
        <v>3.82</v>
      </c>
      <c r="N301" s="134">
        <v>64</v>
      </c>
      <c r="O301" s="134" t="str">
        <v>PB8</v>
      </c>
      <c r="P301" s="137">
        <v>33.53</v>
      </c>
      <c r="Q301" s="134">
        <v>67</v>
      </c>
      <c r="R301" s="134">
        <v>263</v>
      </c>
      <c r="S301" s="134">
        <v>1</v>
      </c>
      <c r="T301" s="138">
        <v>2</v>
      </c>
      <c r="U301" s="25"/>
      <c r="V301"/>
      <c r="W301"/>
    </row>
    <row r="302" spans="1:23" ht="19.95" customHeight="1">
      <c r="A302" s="361"/>
      <c r="B302" s="145">
        <v>113</v>
      </c>
      <c r="C302" s="126" t="str">
        <v>ROME ALEXANDER SOLOMAN</v>
      </c>
      <c r="D302" s="126" t="str">
        <v>Basingstoke &amp; Mid Hants AC</v>
      </c>
      <c r="E302" s="126" t="str">
        <v>BOYS</v>
      </c>
      <c r="F302" s="126" t="str">
        <v>U12</v>
      </c>
      <c r="G302" s="125">
        <v>10.8</v>
      </c>
      <c r="H302" s="126">
        <v>62</v>
      </c>
      <c r="I302" s="126" t="str">
        <v>PB9</v>
      </c>
      <c r="J302" s="127">
        <v>1.4108796296296298E-3</v>
      </c>
      <c r="K302" s="126">
        <v>68</v>
      </c>
      <c r="L302" s="126" t="str">
        <v>PB4</v>
      </c>
      <c r="M302" s="128">
        <v>3.93</v>
      </c>
      <c r="N302" s="126">
        <v>67</v>
      </c>
      <c r="O302" s="126" t="str">
        <v>PB8</v>
      </c>
      <c r="P302" s="128">
        <v>23.78</v>
      </c>
      <c r="Q302" s="126">
        <v>47</v>
      </c>
      <c r="R302" s="126">
        <v>244</v>
      </c>
      <c r="S302" s="126">
        <v>2</v>
      </c>
      <c r="T302" s="139">
        <v>8</v>
      </c>
      <c r="U302" s="25"/>
      <c r="V302"/>
      <c r="W302"/>
    </row>
    <row r="303" spans="1:23" ht="19.95" customHeight="1">
      <c r="A303" s="361"/>
      <c r="B303" s="145">
        <v>118</v>
      </c>
      <c r="C303" s="126" t="str">
        <v>TOBY POWELL</v>
      </c>
      <c r="D303" s="126" t="str">
        <v>Basingstoke &amp; Mid Hants AC</v>
      </c>
      <c r="E303" s="126" t="str">
        <v>BOYS</v>
      </c>
      <c r="F303" s="126" t="str">
        <v>U12</v>
      </c>
      <c r="G303" s="125">
        <v>12.1</v>
      </c>
      <c r="H303" s="126">
        <v>49</v>
      </c>
      <c r="I303" s="126" t="str">
        <v>PB6</v>
      </c>
      <c r="J303" s="127">
        <v>1.3368055555555555E-3</v>
      </c>
      <c r="K303" s="126">
        <v>74</v>
      </c>
      <c r="L303" s="126" t="str">
        <v>PB5</v>
      </c>
      <c r="M303" s="128">
        <v>2.98</v>
      </c>
      <c r="N303" s="126">
        <v>36</v>
      </c>
      <c r="O303" s="126" t="str">
        <v>PB4</v>
      </c>
      <c r="P303" s="128">
        <v>32.950000000000003</v>
      </c>
      <c r="Q303" s="126">
        <v>65</v>
      </c>
      <c r="R303" s="126">
        <v>224</v>
      </c>
      <c r="S303" s="126">
        <v>3</v>
      </c>
      <c r="T303" s="139">
        <v>12</v>
      </c>
      <c r="U303" s="25"/>
      <c r="V303"/>
      <c r="W303"/>
    </row>
    <row r="304" spans="1:23" ht="19.95" customHeight="1">
      <c r="A304" s="361"/>
      <c r="B304" s="145">
        <v>117</v>
      </c>
      <c r="C304" s="126" t="str">
        <v>JAY GOVIND</v>
      </c>
      <c r="D304" s="126" t="str">
        <v>Basingstoke &amp; Mid Hants AC</v>
      </c>
      <c r="E304" s="126" t="str">
        <v>BOYS</v>
      </c>
      <c r="F304" s="126" t="str">
        <v>U12</v>
      </c>
      <c r="G304" s="125">
        <v>11.7</v>
      </c>
      <c r="H304" s="126">
        <v>53</v>
      </c>
      <c r="I304" s="126" t="str">
        <v>PB7</v>
      </c>
      <c r="J304" s="127">
        <v>1.517361111111111E-3</v>
      </c>
      <c r="K304" s="126">
        <v>58</v>
      </c>
      <c r="L304" s="126" t="str">
        <v>PB2</v>
      </c>
      <c r="M304" s="128">
        <v>2.87</v>
      </c>
      <c r="N304" s="126">
        <v>32</v>
      </c>
      <c r="O304" s="126" t="str">
        <v>PB4</v>
      </c>
      <c r="P304" s="128">
        <v>36</v>
      </c>
      <c r="Q304" s="126">
        <v>72</v>
      </c>
      <c r="R304" s="126">
        <v>215</v>
      </c>
      <c r="S304" s="126">
        <v>4</v>
      </c>
      <c r="T304" s="139">
        <v>15</v>
      </c>
      <c r="U304" s="25"/>
      <c r="V304"/>
      <c r="W304"/>
    </row>
    <row r="305" spans="1:23" ht="19.95" customHeight="1">
      <c r="A305" s="361"/>
      <c r="B305" s="145">
        <v>114</v>
      </c>
      <c r="C305" s="126" t="str">
        <v>ISAAC STEWART</v>
      </c>
      <c r="D305" s="126" t="str">
        <v>Basingstoke &amp; Mid Hants AC</v>
      </c>
      <c r="E305" s="126" t="str">
        <v>BOYS</v>
      </c>
      <c r="F305" s="126" t="str">
        <v>U12</v>
      </c>
      <c r="G305" s="125">
        <v>11.2</v>
      </c>
      <c r="H305" s="126">
        <v>58</v>
      </c>
      <c r="I305" s="126" t="str">
        <v>PB9</v>
      </c>
      <c r="J305" s="127">
        <v>1.4675925925925926E-3</v>
      </c>
      <c r="K305" s="126">
        <v>63</v>
      </c>
      <c r="L305" s="126" t="str">
        <v>PB3</v>
      </c>
      <c r="M305" s="128">
        <v>3.56</v>
      </c>
      <c r="N305" s="126">
        <v>55</v>
      </c>
      <c r="O305" s="126" t="str">
        <v>PB7</v>
      </c>
      <c r="P305" s="128">
        <v>16.239999999999998</v>
      </c>
      <c r="Q305" s="126">
        <v>32</v>
      </c>
      <c r="R305" s="126">
        <v>208</v>
      </c>
      <c r="S305" s="126">
        <v>5</v>
      </c>
      <c r="T305" s="139">
        <v>19</v>
      </c>
      <c r="U305" s="19"/>
      <c r="V305"/>
      <c r="W305"/>
    </row>
    <row r="306" spans="1:23" ht="19.95" customHeight="1">
      <c r="A306" s="361"/>
      <c r="B306" s="145">
        <v>111</v>
      </c>
      <c r="C306" s="126" t="str">
        <v>JENSON PROUT</v>
      </c>
      <c r="D306" s="126" t="str">
        <v>Basingstoke &amp; Mid Hants AC</v>
      </c>
      <c r="E306" s="126" t="str">
        <v>BOYS</v>
      </c>
      <c r="F306" s="126" t="str">
        <v>U12</v>
      </c>
      <c r="G306" s="125">
        <v>12</v>
      </c>
      <c r="H306" s="126">
        <v>50</v>
      </c>
      <c r="I306" s="126" t="str">
        <v>PB7</v>
      </c>
      <c r="J306" s="127">
        <v>1.5740740740740741E-3</v>
      </c>
      <c r="K306" s="126">
        <v>54</v>
      </c>
      <c r="L306" s="126" t="str">
        <v>PB2</v>
      </c>
      <c r="M306" s="128">
        <v>2.74</v>
      </c>
      <c r="N306" s="126">
        <v>28</v>
      </c>
      <c r="O306" s="126" t="str">
        <v>PB3</v>
      </c>
      <c r="P306" s="128">
        <v>32.86</v>
      </c>
      <c r="Q306" s="126">
        <v>65</v>
      </c>
      <c r="R306" s="126">
        <v>197</v>
      </c>
      <c r="S306" s="126">
        <v>6</v>
      </c>
      <c r="T306" s="139">
        <v>23</v>
      </c>
      <c r="U306" s="25"/>
      <c r="V306"/>
      <c r="W306"/>
    </row>
    <row r="307" spans="1:23" ht="19.95" customHeight="1">
      <c r="A307" s="361"/>
      <c r="B307" s="145">
        <v>119</v>
      </c>
      <c r="C307" s="126" t="str">
        <v>ALEX WILKINSON</v>
      </c>
      <c r="D307" s="126" t="str">
        <v>Basingstoke &amp; Mid Hants AC</v>
      </c>
      <c r="E307" s="126" t="str">
        <v>BOYS</v>
      </c>
      <c r="F307" s="126" t="str">
        <v>U12</v>
      </c>
      <c r="G307" s="125">
        <v>12.5</v>
      </c>
      <c r="H307" s="126">
        <v>45</v>
      </c>
      <c r="I307" s="126" t="str">
        <v>PB6</v>
      </c>
      <c r="J307" s="127">
        <v>1.523148148148148E-3</v>
      </c>
      <c r="K307" s="126">
        <v>58</v>
      </c>
      <c r="L307" s="126" t="str">
        <v>PB2</v>
      </c>
      <c r="M307" s="128">
        <v>2.92</v>
      </c>
      <c r="N307" s="126">
        <v>34</v>
      </c>
      <c r="O307" s="126" t="str">
        <v>PB4</v>
      </c>
      <c r="P307" s="128">
        <v>26.94</v>
      </c>
      <c r="Q307" s="126">
        <v>53</v>
      </c>
      <c r="R307" s="126">
        <v>190</v>
      </c>
      <c r="S307" s="126">
        <v>7</v>
      </c>
      <c r="T307" s="139">
        <v>28</v>
      </c>
      <c r="U307" s="25"/>
      <c r="V307"/>
      <c r="W307"/>
    </row>
    <row r="308" spans="1:23" ht="19.95" customHeight="1">
      <c r="A308" s="361"/>
      <c r="B308" s="145">
        <v>115</v>
      </c>
      <c r="C308" s="126" t="str">
        <v>ELLIOTT LEAVEY</v>
      </c>
      <c r="D308" s="126" t="str">
        <v>Basingstoke &amp; Mid Hants AC</v>
      </c>
      <c r="E308" s="126" t="str">
        <v>BOYS</v>
      </c>
      <c r="F308" s="126" t="str">
        <v>U12</v>
      </c>
      <c r="G308" s="125">
        <v>12</v>
      </c>
      <c r="H308" s="126">
        <v>50</v>
      </c>
      <c r="I308" s="126" t="str">
        <v>PB7</v>
      </c>
      <c r="J308" s="127">
        <v>1.5648148148148147E-3</v>
      </c>
      <c r="K308" s="126">
        <v>54</v>
      </c>
      <c r="L308" s="126" t="str">
        <v>PB2</v>
      </c>
      <c r="M308" s="128">
        <v>2.36</v>
      </c>
      <c r="N308" s="126">
        <v>15</v>
      </c>
      <c r="O308" s="126" t="str">
        <v>PB2</v>
      </c>
      <c r="P308" s="128">
        <v>27.31</v>
      </c>
      <c r="Q308" s="126">
        <v>54</v>
      </c>
      <c r="R308" s="126">
        <v>173</v>
      </c>
      <c r="S308" s="126">
        <v>8</v>
      </c>
      <c r="T308" s="139">
        <v>34</v>
      </c>
      <c r="U308" s="25"/>
      <c r="V308"/>
      <c r="W308"/>
    </row>
    <row r="309" spans="1:23" ht="19.95" customHeight="1">
      <c r="A309" s="361"/>
      <c r="B309" s="145">
        <v>120</v>
      </c>
      <c r="C309" s="126" t="str">
        <v>ETHAN WEIGHT</v>
      </c>
      <c r="D309" s="126" t="str">
        <v>Basingstoke &amp; Mid Hants AC</v>
      </c>
      <c r="E309" s="126" t="str">
        <v>BOYS</v>
      </c>
      <c r="F309" s="126" t="str">
        <v>U12</v>
      </c>
      <c r="G309" s="125">
        <v>12.2</v>
      </c>
      <c r="H309" s="126">
        <v>48</v>
      </c>
      <c r="I309" s="126" t="str">
        <v>PB6</v>
      </c>
      <c r="J309" s="127">
        <v>1.5671296296296297E-3</v>
      </c>
      <c r="K309" s="126">
        <v>54</v>
      </c>
      <c r="L309" s="126" t="str">
        <v>PB2</v>
      </c>
      <c r="M309" s="128">
        <v>2.56</v>
      </c>
      <c r="N309" s="126">
        <v>22</v>
      </c>
      <c r="O309" s="126" t="str">
        <v>PB3</v>
      </c>
      <c r="P309" s="128">
        <v>15.66</v>
      </c>
      <c r="Q309" s="126">
        <v>31</v>
      </c>
      <c r="R309" s="126">
        <v>155</v>
      </c>
      <c r="S309" s="126">
        <v>9</v>
      </c>
      <c r="T309" s="139">
        <v>39</v>
      </c>
      <c r="U309" s="25"/>
      <c r="V309"/>
      <c r="W309"/>
    </row>
    <row r="310" spans="1:23" ht="19.95" customHeight="1">
      <c r="A310" s="361"/>
      <c r="B310" s="145">
        <v>116</v>
      </c>
      <c r="C310" s="126" t="str">
        <v>MYLES GODDARD</v>
      </c>
      <c r="D310" s="126" t="str">
        <v>Basingstoke &amp; Mid Hants AC</v>
      </c>
      <c r="E310" s="126" t="str">
        <v>BOYS</v>
      </c>
      <c r="F310" s="126" t="str">
        <v>U12</v>
      </c>
      <c r="G310" s="125">
        <v>11.8</v>
      </c>
      <c r="H310" s="126">
        <v>52</v>
      </c>
      <c r="I310" s="126" t="str">
        <v>PB7</v>
      </c>
      <c r="J310" s="127">
        <v>0</v>
      </c>
      <c r="K310" s="126">
        <v>0</v>
      </c>
      <c r="L310" s="126" t="str">
        <v/>
      </c>
      <c r="M310" s="128">
        <v>2.78</v>
      </c>
      <c r="N310" s="126">
        <v>29</v>
      </c>
      <c r="O310" s="126" t="str">
        <v>PB4</v>
      </c>
      <c r="P310" s="128">
        <v>17.43</v>
      </c>
      <c r="Q310" s="126">
        <v>34</v>
      </c>
      <c r="R310" s="126">
        <v>115</v>
      </c>
      <c r="S310" s="126">
        <v>10</v>
      </c>
      <c r="T310" s="139">
        <v>44</v>
      </c>
      <c r="U310" s="25"/>
      <c r="V310"/>
      <c r="W310"/>
    </row>
    <row r="311" spans="1:23" ht="19.95" customHeight="1">
      <c r="A311" s="361"/>
      <c r="B311" s="145"/>
      <c r="C311" s="126"/>
      <c r="D311" s="126"/>
      <c r="E311" s="126"/>
      <c r="F311" s="126"/>
      <c r="G311" s="125"/>
      <c r="H311" s="126"/>
      <c r="I311" s="126"/>
      <c r="J311" s="127"/>
      <c r="K311" s="126"/>
      <c r="L311" s="126"/>
      <c r="M311" s="128"/>
      <c r="N311" s="126"/>
      <c r="O311" s="126"/>
      <c r="P311" s="128"/>
      <c r="Q311" s="126"/>
      <c r="R311" s="126"/>
      <c r="S311" s="126"/>
      <c r="T311" s="139"/>
      <c r="U311" s="25"/>
      <c r="V311"/>
      <c r="W311"/>
    </row>
    <row r="312" spans="1:23" ht="19.95" customHeight="1">
      <c r="A312" s="361"/>
      <c r="B312" s="145"/>
      <c r="C312" s="126"/>
      <c r="D312" s="126"/>
      <c r="E312" s="126"/>
      <c r="F312" s="126"/>
      <c r="G312" s="125"/>
      <c r="H312" s="126"/>
      <c r="I312" s="126"/>
      <c r="J312" s="127"/>
      <c r="K312" s="126"/>
      <c r="L312" s="126"/>
      <c r="M312" s="128"/>
      <c r="N312" s="126"/>
      <c r="O312" s="126"/>
      <c r="P312" s="128"/>
      <c r="Q312" s="126"/>
      <c r="R312" s="126"/>
      <c r="S312" s="126"/>
      <c r="T312" s="139"/>
      <c r="U312" s="25"/>
      <c r="V312"/>
      <c r="W312"/>
    </row>
    <row r="313" spans="1:23" ht="19.95" customHeight="1">
      <c r="A313" s="361"/>
      <c r="B313" s="145"/>
      <c r="C313" s="126"/>
      <c r="D313" s="126"/>
      <c r="E313" s="126"/>
      <c r="F313" s="126"/>
      <c r="G313" s="125"/>
      <c r="H313" s="126"/>
      <c r="I313" s="126"/>
      <c r="J313" s="127"/>
      <c r="K313" s="126"/>
      <c r="L313" s="126"/>
      <c r="M313" s="128"/>
      <c r="N313" s="126"/>
      <c r="O313" s="126"/>
      <c r="P313" s="128"/>
      <c r="Q313" s="126"/>
      <c r="R313" s="126"/>
      <c r="S313" s="126"/>
      <c r="T313" s="139"/>
      <c r="U313" s="25"/>
      <c r="V313"/>
      <c r="W313"/>
    </row>
    <row r="314" spans="1:23" ht="19.95" customHeight="1">
      <c r="A314" s="361"/>
      <c r="B314" s="145"/>
      <c r="C314" s="126"/>
      <c r="D314" s="126"/>
      <c r="E314" s="126"/>
      <c r="F314" s="126"/>
      <c r="G314" s="125"/>
      <c r="H314" s="126"/>
      <c r="I314" s="126"/>
      <c r="J314" s="127"/>
      <c r="K314" s="126"/>
      <c r="L314" s="126"/>
      <c r="M314" s="128"/>
      <c r="N314" s="126"/>
      <c r="O314" s="126"/>
      <c r="P314" s="128"/>
      <c r="Q314" s="126"/>
      <c r="R314" s="126"/>
      <c r="S314" s="126"/>
      <c r="T314" s="139"/>
      <c r="U314" s="25"/>
      <c r="V314"/>
      <c r="W314"/>
    </row>
    <row r="315" spans="1:23" ht="19.95" customHeight="1">
      <c r="A315" s="361"/>
      <c r="B315" s="145"/>
      <c r="C315" s="126"/>
      <c r="D315" s="126"/>
      <c r="E315" s="126"/>
      <c r="F315" s="126"/>
      <c r="G315" s="125"/>
      <c r="H315" s="126"/>
      <c r="I315" s="126"/>
      <c r="J315" s="127"/>
      <c r="K315" s="126"/>
      <c r="L315" s="126"/>
      <c r="M315" s="128"/>
      <c r="N315" s="126"/>
      <c r="O315" s="126"/>
      <c r="P315" s="128"/>
      <c r="Q315" s="126"/>
      <c r="R315" s="126"/>
      <c r="S315" s="126"/>
      <c r="T315" s="139"/>
      <c r="U315" s="25"/>
      <c r="V315"/>
      <c r="W315"/>
    </row>
    <row r="316" spans="1:23" ht="19.95" customHeight="1">
      <c r="A316" s="361"/>
      <c r="B316" s="145"/>
      <c r="C316" s="126"/>
      <c r="D316" s="126"/>
      <c r="E316" s="126"/>
      <c r="F316" s="126"/>
      <c r="G316" s="125"/>
      <c r="H316" s="126"/>
      <c r="I316" s="126"/>
      <c r="J316" s="127"/>
      <c r="K316" s="126"/>
      <c r="L316" s="126"/>
      <c r="M316" s="128"/>
      <c r="N316" s="126"/>
      <c r="O316" s="126"/>
      <c r="P316" s="128"/>
      <c r="Q316" s="126"/>
      <c r="R316" s="126"/>
      <c r="S316" s="126"/>
      <c r="T316" s="139"/>
      <c r="U316" s="25"/>
      <c r="V316"/>
      <c r="W316"/>
    </row>
    <row r="317" spans="1:23" ht="19.95" customHeight="1">
      <c r="A317" s="361"/>
      <c r="B317" s="145"/>
      <c r="C317" s="126"/>
      <c r="D317" s="126"/>
      <c r="E317" s="126"/>
      <c r="F317" s="126"/>
      <c r="G317" s="125"/>
      <c r="H317" s="126"/>
      <c r="I317" s="126"/>
      <c r="J317" s="127"/>
      <c r="K317" s="126"/>
      <c r="L317" s="126"/>
      <c r="M317" s="128"/>
      <c r="N317" s="126"/>
      <c r="O317" s="126"/>
      <c r="P317" s="128"/>
      <c r="Q317" s="126"/>
      <c r="R317" s="126"/>
      <c r="S317" s="126"/>
      <c r="T317" s="139"/>
      <c r="U317" s="25"/>
      <c r="V317"/>
      <c r="W317"/>
    </row>
    <row r="318" spans="1:23" ht="19.95" customHeight="1">
      <c r="A318" s="361"/>
      <c r="B318" s="145"/>
      <c r="C318" s="126"/>
      <c r="D318" s="126"/>
      <c r="E318" s="126"/>
      <c r="F318" s="126"/>
      <c r="G318" s="125"/>
      <c r="H318" s="126"/>
      <c r="I318" s="126"/>
      <c r="J318" s="127"/>
      <c r="K318" s="126"/>
      <c r="L318" s="126"/>
      <c r="M318" s="128"/>
      <c r="N318" s="126"/>
      <c r="O318" s="126"/>
      <c r="P318" s="128"/>
      <c r="Q318" s="126"/>
      <c r="R318" s="126"/>
      <c r="S318" s="126"/>
      <c r="T318" s="139"/>
      <c r="U318" s="25"/>
      <c r="V318"/>
      <c r="W318"/>
    </row>
    <row r="319" spans="1:23" ht="19.95" customHeight="1">
      <c r="A319" s="361"/>
      <c r="B319" s="145"/>
      <c r="C319" s="126"/>
      <c r="D319" s="126"/>
      <c r="E319" s="126"/>
      <c r="F319" s="126"/>
      <c r="G319" s="125"/>
      <c r="H319" s="126"/>
      <c r="I319" s="126"/>
      <c r="J319" s="127"/>
      <c r="K319" s="126"/>
      <c r="L319" s="126"/>
      <c r="M319" s="128"/>
      <c r="N319" s="126"/>
      <c r="O319" s="126"/>
      <c r="P319" s="128"/>
      <c r="Q319" s="126"/>
      <c r="R319" s="126"/>
      <c r="S319" s="126"/>
      <c r="T319" s="139"/>
      <c r="U319" s="25"/>
      <c r="V319"/>
      <c r="W319"/>
    </row>
    <row r="320" spans="1:23" ht="19.95" customHeight="1">
      <c r="A320" s="361"/>
      <c r="B320" s="145"/>
      <c r="C320" s="126"/>
      <c r="D320" s="126"/>
      <c r="E320" s="126"/>
      <c r="F320" s="126"/>
      <c r="G320" s="125"/>
      <c r="H320" s="126"/>
      <c r="I320" s="126"/>
      <c r="J320" s="127"/>
      <c r="K320" s="126"/>
      <c r="L320" s="126"/>
      <c r="M320" s="128"/>
      <c r="N320" s="126"/>
      <c r="O320" s="126"/>
      <c r="P320" s="128"/>
      <c r="Q320" s="126"/>
      <c r="R320" s="126"/>
      <c r="S320" s="126"/>
      <c r="T320" s="139"/>
      <c r="U320" s="25"/>
      <c r="V320"/>
      <c r="W320"/>
    </row>
    <row r="321" spans="1:23" ht="19.95" customHeight="1">
      <c r="A321" s="361"/>
      <c r="B321" s="145"/>
      <c r="C321" s="126"/>
      <c r="D321" s="126"/>
      <c r="E321" s="126"/>
      <c r="F321" s="126"/>
      <c r="G321" s="125"/>
      <c r="H321" s="126"/>
      <c r="I321" s="126"/>
      <c r="J321" s="127"/>
      <c r="K321" s="126"/>
      <c r="L321" s="126"/>
      <c r="M321" s="128"/>
      <c r="N321" s="126"/>
      <c r="O321" s="126"/>
      <c r="P321" s="128"/>
      <c r="Q321" s="126"/>
      <c r="R321" s="126"/>
      <c r="S321" s="126"/>
      <c r="T321" s="139"/>
      <c r="U321" s="25"/>
      <c r="V321"/>
      <c r="W321"/>
    </row>
    <row r="322" spans="1:23" ht="19.95" customHeight="1">
      <c r="A322" s="361"/>
      <c r="B322" s="145"/>
      <c r="C322" s="126"/>
      <c r="D322" s="126"/>
      <c r="E322" s="126"/>
      <c r="F322" s="126"/>
      <c r="G322" s="125"/>
      <c r="H322" s="126"/>
      <c r="I322" s="126"/>
      <c r="J322" s="127"/>
      <c r="K322" s="126"/>
      <c r="L322" s="126"/>
      <c r="M322" s="128"/>
      <c r="N322" s="126"/>
      <c r="O322" s="126"/>
      <c r="P322" s="128"/>
      <c r="Q322" s="126"/>
      <c r="R322" s="126"/>
      <c r="S322" s="126"/>
      <c r="T322" s="139"/>
      <c r="U322" s="25"/>
      <c r="V322"/>
      <c r="W322"/>
    </row>
    <row r="323" spans="1:23" ht="19.95" customHeight="1">
      <c r="A323" s="361"/>
      <c r="B323" s="145"/>
      <c r="C323" s="126"/>
      <c r="D323" s="126"/>
      <c r="E323" s="126"/>
      <c r="F323" s="126"/>
      <c r="G323" s="125"/>
      <c r="H323" s="126"/>
      <c r="I323" s="126"/>
      <c r="J323" s="127"/>
      <c r="K323" s="126"/>
      <c r="L323" s="126"/>
      <c r="M323" s="128"/>
      <c r="N323" s="126"/>
      <c r="O323" s="126"/>
      <c r="P323" s="128"/>
      <c r="Q323" s="126"/>
      <c r="R323" s="126"/>
      <c r="S323" s="126"/>
      <c r="T323" s="139"/>
      <c r="U323" s="25"/>
      <c r="V323"/>
      <c r="W323"/>
    </row>
    <row r="324" spans="1:23" ht="19.95" customHeight="1">
      <c r="A324" s="361"/>
      <c r="B324" s="145"/>
      <c r="C324" s="126"/>
      <c r="D324" s="126"/>
      <c r="E324" s="126"/>
      <c r="F324" s="126"/>
      <c r="G324" s="125"/>
      <c r="H324" s="126"/>
      <c r="I324" s="126"/>
      <c r="J324" s="127"/>
      <c r="K324" s="126"/>
      <c r="L324" s="126"/>
      <c r="M324" s="128"/>
      <c r="N324" s="126"/>
      <c r="O324" s="126"/>
      <c r="P324" s="128"/>
      <c r="Q324" s="126"/>
      <c r="R324" s="126"/>
      <c r="S324" s="126"/>
      <c r="T324" s="139"/>
      <c r="U324" s="25"/>
      <c r="V324"/>
      <c r="W324"/>
    </row>
    <row r="325" spans="1:23" ht="19.95" customHeight="1" thickBot="1">
      <c r="A325" s="362"/>
      <c r="B325" s="146"/>
      <c r="C325" s="140"/>
      <c r="D325" s="140"/>
      <c r="E325" s="140"/>
      <c r="F325" s="140"/>
      <c r="G325" s="141"/>
      <c r="H325" s="140"/>
      <c r="I325" s="140"/>
      <c r="J325" s="142"/>
      <c r="K325" s="140"/>
      <c r="L325" s="140"/>
      <c r="M325" s="143"/>
      <c r="N325" s="140"/>
      <c r="O325" s="140"/>
      <c r="P325" s="143"/>
      <c r="Q325" s="140"/>
      <c r="R325" s="140"/>
      <c r="S325" s="140"/>
      <c r="T325" s="144"/>
      <c r="U325" s="25"/>
      <c r="V325"/>
      <c r="W325"/>
    </row>
    <row r="326" spans="1:23" ht="19.95" customHeight="1">
      <c r="A326" s="360" t="str">
        <f>'Read Me First'!C17</f>
        <v/>
      </c>
      <c r="B326" s="133" cm="1">
        <f t="array" ref="B326:T335">_xlfn.LET(_xlpm.x, _xlfn._xlws.SORT(_xlfn._xlws.FILTER(Data!$A$33:$S$212,(Data!$C$33:$C$212=$A326)*(Data!$D$33:$D$212=$E$196)*(Data!$E$33:$E$212="U10")),18),_xlpm.y,_xlfn._xlws.SORT(_xlfn._xlws.FILTER(Data!$A$33:$S$212,(Data!$C$33:$C$212=$A326)*(Data!$D$33:$D$212=$E$196)*(Data!$E$33:$E$212="U12")),19), IFERROR(_xlfn.VSTACK(_xlpm.x,_xlpm.y), IFERROR(_xlpm.y,IFERROR(_xlpm.x, ""))))</f>
        <v>131</v>
      </c>
      <c r="C326" s="134" t="str">
        <v/>
      </c>
      <c r="D326" s="134" t="str">
        <v/>
      </c>
      <c r="E326" s="134" t="str">
        <v>BOYS</v>
      </c>
      <c r="F326" s="134" t="str">
        <v>U12</v>
      </c>
      <c r="G326" s="135" t="str">
        <v/>
      </c>
      <c r="H326" s="134">
        <v>0</v>
      </c>
      <c r="I326" s="134" t="str">
        <v/>
      </c>
      <c r="J326" s="136">
        <v>0</v>
      </c>
      <c r="K326" s="134">
        <v>0</v>
      </c>
      <c r="L326" s="134" t="str">
        <v/>
      </c>
      <c r="M326" s="137" t="str">
        <v/>
      </c>
      <c r="N326" s="134">
        <v>0</v>
      </c>
      <c r="O326" s="134">
        <v>0</v>
      </c>
      <c r="P326" s="137" t="str">
        <v/>
      </c>
      <c r="Q326" s="134">
        <v>0</v>
      </c>
      <c r="R326" s="134">
        <v>0</v>
      </c>
      <c r="S326" s="134" t="str">
        <v/>
      </c>
      <c r="T326" s="138" t="str">
        <v/>
      </c>
      <c r="U326" s="19"/>
      <c r="V326"/>
      <c r="W326"/>
    </row>
    <row r="327" spans="1:23" ht="19.95" customHeight="1">
      <c r="A327" s="361"/>
      <c r="B327" s="145">
        <v>132</v>
      </c>
      <c r="C327" s="126" t="str">
        <v/>
      </c>
      <c r="D327" s="126" t="str">
        <v/>
      </c>
      <c r="E327" s="126" t="str">
        <v>BOYS</v>
      </c>
      <c r="F327" s="126" t="str">
        <v>U12</v>
      </c>
      <c r="G327" s="125" t="str">
        <v/>
      </c>
      <c r="H327" s="126">
        <v>0</v>
      </c>
      <c r="I327" s="126" t="str">
        <v/>
      </c>
      <c r="J327" s="127">
        <v>0</v>
      </c>
      <c r="K327" s="126">
        <v>0</v>
      </c>
      <c r="L327" s="126" t="str">
        <v/>
      </c>
      <c r="M327" s="128" t="str">
        <v/>
      </c>
      <c r="N327" s="126">
        <v>0</v>
      </c>
      <c r="O327" s="126">
        <v>0</v>
      </c>
      <c r="P327" s="128" t="str">
        <v/>
      </c>
      <c r="Q327" s="126">
        <v>0</v>
      </c>
      <c r="R327" s="126">
        <v>0</v>
      </c>
      <c r="S327" s="126" t="str">
        <v/>
      </c>
      <c r="T327" s="139" t="str">
        <v/>
      </c>
      <c r="U327" s="25"/>
      <c r="V327"/>
      <c r="W327"/>
    </row>
    <row r="328" spans="1:23" ht="19.95" customHeight="1">
      <c r="A328" s="361"/>
      <c r="B328" s="145">
        <v>133</v>
      </c>
      <c r="C328" s="126" t="str">
        <v/>
      </c>
      <c r="D328" s="126" t="str">
        <v/>
      </c>
      <c r="E328" s="126" t="str">
        <v>BOYS</v>
      </c>
      <c r="F328" s="126" t="str">
        <v>U12</v>
      </c>
      <c r="G328" s="125" t="str">
        <v/>
      </c>
      <c r="H328" s="126">
        <v>0</v>
      </c>
      <c r="I328" s="126" t="str">
        <v/>
      </c>
      <c r="J328" s="127">
        <v>0</v>
      </c>
      <c r="K328" s="126">
        <v>0</v>
      </c>
      <c r="L328" s="126" t="str">
        <v/>
      </c>
      <c r="M328" s="128" t="str">
        <v/>
      </c>
      <c r="N328" s="126">
        <v>0</v>
      </c>
      <c r="O328" s="126">
        <v>0</v>
      </c>
      <c r="P328" s="128" t="str">
        <v/>
      </c>
      <c r="Q328" s="126">
        <v>0</v>
      </c>
      <c r="R328" s="126">
        <v>0</v>
      </c>
      <c r="S328" s="126" t="str">
        <v/>
      </c>
      <c r="T328" s="139" t="str">
        <v/>
      </c>
      <c r="U328" s="25"/>
      <c r="V328"/>
      <c r="W328"/>
    </row>
    <row r="329" spans="1:23" ht="19.95" customHeight="1">
      <c r="A329" s="361"/>
      <c r="B329" s="145">
        <v>134</v>
      </c>
      <c r="C329" s="126" t="str">
        <v/>
      </c>
      <c r="D329" s="126" t="str">
        <v/>
      </c>
      <c r="E329" s="126" t="str">
        <v>BOYS</v>
      </c>
      <c r="F329" s="126" t="str">
        <v>U12</v>
      </c>
      <c r="G329" s="125" t="str">
        <v/>
      </c>
      <c r="H329" s="126">
        <v>0</v>
      </c>
      <c r="I329" s="126" t="str">
        <v/>
      </c>
      <c r="J329" s="127">
        <v>0</v>
      </c>
      <c r="K329" s="126">
        <v>0</v>
      </c>
      <c r="L329" s="126" t="str">
        <v/>
      </c>
      <c r="M329" s="128" t="str">
        <v/>
      </c>
      <c r="N329" s="126">
        <v>0</v>
      </c>
      <c r="O329" s="126">
        <v>0</v>
      </c>
      <c r="P329" s="128" t="str">
        <v/>
      </c>
      <c r="Q329" s="126">
        <v>0</v>
      </c>
      <c r="R329" s="126">
        <v>0</v>
      </c>
      <c r="S329" s="126" t="str">
        <v/>
      </c>
      <c r="T329" s="139" t="str">
        <v/>
      </c>
      <c r="U329" s="25"/>
      <c r="V329"/>
      <c r="W329"/>
    </row>
    <row r="330" spans="1:23" ht="19.95" customHeight="1">
      <c r="A330" s="361"/>
      <c r="B330" s="145">
        <v>135</v>
      </c>
      <c r="C330" s="126" t="str">
        <v/>
      </c>
      <c r="D330" s="126" t="str">
        <v/>
      </c>
      <c r="E330" s="126" t="str">
        <v>BOYS</v>
      </c>
      <c r="F330" s="126" t="str">
        <v>U12</v>
      </c>
      <c r="G330" s="125" t="str">
        <v/>
      </c>
      <c r="H330" s="126">
        <v>0</v>
      </c>
      <c r="I330" s="126" t="str">
        <v/>
      </c>
      <c r="J330" s="127">
        <v>0</v>
      </c>
      <c r="K330" s="126">
        <v>0</v>
      </c>
      <c r="L330" s="126" t="str">
        <v/>
      </c>
      <c r="M330" s="128" t="str">
        <v/>
      </c>
      <c r="N330" s="126">
        <v>0</v>
      </c>
      <c r="O330" s="126">
        <v>0</v>
      </c>
      <c r="P330" s="128" t="str">
        <v/>
      </c>
      <c r="Q330" s="126">
        <v>0</v>
      </c>
      <c r="R330" s="126">
        <v>0</v>
      </c>
      <c r="S330" s="126" t="str">
        <v/>
      </c>
      <c r="T330" s="139" t="str">
        <v/>
      </c>
      <c r="U330" s="25"/>
      <c r="V330"/>
      <c r="W330"/>
    </row>
    <row r="331" spans="1:23" ht="19.95" customHeight="1">
      <c r="A331" s="361"/>
      <c r="B331" s="145">
        <v>136</v>
      </c>
      <c r="C331" s="126" t="str">
        <v/>
      </c>
      <c r="D331" s="126" t="str">
        <v/>
      </c>
      <c r="E331" s="126" t="str">
        <v>BOYS</v>
      </c>
      <c r="F331" s="126" t="str">
        <v>U12</v>
      </c>
      <c r="G331" s="125" t="str">
        <v/>
      </c>
      <c r="H331" s="126">
        <v>0</v>
      </c>
      <c r="I331" s="126" t="str">
        <v/>
      </c>
      <c r="J331" s="127">
        <v>0</v>
      </c>
      <c r="K331" s="126">
        <v>0</v>
      </c>
      <c r="L331" s="126" t="str">
        <v/>
      </c>
      <c r="M331" s="128" t="str">
        <v/>
      </c>
      <c r="N331" s="126">
        <v>0</v>
      </c>
      <c r="O331" s="126">
        <v>0</v>
      </c>
      <c r="P331" s="128" t="str">
        <v/>
      </c>
      <c r="Q331" s="126">
        <v>0</v>
      </c>
      <c r="R331" s="126">
        <v>0</v>
      </c>
      <c r="S331" s="126" t="str">
        <v/>
      </c>
      <c r="T331" s="139" t="str">
        <v/>
      </c>
      <c r="U331" s="25"/>
      <c r="V331"/>
      <c r="W331"/>
    </row>
    <row r="332" spans="1:23" ht="19.95" customHeight="1">
      <c r="A332" s="361"/>
      <c r="B332" s="145">
        <v>137</v>
      </c>
      <c r="C332" s="126" t="str">
        <v/>
      </c>
      <c r="D332" s="126" t="str">
        <v/>
      </c>
      <c r="E332" s="126" t="str">
        <v>BOYS</v>
      </c>
      <c r="F332" s="126" t="str">
        <v>U12</v>
      </c>
      <c r="G332" s="125" t="str">
        <v/>
      </c>
      <c r="H332" s="126">
        <v>0</v>
      </c>
      <c r="I332" s="126" t="str">
        <v/>
      </c>
      <c r="J332" s="127">
        <v>0</v>
      </c>
      <c r="K332" s="126">
        <v>0</v>
      </c>
      <c r="L332" s="126" t="str">
        <v/>
      </c>
      <c r="M332" s="128" t="str">
        <v/>
      </c>
      <c r="N332" s="126">
        <v>0</v>
      </c>
      <c r="O332" s="126">
        <v>0</v>
      </c>
      <c r="P332" s="128" t="str">
        <v/>
      </c>
      <c r="Q332" s="126">
        <v>0</v>
      </c>
      <c r="R332" s="126">
        <v>0</v>
      </c>
      <c r="S332" s="126" t="str">
        <v/>
      </c>
      <c r="T332" s="139" t="str">
        <v/>
      </c>
      <c r="U332" s="25"/>
      <c r="V332"/>
      <c r="W332"/>
    </row>
    <row r="333" spans="1:23" ht="19.95" customHeight="1">
      <c r="A333" s="361"/>
      <c r="B333" s="145">
        <v>138</v>
      </c>
      <c r="C333" s="126" t="str">
        <v/>
      </c>
      <c r="D333" s="126" t="str">
        <v/>
      </c>
      <c r="E333" s="126" t="str">
        <v>BOYS</v>
      </c>
      <c r="F333" s="126" t="str">
        <v>U12</v>
      </c>
      <c r="G333" s="125" t="str">
        <v/>
      </c>
      <c r="H333" s="126">
        <v>0</v>
      </c>
      <c r="I333" s="126" t="str">
        <v/>
      </c>
      <c r="J333" s="127">
        <v>0</v>
      </c>
      <c r="K333" s="126">
        <v>0</v>
      </c>
      <c r="L333" s="126" t="str">
        <v/>
      </c>
      <c r="M333" s="128" t="str">
        <v/>
      </c>
      <c r="N333" s="126">
        <v>0</v>
      </c>
      <c r="O333" s="126">
        <v>0</v>
      </c>
      <c r="P333" s="128" t="str">
        <v/>
      </c>
      <c r="Q333" s="126">
        <v>0</v>
      </c>
      <c r="R333" s="126">
        <v>0</v>
      </c>
      <c r="S333" s="126" t="str">
        <v/>
      </c>
      <c r="T333" s="139" t="str">
        <v/>
      </c>
      <c r="U333" s="25"/>
      <c r="V333"/>
      <c r="W333"/>
    </row>
    <row r="334" spans="1:23" ht="19.95" customHeight="1">
      <c r="A334" s="361"/>
      <c r="B334" s="145">
        <v>139</v>
      </c>
      <c r="C334" s="126" t="str">
        <v/>
      </c>
      <c r="D334" s="126" t="str">
        <v/>
      </c>
      <c r="E334" s="126" t="str">
        <v>BOYS</v>
      </c>
      <c r="F334" s="126" t="str">
        <v>U12</v>
      </c>
      <c r="G334" s="125" t="str">
        <v/>
      </c>
      <c r="H334" s="126">
        <v>0</v>
      </c>
      <c r="I334" s="126" t="str">
        <v/>
      </c>
      <c r="J334" s="127">
        <v>0</v>
      </c>
      <c r="K334" s="126">
        <v>0</v>
      </c>
      <c r="L334" s="126" t="str">
        <v/>
      </c>
      <c r="M334" s="128" t="str">
        <v/>
      </c>
      <c r="N334" s="126">
        <v>0</v>
      </c>
      <c r="O334" s="126">
        <v>0</v>
      </c>
      <c r="P334" s="128" t="str">
        <v/>
      </c>
      <c r="Q334" s="126">
        <v>0</v>
      </c>
      <c r="R334" s="126">
        <v>0</v>
      </c>
      <c r="S334" s="126" t="str">
        <v/>
      </c>
      <c r="T334" s="139" t="str">
        <v/>
      </c>
      <c r="U334" s="25"/>
      <c r="V334"/>
      <c r="W334"/>
    </row>
    <row r="335" spans="1:23" ht="19.95" customHeight="1">
      <c r="A335" s="361"/>
      <c r="B335" s="145">
        <v>140</v>
      </c>
      <c r="C335" s="126" t="str">
        <v/>
      </c>
      <c r="D335" s="126" t="str">
        <v/>
      </c>
      <c r="E335" s="126" t="str">
        <v>BOYS</v>
      </c>
      <c r="F335" s="126" t="str">
        <v>U12</v>
      </c>
      <c r="G335" s="125" t="str">
        <v/>
      </c>
      <c r="H335" s="126">
        <v>0</v>
      </c>
      <c r="I335" s="126" t="str">
        <v/>
      </c>
      <c r="J335" s="127">
        <v>0</v>
      </c>
      <c r="K335" s="126">
        <v>0</v>
      </c>
      <c r="L335" s="126" t="str">
        <v/>
      </c>
      <c r="M335" s="128" t="str">
        <v/>
      </c>
      <c r="N335" s="126">
        <v>0</v>
      </c>
      <c r="O335" s="126">
        <v>0</v>
      </c>
      <c r="P335" s="128" t="str">
        <v/>
      </c>
      <c r="Q335" s="126">
        <v>0</v>
      </c>
      <c r="R335" s="126">
        <v>0</v>
      </c>
      <c r="S335" s="126" t="str">
        <v/>
      </c>
      <c r="T335" s="139" t="str">
        <v/>
      </c>
      <c r="U335" s="25"/>
      <c r="V335"/>
      <c r="W335"/>
    </row>
    <row r="336" spans="1:23" ht="19.95" customHeight="1">
      <c r="A336" s="361"/>
      <c r="B336" s="145"/>
      <c r="C336" s="126"/>
      <c r="D336" s="126"/>
      <c r="E336" s="126"/>
      <c r="F336" s="126"/>
      <c r="G336" s="125"/>
      <c r="H336" s="126"/>
      <c r="I336" s="126"/>
      <c r="J336" s="127"/>
      <c r="K336" s="126"/>
      <c r="L336" s="126"/>
      <c r="M336" s="128"/>
      <c r="N336" s="126"/>
      <c r="O336" s="126"/>
      <c r="P336" s="128"/>
      <c r="Q336" s="126"/>
      <c r="R336" s="126"/>
      <c r="S336" s="126"/>
      <c r="T336" s="139"/>
      <c r="U336" s="25"/>
      <c r="V336"/>
      <c r="W336"/>
    </row>
    <row r="337" spans="1:23" ht="19.95" customHeight="1">
      <c r="A337" s="361"/>
      <c r="B337" s="145"/>
      <c r="C337" s="126"/>
      <c r="D337" s="126"/>
      <c r="E337" s="126"/>
      <c r="F337" s="126"/>
      <c r="G337" s="125"/>
      <c r="H337" s="126"/>
      <c r="I337" s="126"/>
      <c r="J337" s="127"/>
      <c r="K337" s="126"/>
      <c r="L337" s="126"/>
      <c r="M337" s="128"/>
      <c r="N337" s="126"/>
      <c r="O337" s="126"/>
      <c r="P337" s="128"/>
      <c r="Q337" s="126"/>
      <c r="R337" s="126"/>
      <c r="S337" s="126"/>
      <c r="T337" s="139"/>
      <c r="U337" s="25"/>
      <c r="V337"/>
      <c r="W337"/>
    </row>
    <row r="338" spans="1:23" ht="19.95" customHeight="1">
      <c r="A338" s="361"/>
      <c r="B338" s="145"/>
      <c r="C338" s="126"/>
      <c r="D338" s="126"/>
      <c r="E338" s="126"/>
      <c r="F338" s="126"/>
      <c r="G338" s="125"/>
      <c r="H338" s="126"/>
      <c r="I338" s="126"/>
      <c r="J338" s="127"/>
      <c r="K338" s="126"/>
      <c r="L338" s="126"/>
      <c r="M338" s="128"/>
      <c r="N338" s="126"/>
      <c r="O338" s="126"/>
      <c r="P338" s="128"/>
      <c r="Q338" s="126"/>
      <c r="R338" s="126"/>
      <c r="S338" s="126"/>
      <c r="T338" s="139"/>
      <c r="U338" s="25"/>
      <c r="V338"/>
      <c r="W338"/>
    </row>
    <row r="339" spans="1:23" ht="19.95" customHeight="1">
      <c r="A339" s="361"/>
      <c r="B339" s="145"/>
      <c r="C339" s="126"/>
      <c r="D339" s="126"/>
      <c r="E339" s="126"/>
      <c r="F339" s="126"/>
      <c r="G339" s="125"/>
      <c r="H339" s="126"/>
      <c r="I339" s="126"/>
      <c r="J339" s="127"/>
      <c r="K339" s="126"/>
      <c r="L339" s="126"/>
      <c r="M339" s="128"/>
      <c r="N339" s="126"/>
      <c r="O339" s="126"/>
      <c r="P339" s="128"/>
      <c r="Q339" s="126"/>
      <c r="R339" s="126"/>
      <c r="S339" s="126"/>
      <c r="T339" s="139"/>
      <c r="U339" s="25"/>
      <c r="V339"/>
      <c r="W339"/>
    </row>
    <row r="340" spans="1:23" ht="19.95" customHeight="1">
      <c r="A340" s="361"/>
      <c r="B340" s="145"/>
      <c r="C340" s="126"/>
      <c r="D340" s="126"/>
      <c r="E340" s="126"/>
      <c r="F340" s="126"/>
      <c r="G340" s="125"/>
      <c r="H340" s="126"/>
      <c r="I340" s="126"/>
      <c r="J340" s="127"/>
      <c r="K340" s="126"/>
      <c r="L340" s="126"/>
      <c r="M340" s="128"/>
      <c r="N340" s="126"/>
      <c r="O340" s="126"/>
      <c r="P340" s="128"/>
      <c r="Q340" s="126"/>
      <c r="R340" s="126"/>
      <c r="S340" s="126"/>
      <c r="T340" s="139"/>
      <c r="U340" s="25"/>
      <c r="V340"/>
      <c r="W340"/>
    </row>
    <row r="341" spans="1:23" ht="19.95" customHeight="1">
      <c r="A341" s="361"/>
      <c r="B341" s="145"/>
      <c r="C341" s="126"/>
      <c r="D341" s="126"/>
      <c r="E341" s="126"/>
      <c r="F341" s="126"/>
      <c r="G341" s="125"/>
      <c r="H341" s="126"/>
      <c r="I341" s="126"/>
      <c r="J341" s="127"/>
      <c r="K341" s="126"/>
      <c r="L341" s="126"/>
      <c r="M341" s="128"/>
      <c r="N341" s="126"/>
      <c r="O341" s="126"/>
      <c r="P341" s="128"/>
      <c r="Q341" s="126"/>
      <c r="R341" s="126"/>
      <c r="S341" s="126"/>
      <c r="T341" s="139"/>
      <c r="U341" s="25"/>
      <c r="V341"/>
      <c r="W341"/>
    </row>
    <row r="342" spans="1:23" ht="19.95" customHeight="1">
      <c r="A342" s="361"/>
      <c r="B342" s="145"/>
      <c r="C342" s="126"/>
      <c r="D342" s="126"/>
      <c r="E342" s="126"/>
      <c r="F342" s="126"/>
      <c r="G342" s="125"/>
      <c r="H342" s="126"/>
      <c r="I342" s="126"/>
      <c r="J342" s="127"/>
      <c r="K342" s="126"/>
      <c r="L342" s="126"/>
      <c r="M342" s="128"/>
      <c r="N342" s="126"/>
      <c r="O342" s="126"/>
      <c r="P342" s="128"/>
      <c r="Q342" s="126"/>
      <c r="R342" s="126"/>
      <c r="S342" s="126"/>
      <c r="T342" s="139"/>
      <c r="U342" s="25"/>
      <c r="V342"/>
      <c r="W342"/>
    </row>
    <row r="343" spans="1:23" ht="19.95" customHeight="1">
      <c r="A343" s="361"/>
      <c r="B343" s="145"/>
      <c r="C343" s="126"/>
      <c r="D343" s="126"/>
      <c r="E343" s="126"/>
      <c r="F343" s="126"/>
      <c r="G343" s="125"/>
      <c r="H343" s="126"/>
      <c r="I343" s="126"/>
      <c r="J343" s="127"/>
      <c r="K343" s="126"/>
      <c r="L343" s="126"/>
      <c r="M343" s="128"/>
      <c r="N343" s="126"/>
      <c r="O343" s="126"/>
      <c r="P343" s="128"/>
      <c r="Q343" s="126"/>
      <c r="R343" s="126"/>
      <c r="S343" s="126"/>
      <c r="T343" s="139"/>
      <c r="U343" s="25"/>
      <c r="V343"/>
      <c r="W343"/>
    </row>
    <row r="344" spans="1:23" ht="19.95" customHeight="1">
      <c r="A344" s="361"/>
      <c r="B344" s="145"/>
      <c r="C344" s="126"/>
      <c r="D344" s="126"/>
      <c r="E344" s="126"/>
      <c r="F344" s="126"/>
      <c r="G344" s="125"/>
      <c r="H344" s="126"/>
      <c r="I344" s="126"/>
      <c r="J344" s="127"/>
      <c r="K344" s="126"/>
      <c r="L344" s="126"/>
      <c r="M344" s="128"/>
      <c r="N344" s="126"/>
      <c r="O344" s="126"/>
      <c r="P344" s="128"/>
      <c r="Q344" s="126"/>
      <c r="R344" s="126"/>
      <c r="S344" s="126"/>
      <c r="T344" s="139"/>
      <c r="U344" s="25"/>
      <c r="V344"/>
      <c r="W344"/>
    </row>
    <row r="345" spans="1:23" ht="19.95" customHeight="1" thickBot="1">
      <c r="A345" s="362"/>
      <c r="B345" s="146"/>
      <c r="C345" s="140"/>
      <c r="D345" s="140"/>
      <c r="E345" s="140"/>
      <c r="F345" s="140"/>
      <c r="G345" s="141"/>
      <c r="H345" s="140"/>
      <c r="I345" s="140"/>
      <c r="J345" s="142"/>
      <c r="K345" s="140"/>
      <c r="L345" s="140"/>
      <c r="M345" s="143"/>
      <c r="N345" s="140"/>
      <c r="O345" s="140"/>
      <c r="P345" s="143"/>
      <c r="Q345" s="140"/>
      <c r="R345" s="140"/>
      <c r="S345" s="140"/>
      <c r="T345" s="144"/>
      <c r="U345" s="25"/>
      <c r="V345"/>
      <c r="W345"/>
    </row>
    <row r="346" spans="1:23" ht="19.95" hidden="1" customHeight="1">
      <c r="A346" s="360" t="str">
        <f>'Read Me First'!C18</f>
        <v/>
      </c>
      <c r="B346" s="133" cm="1">
        <f t="array" ref="B346:T355">_xlfn.LET(_xlpm.x, _xlfn._xlws.SORT(_xlfn._xlws.FILTER(Data!$A$33:$S$212,(Data!$C$33:$C$212=$A346)*(Data!$D$33:$D$212=$E$196)*(Data!$E$33:$E$212="U10")),18),_xlpm.y,_xlfn._xlws.SORT(_xlfn._xlws.FILTER(Data!$A$33:$S$212,(Data!$C$33:$C$212=$A346)*(Data!$D$33:$D$212=$E$196)*(Data!$E$33:$E$212="U12")),19), IFERROR(_xlfn.VSTACK(_xlpm.x,_xlpm.y), IFERROR(_xlpm.y,IFERROR(_xlpm.x, ""))))</f>
        <v>131</v>
      </c>
      <c r="C346" s="134" t="str">
        <v/>
      </c>
      <c r="D346" s="134" t="str">
        <v/>
      </c>
      <c r="E346" s="134" t="str">
        <v>BOYS</v>
      </c>
      <c r="F346" s="134" t="str">
        <v>U12</v>
      </c>
      <c r="G346" s="135" t="str">
        <v/>
      </c>
      <c r="H346" s="134">
        <v>0</v>
      </c>
      <c r="I346" s="134" t="str">
        <v/>
      </c>
      <c r="J346" s="136">
        <v>0</v>
      </c>
      <c r="K346" s="134">
        <v>0</v>
      </c>
      <c r="L346" s="134" t="str">
        <v/>
      </c>
      <c r="M346" s="137" t="str">
        <v/>
      </c>
      <c r="N346" s="134">
        <v>0</v>
      </c>
      <c r="O346" s="134">
        <v>0</v>
      </c>
      <c r="P346" s="137" t="str">
        <v/>
      </c>
      <c r="Q346" s="134">
        <v>0</v>
      </c>
      <c r="R346" s="134">
        <v>0</v>
      </c>
      <c r="S346" s="134" t="str">
        <v/>
      </c>
      <c r="T346" s="138" t="str">
        <v/>
      </c>
      <c r="U346" s="25"/>
      <c r="V346"/>
      <c r="W346"/>
    </row>
    <row r="347" spans="1:23" ht="19.95" hidden="1" customHeight="1">
      <c r="A347" s="361"/>
      <c r="B347" s="145">
        <v>132</v>
      </c>
      <c r="C347" s="126" t="str">
        <v/>
      </c>
      <c r="D347" s="126" t="str">
        <v/>
      </c>
      <c r="E347" s="126" t="str">
        <v>BOYS</v>
      </c>
      <c r="F347" s="126" t="str">
        <v>U12</v>
      </c>
      <c r="G347" s="125" t="str">
        <v/>
      </c>
      <c r="H347" s="126">
        <v>0</v>
      </c>
      <c r="I347" s="126" t="str">
        <v/>
      </c>
      <c r="J347" s="127">
        <v>0</v>
      </c>
      <c r="K347" s="126">
        <v>0</v>
      </c>
      <c r="L347" s="126" t="str">
        <v/>
      </c>
      <c r="M347" s="128" t="str">
        <v/>
      </c>
      <c r="N347" s="126">
        <v>0</v>
      </c>
      <c r="O347" s="126">
        <v>0</v>
      </c>
      <c r="P347" s="128" t="str">
        <v/>
      </c>
      <c r="Q347" s="126">
        <v>0</v>
      </c>
      <c r="R347" s="126">
        <v>0</v>
      </c>
      <c r="S347" s="126" t="str">
        <v/>
      </c>
      <c r="T347" s="139" t="str">
        <v/>
      </c>
      <c r="U347" s="19"/>
      <c r="V347"/>
      <c r="W347"/>
    </row>
    <row r="348" spans="1:23" ht="19.95" hidden="1" customHeight="1">
      <c r="A348" s="361"/>
      <c r="B348" s="145">
        <v>133</v>
      </c>
      <c r="C348" s="126" t="str">
        <v/>
      </c>
      <c r="D348" s="126" t="str">
        <v/>
      </c>
      <c r="E348" s="126" t="str">
        <v>BOYS</v>
      </c>
      <c r="F348" s="126" t="str">
        <v>U12</v>
      </c>
      <c r="G348" s="125" t="str">
        <v/>
      </c>
      <c r="H348" s="126">
        <v>0</v>
      </c>
      <c r="I348" s="126" t="str">
        <v/>
      </c>
      <c r="J348" s="127">
        <v>0</v>
      </c>
      <c r="K348" s="126">
        <v>0</v>
      </c>
      <c r="L348" s="126" t="str">
        <v/>
      </c>
      <c r="M348" s="128" t="str">
        <v/>
      </c>
      <c r="N348" s="126">
        <v>0</v>
      </c>
      <c r="O348" s="126">
        <v>0</v>
      </c>
      <c r="P348" s="128" t="str">
        <v/>
      </c>
      <c r="Q348" s="126">
        <v>0</v>
      </c>
      <c r="R348" s="126">
        <v>0</v>
      </c>
      <c r="S348" s="126" t="str">
        <v/>
      </c>
      <c r="T348" s="139" t="str">
        <v/>
      </c>
      <c r="U348" s="25"/>
      <c r="V348"/>
      <c r="W348"/>
    </row>
    <row r="349" spans="1:23" ht="19.95" hidden="1" customHeight="1">
      <c r="A349" s="361"/>
      <c r="B349" s="145">
        <v>134</v>
      </c>
      <c r="C349" s="126" t="str">
        <v/>
      </c>
      <c r="D349" s="126" t="str">
        <v/>
      </c>
      <c r="E349" s="126" t="str">
        <v>BOYS</v>
      </c>
      <c r="F349" s="126" t="str">
        <v>U12</v>
      </c>
      <c r="G349" s="125" t="str">
        <v/>
      </c>
      <c r="H349" s="126">
        <v>0</v>
      </c>
      <c r="I349" s="126" t="str">
        <v/>
      </c>
      <c r="J349" s="127">
        <v>0</v>
      </c>
      <c r="K349" s="126">
        <v>0</v>
      </c>
      <c r="L349" s="126" t="str">
        <v/>
      </c>
      <c r="M349" s="128" t="str">
        <v/>
      </c>
      <c r="N349" s="126">
        <v>0</v>
      </c>
      <c r="O349" s="126">
        <v>0</v>
      </c>
      <c r="P349" s="128" t="str">
        <v/>
      </c>
      <c r="Q349" s="126">
        <v>0</v>
      </c>
      <c r="R349" s="126">
        <v>0</v>
      </c>
      <c r="S349" s="126" t="str">
        <v/>
      </c>
      <c r="T349" s="139" t="str">
        <v/>
      </c>
      <c r="U349" s="25"/>
      <c r="V349"/>
      <c r="W349"/>
    </row>
    <row r="350" spans="1:23" ht="19.95" hidden="1" customHeight="1">
      <c r="A350" s="361"/>
      <c r="B350" s="145">
        <v>135</v>
      </c>
      <c r="C350" s="126" t="str">
        <v/>
      </c>
      <c r="D350" s="126" t="str">
        <v/>
      </c>
      <c r="E350" s="126" t="str">
        <v>BOYS</v>
      </c>
      <c r="F350" s="126" t="str">
        <v>U12</v>
      </c>
      <c r="G350" s="125" t="str">
        <v/>
      </c>
      <c r="H350" s="126">
        <v>0</v>
      </c>
      <c r="I350" s="126" t="str">
        <v/>
      </c>
      <c r="J350" s="127">
        <v>0</v>
      </c>
      <c r="K350" s="126">
        <v>0</v>
      </c>
      <c r="L350" s="126" t="str">
        <v/>
      </c>
      <c r="M350" s="128" t="str">
        <v/>
      </c>
      <c r="N350" s="126">
        <v>0</v>
      </c>
      <c r="O350" s="126">
        <v>0</v>
      </c>
      <c r="P350" s="128" t="str">
        <v/>
      </c>
      <c r="Q350" s="126">
        <v>0</v>
      </c>
      <c r="R350" s="126">
        <v>0</v>
      </c>
      <c r="S350" s="126" t="str">
        <v/>
      </c>
      <c r="T350" s="139" t="str">
        <v/>
      </c>
      <c r="U350" s="25"/>
      <c r="V350"/>
      <c r="W350"/>
    </row>
    <row r="351" spans="1:23" ht="19.95" hidden="1" customHeight="1">
      <c r="A351" s="361"/>
      <c r="B351" s="145">
        <v>136</v>
      </c>
      <c r="C351" s="126" t="str">
        <v/>
      </c>
      <c r="D351" s="126" t="str">
        <v/>
      </c>
      <c r="E351" s="126" t="str">
        <v>BOYS</v>
      </c>
      <c r="F351" s="126" t="str">
        <v>U12</v>
      </c>
      <c r="G351" s="125" t="str">
        <v/>
      </c>
      <c r="H351" s="126">
        <v>0</v>
      </c>
      <c r="I351" s="126" t="str">
        <v/>
      </c>
      <c r="J351" s="127">
        <v>0</v>
      </c>
      <c r="K351" s="126">
        <v>0</v>
      </c>
      <c r="L351" s="126" t="str">
        <v/>
      </c>
      <c r="M351" s="128" t="str">
        <v/>
      </c>
      <c r="N351" s="126">
        <v>0</v>
      </c>
      <c r="O351" s="126">
        <v>0</v>
      </c>
      <c r="P351" s="128" t="str">
        <v/>
      </c>
      <c r="Q351" s="126">
        <v>0</v>
      </c>
      <c r="R351" s="126">
        <v>0</v>
      </c>
      <c r="S351" s="126" t="str">
        <v/>
      </c>
      <c r="T351" s="139" t="str">
        <v/>
      </c>
      <c r="U351" s="25"/>
      <c r="V351"/>
      <c r="W351"/>
    </row>
    <row r="352" spans="1:23" ht="19.95" hidden="1" customHeight="1">
      <c r="A352" s="361"/>
      <c r="B352" s="145">
        <v>137</v>
      </c>
      <c r="C352" s="126" t="str">
        <v/>
      </c>
      <c r="D352" s="126" t="str">
        <v/>
      </c>
      <c r="E352" s="126" t="str">
        <v>BOYS</v>
      </c>
      <c r="F352" s="126" t="str">
        <v>U12</v>
      </c>
      <c r="G352" s="125" t="str">
        <v/>
      </c>
      <c r="H352" s="126">
        <v>0</v>
      </c>
      <c r="I352" s="126" t="str">
        <v/>
      </c>
      <c r="J352" s="127">
        <v>0</v>
      </c>
      <c r="K352" s="126">
        <v>0</v>
      </c>
      <c r="L352" s="126" t="str">
        <v/>
      </c>
      <c r="M352" s="128" t="str">
        <v/>
      </c>
      <c r="N352" s="126">
        <v>0</v>
      </c>
      <c r="O352" s="126">
        <v>0</v>
      </c>
      <c r="P352" s="128" t="str">
        <v/>
      </c>
      <c r="Q352" s="126">
        <v>0</v>
      </c>
      <c r="R352" s="126">
        <v>0</v>
      </c>
      <c r="S352" s="126" t="str">
        <v/>
      </c>
      <c r="T352" s="139" t="str">
        <v/>
      </c>
      <c r="U352" s="25"/>
      <c r="V352"/>
      <c r="W352"/>
    </row>
    <row r="353" spans="1:23" ht="19.95" hidden="1" customHeight="1">
      <c r="A353" s="361"/>
      <c r="B353" s="145">
        <v>138</v>
      </c>
      <c r="C353" s="126" t="str">
        <v/>
      </c>
      <c r="D353" s="126" t="str">
        <v/>
      </c>
      <c r="E353" s="126" t="str">
        <v>BOYS</v>
      </c>
      <c r="F353" s="126" t="str">
        <v>U12</v>
      </c>
      <c r="G353" s="125" t="str">
        <v/>
      </c>
      <c r="H353" s="126">
        <v>0</v>
      </c>
      <c r="I353" s="126" t="str">
        <v/>
      </c>
      <c r="J353" s="127">
        <v>0</v>
      </c>
      <c r="K353" s="126">
        <v>0</v>
      </c>
      <c r="L353" s="126" t="str">
        <v/>
      </c>
      <c r="M353" s="128" t="str">
        <v/>
      </c>
      <c r="N353" s="126">
        <v>0</v>
      </c>
      <c r="O353" s="126">
        <v>0</v>
      </c>
      <c r="P353" s="128" t="str">
        <v/>
      </c>
      <c r="Q353" s="126">
        <v>0</v>
      </c>
      <c r="R353" s="126">
        <v>0</v>
      </c>
      <c r="S353" s="126" t="str">
        <v/>
      </c>
      <c r="T353" s="139" t="str">
        <v/>
      </c>
      <c r="U353" s="25"/>
      <c r="V353"/>
      <c r="W353"/>
    </row>
    <row r="354" spans="1:23" ht="19.95" hidden="1" customHeight="1">
      <c r="A354" s="361"/>
      <c r="B354" s="145">
        <v>139</v>
      </c>
      <c r="C354" s="126" t="str">
        <v/>
      </c>
      <c r="D354" s="126" t="str">
        <v/>
      </c>
      <c r="E354" s="126" t="str">
        <v>BOYS</v>
      </c>
      <c r="F354" s="126" t="str">
        <v>U12</v>
      </c>
      <c r="G354" s="125" t="str">
        <v/>
      </c>
      <c r="H354" s="126">
        <v>0</v>
      </c>
      <c r="I354" s="126" t="str">
        <v/>
      </c>
      <c r="J354" s="127">
        <v>0</v>
      </c>
      <c r="K354" s="126">
        <v>0</v>
      </c>
      <c r="L354" s="126" t="str">
        <v/>
      </c>
      <c r="M354" s="128" t="str">
        <v/>
      </c>
      <c r="N354" s="126">
        <v>0</v>
      </c>
      <c r="O354" s="126">
        <v>0</v>
      </c>
      <c r="P354" s="128" t="str">
        <v/>
      </c>
      <c r="Q354" s="126">
        <v>0</v>
      </c>
      <c r="R354" s="126">
        <v>0</v>
      </c>
      <c r="S354" s="126" t="str">
        <v/>
      </c>
      <c r="T354" s="139" t="str">
        <v/>
      </c>
      <c r="U354" s="25"/>
      <c r="V354"/>
      <c r="W354"/>
    </row>
    <row r="355" spans="1:23" ht="19.95" hidden="1" customHeight="1">
      <c r="A355" s="361"/>
      <c r="B355" s="145">
        <v>140</v>
      </c>
      <c r="C355" s="126" t="str">
        <v/>
      </c>
      <c r="D355" s="126" t="str">
        <v/>
      </c>
      <c r="E355" s="126" t="str">
        <v>BOYS</v>
      </c>
      <c r="F355" s="126" t="str">
        <v>U12</v>
      </c>
      <c r="G355" s="125" t="str">
        <v/>
      </c>
      <c r="H355" s="126">
        <v>0</v>
      </c>
      <c r="I355" s="126" t="str">
        <v/>
      </c>
      <c r="J355" s="127">
        <v>0</v>
      </c>
      <c r="K355" s="126">
        <v>0</v>
      </c>
      <c r="L355" s="126" t="str">
        <v/>
      </c>
      <c r="M355" s="128" t="str">
        <v/>
      </c>
      <c r="N355" s="126">
        <v>0</v>
      </c>
      <c r="O355" s="126">
        <v>0</v>
      </c>
      <c r="P355" s="128" t="str">
        <v/>
      </c>
      <c r="Q355" s="126">
        <v>0</v>
      </c>
      <c r="R355" s="126">
        <v>0</v>
      </c>
      <c r="S355" s="126" t="str">
        <v/>
      </c>
      <c r="T355" s="139" t="str">
        <v/>
      </c>
      <c r="U355" s="25"/>
      <c r="V355"/>
      <c r="W355"/>
    </row>
    <row r="356" spans="1:23" ht="19.95" hidden="1" customHeight="1">
      <c r="A356" s="361"/>
      <c r="B356" s="145"/>
      <c r="C356" s="126"/>
      <c r="D356" s="126"/>
      <c r="E356" s="126"/>
      <c r="F356" s="126"/>
      <c r="G356" s="125"/>
      <c r="H356" s="126"/>
      <c r="I356" s="126"/>
      <c r="J356" s="127"/>
      <c r="K356" s="126"/>
      <c r="L356" s="126"/>
      <c r="M356" s="128"/>
      <c r="N356" s="126"/>
      <c r="O356" s="126"/>
      <c r="P356" s="128"/>
      <c r="Q356" s="126"/>
      <c r="R356" s="126"/>
      <c r="S356" s="126"/>
      <c r="T356" s="139"/>
      <c r="U356" s="25"/>
      <c r="V356"/>
      <c r="W356"/>
    </row>
    <row r="357" spans="1:23" ht="19.95" hidden="1" customHeight="1">
      <c r="A357" s="361"/>
      <c r="B357" s="145"/>
      <c r="C357" s="126"/>
      <c r="D357" s="126"/>
      <c r="E357" s="126"/>
      <c r="F357" s="126"/>
      <c r="G357" s="125"/>
      <c r="H357" s="126"/>
      <c r="I357" s="126"/>
      <c r="J357" s="127"/>
      <c r="K357" s="126"/>
      <c r="L357" s="126"/>
      <c r="M357" s="128"/>
      <c r="N357" s="126"/>
      <c r="O357" s="126"/>
      <c r="P357" s="128"/>
      <c r="Q357" s="126"/>
      <c r="R357" s="126"/>
      <c r="S357" s="126"/>
      <c r="T357" s="139"/>
      <c r="U357" s="25"/>
      <c r="V357"/>
      <c r="W357"/>
    </row>
    <row r="358" spans="1:23" ht="19.95" hidden="1" customHeight="1">
      <c r="A358" s="361"/>
      <c r="B358" s="145"/>
      <c r="C358" s="126"/>
      <c r="D358" s="126"/>
      <c r="E358" s="126"/>
      <c r="F358" s="126"/>
      <c r="G358" s="125"/>
      <c r="H358" s="126"/>
      <c r="I358" s="126"/>
      <c r="J358" s="127"/>
      <c r="K358" s="126"/>
      <c r="L358" s="126"/>
      <c r="M358" s="128"/>
      <c r="N358" s="126"/>
      <c r="O358" s="126"/>
      <c r="P358" s="128"/>
      <c r="Q358" s="126"/>
      <c r="R358" s="126"/>
      <c r="S358" s="126"/>
      <c r="T358" s="139"/>
      <c r="U358" s="25"/>
      <c r="V358"/>
      <c r="W358"/>
    </row>
    <row r="359" spans="1:23" ht="19.95" hidden="1" customHeight="1">
      <c r="A359" s="361"/>
      <c r="B359" s="145"/>
      <c r="C359" s="126"/>
      <c r="D359" s="126"/>
      <c r="E359" s="126"/>
      <c r="F359" s="126"/>
      <c r="G359" s="125"/>
      <c r="H359" s="126"/>
      <c r="I359" s="126"/>
      <c r="J359" s="127"/>
      <c r="K359" s="126"/>
      <c r="L359" s="126"/>
      <c r="M359" s="128"/>
      <c r="N359" s="126"/>
      <c r="O359" s="126"/>
      <c r="P359" s="128"/>
      <c r="Q359" s="126"/>
      <c r="R359" s="126"/>
      <c r="S359" s="126"/>
      <c r="T359" s="139"/>
      <c r="U359" s="25"/>
      <c r="V359"/>
      <c r="W359"/>
    </row>
    <row r="360" spans="1:23" ht="19.95" hidden="1" customHeight="1">
      <c r="A360" s="361"/>
      <c r="B360" s="145"/>
      <c r="C360" s="126"/>
      <c r="D360" s="126"/>
      <c r="E360" s="126"/>
      <c r="F360" s="126"/>
      <c r="G360" s="125"/>
      <c r="H360" s="126"/>
      <c r="I360" s="126"/>
      <c r="J360" s="127"/>
      <c r="K360" s="126"/>
      <c r="L360" s="126"/>
      <c r="M360" s="128"/>
      <c r="N360" s="126"/>
      <c r="O360" s="126"/>
      <c r="P360" s="128"/>
      <c r="Q360" s="126"/>
      <c r="R360" s="126"/>
      <c r="S360" s="126"/>
      <c r="T360" s="139"/>
      <c r="U360" s="25"/>
      <c r="V360"/>
      <c r="W360"/>
    </row>
    <row r="361" spans="1:23" ht="19.95" hidden="1" customHeight="1">
      <c r="A361" s="361"/>
      <c r="B361" s="145"/>
      <c r="C361" s="126"/>
      <c r="D361" s="126"/>
      <c r="E361" s="126"/>
      <c r="F361" s="126"/>
      <c r="G361" s="125"/>
      <c r="H361" s="126"/>
      <c r="I361" s="126"/>
      <c r="J361" s="127"/>
      <c r="K361" s="126"/>
      <c r="L361" s="126"/>
      <c r="M361" s="128"/>
      <c r="N361" s="126"/>
      <c r="O361" s="126"/>
      <c r="P361" s="128"/>
      <c r="Q361" s="126"/>
      <c r="R361" s="126"/>
      <c r="S361" s="126"/>
      <c r="T361" s="139"/>
      <c r="U361" s="25"/>
      <c r="V361"/>
      <c r="W361"/>
    </row>
    <row r="362" spans="1:23" ht="19.95" hidden="1" customHeight="1">
      <c r="A362" s="361"/>
      <c r="B362" s="145"/>
      <c r="C362" s="126"/>
      <c r="D362" s="126"/>
      <c r="E362" s="126"/>
      <c r="F362" s="126"/>
      <c r="G362" s="125"/>
      <c r="H362" s="126"/>
      <c r="I362" s="126"/>
      <c r="J362" s="127"/>
      <c r="K362" s="126"/>
      <c r="L362" s="126"/>
      <c r="M362" s="128"/>
      <c r="N362" s="126"/>
      <c r="O362" s="126"/>
      <c r="P362" s="128"/>
      <c r="Q362" s="126"/>
      <c r="R362" s="126"/>
      <c r="S362" s="126"/>
      <c r="T362" s="139"/>
      <c r="U362" s="25"/>
      <c r="V362"/>
      <c r="W362"/>
    </row>
    <row r="363" spans="1:23" ht="19.95" hidden="1" customHeight="1">
      <c r="A363" s="361"/>
      <c r="B363" s="145"/>
      <c r="C363" s="126"/>
      <c r="D363" s="126"/>
      <c r="E363" s="126"/>
      <c r="F363" s="126"/>
      <c r="G363" s="125"/>
      <c r="H363" s="126"/>
      <c r="I363" s="126"/>
      <c r="J363" s="127"/>
      <c r="K363" s="126"/>
      <c r="L363" s="126"/>
      <c r="M363" s="128"/>
      <c r="N363" s="126"/>
      <c r="O363" s="126"/>
      <c r="P363" s="128"/>
      <c r="Q363" s="126"/>
      <c r="R363" s="126"/>
      <c r="S363" s="126"/>
      <c r="T363" s="139"/>
      <c r="U363" s="25"/>
      <c r="V363"/>
      <c r="W363"/>
    </row>
    <row r="364" spans="1:23" ht="19.95" hidden="1" customHeight="1">
      <c r="A364" s="361"/>
      <c r="B364" s="145"/>
      <c r="C364" s="126"/>
      <c r="D364" s="126"/>
      <c r="E364" s="126"/>
      <c r="F364" s="126"/>
      <c r="G364" s="125"/>
      <c r="H364" s="126"/>
      <c r="I364" s="126"/>
      <c r="J364" s="127"/>
      <c r="K364" s="126"/>
      <c r="L364" s="126"/>
      <c r="M364" s="128"/>
      <c r="N364" s="126"/>
      <c r="O364" s="126"/>
      <c r="P364" s="128"/>
      <c r="Q364" s="126"/>
      <c r="R364" s="126"/>
      <c r="S364" s="126"/>
      <c r="T364" s="139"/>
      <c r="U364" s="25"/>
      <c r="V364"/>
      <c r="W364"/>
    </row>
    <row r="365" spans="1:23" ht="19.95" hidden="1" customHeight="1" thickBot="1">
      <c r="A365" s="362"/>
      <c r="B365" s="146"/>
      <c r="C365" s="140"/>
      <c r="D365" s="140"/>
      <c r="E365" s="140"/>
      <c r="F365" s="140"/>
      <c r="G365" s="141"/>
      <c r="H365" s="140"/>
      <c r="I365" s="140"/>
      <c r="J365" s="142"/>
      <c r="K365" s="140"/>
      <c r="L365" s="140"/>
      <c r="M365" s="143"/>
      <c r="N365" s="140"/>
      <c r="O365" s="140"/>
      <c r="P365" s="143"/>
      <c r="Q365" s="140"/>
      <c r="R365" s="140"/>
      <c r="S365" s="140"/>
      <c r="T365" s="144"/>
      <c r="U365" s="25"/>
      <c r="V365"/>
      <c r="W365"/>
    </row>
    <row r="366" spans="1:23" ht="1.05" hidden="1" customHeight="1">
      <c r="A366" s="360" t="str">
        <f>'Read Me First'!C19</f>
        <v/>
      </c>
      <c r="B366" s="133" cm="1">
        <f t="array" ref="B366:T375">_xlfn.LET(_xlpm.x, _xlfn._xlws.SORT(_xlfn._xlws.FILTER(Data!$A$33:$S$212,(Data!$C$33:$C$212=$A366)*(Data!$D$33:$D$212=$E$196)*(Data!$E$33:$E$212="U10")),18),_xlpm.y,_xlfn._xlws.SORT(_xlfn._xlws.FILTER(Data!$A$33:$S$212,(Data!$C$33:$C$212=$A366)*(Data!$D$33:$D$212=$E$196)*(Data!$E$33:$E$212="U12")),19), IFERROR(_xlfn.VSTACK(_xlpm.x,_xlpm.y), IFERROR(_xlpm.y,IFERROR(_xlpm.x, ""))))</f>
        <v>131</v>
      </c>
      <c r="C366" s="134" t="str">
        <v/>
      </c>
      <c r="D366" s="134" t="str">
        <v/>
      </c>
      <c r="E366" s="134" t="str">
        <v>BOYS</v>
      </c>
      <c r="F366" s="134" t="str">
        <v>U12</v>
      </c>
      <c r="G366" s="135" t="str">
        <v/>
      </c>
      <c r="H366" s="134">
        <v>0</v>
      </c>
      <c r="I366" s="134" t="str">
        <v/>
      </c>
      <c r="J366" s="136">
        <v>0</v>
      </c>
      <c r="K366" s="134">
        <v>0</v>
      </c>
      <c r="L366" s="134" t="str">
        <v/>
      </c>
      <c r="M366" s="137" t="str">
        <v/>
      </c>
      <c r="N366" s="134">
        <v>0</v>
      </c>
      <c r="O366" s="134">
        <v>0</v>
      </c>
      <c r="P366" s="137" t="str">
        <v/>
      </c>
      <c r="Q366" s="134">
        <v>0</v>
      </c>
      <c r="R366" s="134">
        <v>0</v>
      </c>
      <c r="S366" s="134" t="str">
        <v/>
      </c>
      <c r="T366" s="138" t="str">
        <v/>
      </c>
      <c r="U366" s="25"/>
      <c r="V366"/>
      <c r="W366"/>
    </row>
    <row r="367" spans="1:23" ht="1.05" hidden="1" customHeight="1">
      <c r="A367" s="361"/>
      <c r="B367" s="145">
        <v>132</v>
      </c>
      <c r="C367" s="126" t="str">
        <v/>
      </c>
      <c r="D367" s="126" t="str">
        <v/>
      </c>
      <c r="E367" s="126" t="str">
        <v>BOYS</v>
      </c>
      <c r="F367" s="126" t="str">
        <v>U12</v>
      </c>
      <c r="G367" s="125" t="str">
        <v/>
      </c>
      <c r="H367" s="126">
        <v>0</v>
      </c>
      <c r="I367" s="126" t="str">
        <v/>
      </c>
      <c r="J367" s="127">
        <v>0</v>
      </c>
      <c r="K367" s="126">
        <v>0</v>
      </c>
      <c r="L367" s="126" t="str">
        <v/>
      </c>
      <c r="M367" s="128" t="str">
        <v/>
      </c>
      <c r="N367" s="126">
        <v>0</v>
      </c>
      <c r="O367" s="126">
        <v>0</v>
      </c>
      <c r="P367" s="128" t="str">
        <v/>
      </c>
      <c r="Q367" s="126">
        <v>0</v>
      </c>
      <c r="R367" s="126">
        <v>0</v>
      </c>
      <c r="S367" s="126" t="str">
        <v/>
      </c>
      <c r="T367" s="139" t="str">
        <v/>
      </c>
      <c r="U367" s="25"/>
      <c r="V367"/>
      <c r="W367"/>
    </row>
    <row r="368" spans="1:23" ht="1.05" hidden="1" customHeight="1">
      <c r="A368" s="361"/>
      <c r="B368" s="145">
        <v>133</v>
      </c>
      <c r="C368" s="126" t="str">
        <v/>
      </c>
      <c r="D368" s="126" t="str">
        <v/>
      </c>
      <c r="E368" s="126" t="str">
        <v>BOYS</v>
      </c>
      <c r="F368" s="126" t="str">
        <v>U12</v>
      </c>
      <c r="G368" s="125" t="str">
        <v/>
      </c>
      <c r="H368" s="126">
        <v>0</v>
      </c>
      <c r="I368" s="126" t="str">
        <v/>
      </c>
      <c r="J368" s="127">
        <v>0</v>
      </c>
      <c r="K368" s="126">
        <v>0</v>
      </c>
      <c r="L368" s="126" t="str">
        <v/>
      </c>
      <c r="M368" s="128" t="str">
        <v/>
      </c>
      <c r="N368" s="126">
        <v>0</v>
      </c>
      <c r="O368" s="126">
        <v>0</v>
      </c>
      <c r="P368" s="128" t="str">
        <v/>
      </c>
      <c r="Q368" s="126">
        <v>0</v>
      </c>
      <c r="R368" s="126">
        <v>0</v>
      </c>
      <c r="S368" s="126" t="str">
        <v/>
      </c>
      <c r="T368" s="139" t="str">
        <v/>
      </c>
      <c r="U368" s="19"/>
      <c r="V368"/>
      <c r="W368"/>
    </row>
    <row r="369" spans="1:23" ht="1.05" hidden="1" customHeight="1">
      <c r="A369" s="361"/>
      <c r="B369" s="145">
        <v>134</v>
      </c>
      <c r="C369" s="126" t="str">
        <v/>
      </c>
      <c r="D369" s="126" t="str">
        <v/>
      </c>
      <c r="E369" s="126" t="str">
        <v>BOYS</v>
      </c>
      <c r="F369" s="126" t="str">
        <v>U12</v>
      </c>
      <c r="G369" s="125" t="str">
        <v/>
      </c>
      <c r="H369" s="126">
        <v>0</v>
      </c>
      <c r="I369" s="126" t="str">
        <v/>
      </c>
      <c r="J369" s="127">
        <v>0</v>
      </c>
      <c r="K369" s="126">
        <v>0</v>
      </c>
      <c r="L369" s="126" t="str">
        <v/>
      </c>
      <c r="M369" s="128" t="str">
        <v/>
      </c>
      <c r="N369" s="126">
        <v>0</v>
      </c>
      <c r="O369" s="126">
        <v>0</v>
      </c>
      <c r="P369" s="128" t="str">
        <v/>
      </c>
      <c r="Q369" s="126">
        <v>0</v>
      </c>
      <c r="R369" s="126">
        <v>0</v>
      </c>
      <c r="S369" s="126" t="str">
        <v/>
      </c>
      <c r="T369" s="139" t="str">
        <v/>
      </c>
      <c r="U369" s="25"/>
      <c r="V369"/>
      <c r="W369"/>
    </row>
    <row r="370" spans="1:23" ht="1.05" hidden="1" customHeight="1">
      <c r="A370" s="361"/>
      <c r="B370" s="145">
        <v>135</v>
      </c>
      <c r="C370" s="126" t="str">
        <v/>
      </c>
      <c r="D370" s="126" t="str">
        <v/>
      </c>
      <c r="E370" s="126" t="str">
        <v>BOYS</v>
      </c>
      <c r="F370" s="126" t="str">
        <v>U12</v>
      </c>
      <c r="G370" s="125" t="str">
        <v/>
      </c>
      <c r="H370" s="126">
        <v>0</v>
      </c>
      <c r="I370" s="126" t="str">
        <v/>
      </c>
      <c r="J370" s="127">
        <v>0</v>
      </c>
      <c r="K370" s="126">
        <v>0</v>
      </c>
      <c r="L370" s="126" t="str">
        <v/>
      </c>
      <c r="M370" s="128" t="str">
        <v/>
      </c>
      <c r="N370" s="126">
        <v>0</v>
      </c>
      <c r="O370" s="126">
        <v>0</v>
      </c>
      <c r="P370" s="128" t="str">
        <v/>
      </c>
      <c r="Q370" s="126">
        <v>0</v>
      </c>
      <c r="R370" s="126">
        <v>0</v>
      </c>
      <c r="S370" s="126" t="str">
        <v/>
      </c>
      <c r="T370" s="139" t="str">
        <v/>
      </c>
      <c r="U370" s="25"/>
      <c r="V370"/>
      <c r="W370"/>
    </row>
    <row r="371" spans="1:23" ht="1.05" hidden="1" customHeight="1">
      <c r="A371" s="361"/>
      <c r="B371" s="145">
        <v>136</v>
      </c>
      <c r="C371" s="126" t="str">
        <v/>
      </c>
      <c r="D371" s="126" t="str">
        <v/>
      </c>
      <c r="E371" s="126" t="str">
        <v>BOYS</v>
      </c>
      <c r="F371" s="126" t="str">
        <v>U12</v>
      </c>
      <c r="G371" s="125" t="str">
        <v/>
      </c>
      <c r="H371" s="126">
        <v>0</v>
      </c>
      <c r="I371" s="126" t="str">
        <v/>
      </c>
      <c r="J371" s="127">
        <v>0</v>
      </c>
      <c r="K371" s="126">
        <v>0</v>
      </c>
      <c r="L371" s="126" t="str">
        <v/>
      </c>
      <c r="M371" s="128" t="str">
        <v/>
      </c>
      <c r="N371" s="126">
        <v>0</v>
      </c>
      <c r="O371" s="126">
        <v>0</v>
      </c>
      <c r="P371" s="128" t="str">
        <v/>
      </c>
      <c r="Q371" s="126">
        <v>0</v>
      </c>
      <c r="R371" s="126">
        <v>0</v>
      </c>
      <c r="S371" s="126" t="str">
        <v/>
      </c>
      <c r="T371" s="139" t="str">
        <v/>
      </c>
      <c r="U371" s="25"/>
      <c r="V371"/>
      <c r="W371"/>
    </row>
    <row r="372" spans="1:23" ht="1.05" hidden="1" customHeight="1">
      <c r="A372" s="361"/>
      <c r="B372" s="145">
        <v>137</v>
      </c>
      <c r="C372" s="126" t="str">
        <v/>
      </c>
      <c r="D372" s="126" t="str">
        <v/>
      </c>
      <c r="E372" s="126" t="str">
        <v>BOYS</v>
      </c>
      <c r="F372" s="126" t="str">
        <v>U12</v>
      </c>
      <c r="G372" s="125" t="str">
        <v/>
      </c>
      <c r="H372" s="126">
        <v>0</v>
      </c>
      <c r="I372" s="126" t="str">
        <v/>
      </c>
      <c r="J372" s="127">
        <v>0</v>
      </c>
      <c r="K372" s="126">
        <v>0</v>
      </c>
      <c r="L372" s="126" t="str">
        <v/>
      </c>
      <c r="M372" s="128" t="str">
        <v/>
      </c>
      <c r="N372" s="126">
        <v>0</v>
      </c>
      <c r="O372" s="126">
        <v>0</v>
      </c>
      <c r="P372" s="128" t="str">
        <v/>
      </c>
      <c r="Q372" s="126">
        <v>0</v>
      </c>
      <c r="R372" s="126">
        <v>0</v>
      </c>
      <c r="S372" s="126" t="str">
        <v/>
      </c>
      <c r="T372" s="139" t="str">
        <v/>
      </c>
      <c r="U372" s="25"/>
      <c r="V372"/>
      <c r="W372"/>
    </row>
    <row r="373" spans="1:23" ht="1.05" hidden="1" customHeight="1">
      <c r="A373" s="361"/>
      <c r="B373" s="145">
        <v>138</v>
      </c>
      <c r="C373" s="126" t="str">
        <v/>
      </c>
      <c r="D373" s="126" t="str">
        <v/>
      </c>
      <c r="E373" s="126" t="str">
        <v>BOYS</v>
      </c>
      <c r="F373" s="126" t="str">
        <v>U12</v>
      </c>
      <c r="G373" s="125" t="str">
        <v/>
      </c>
      <c r="H373" s="126">
        <v>0</v>
      </c>
      <c r="I373" s="126" t="str">
        <v/>
      </c>
      <c r="J373" s="127">
        <v>0</v>
      </c>
      <c r="K373" s="126">
        <v>0</v>
      </c>
      <c r="L373" s="126" t="str">
        <v/>
      </c>
      <c r="M373" s="128" t="str">
        <v/>
      </c>
      <c r="N373" s="126">
        <v>0</v>
      </c>
      <c r="O373" s="126">
        <v>0</v>
      </c>
      <c r="P373" s="128" t="str">
        <v/>
      </c>
      <c r="Q373" s="126">
        <v>0</v>
      </c>
      <c r="R373" s="126">
        <v>0</v>
      </c>
      <c r="S373" s="126" t="str">
        <v/>
      </c>
      <c r="T373" s="139" t="str">
        <v/>
      </c>
      <c r="U373" s="25"/>
      <c r="V373"/>
      <c r="W373"/>
    </row>
    <row r="374" spans="1:23" ht="1.05" hidden="1" customHeight="1">
      <c r="A374" s="361"/>
      <c r="B374" s="145">
        <v>139</v>
      </c>
      <c r="C374" s="126" t="str">
        <v/>
      </c>
      <c r="D374" s="126" t="str">
        <v/>
      </c>
      <c r="E374" s="126" t="str">
        <v>BOYS</v>
      </c>
      <c r="F374" s="126" t="str">
        <v>U12</v>
      </c>
      <c r="G374" s="125" t="str">
        <v/>
      </c>
      <c r="H374" s="126">
        <v>0</v>
      </c>
      <c r="I374" s="126" t="str">
        <v/>
      </c>
      <c r="J374" s="127">
        <v>0</v>
      </c>
      <c r="K374" s="126">
        <v>0</v>
      </c>
      <c r="L374" s="126" t="str">
        <v/>
      </c>
      <c r="M374" s="128" t="str">
        <v/>
      </c>
      <c r="N374" s="126">
        <v>0</v>
      </c>
      <c r="O374" s="126">
        <v>0</v>
      </c>
      <c r="P374" s="128" t="str">
        <v/>
      </c>
      <c r="Q374" s="126">
        <v>0</v>
      </c>
      <c r="R374" s="126">
        <v>0</v>
      </c>
      <c r="S374" s="126" t="str">
        <v/>
      </c>
      <c r="T374" s="139" t="str">
        <v/>
      </c>
      <c r="U374" s="25"/>
      <c r="V374"/>
      <c r="W374"/>
    </row>
    <row r="375" spans="1:23" ht="1.05" hidden="1" customHeight="1">
      <c r="A375" s="361"/>
      <c r="B375" s="145">
        <v>140</v>
      </c>
      <c r="C375" s="126" t="str">
        <v/>
      </c>
      <c r="D375" s="126" t="str">
        <v/>
      </c>
      <c r="E375" s="126" t="str">
        <v>BOYS</v>
      </c>
      <c r="F375" s="126" t="str">
        <v>U12</v>
      </c>
      <c r="G375" s="125" t="str">
        <v/>
      </c>
      <c r="H375" s="126">
        <v>0</v>
      </c>
      <c r="I375" s="126" t="str">
        <v/>
      </c>
      <c r="J375" s="127">
        <v>0</v>
      </c>
      <c r="K375" s="126">
        <v>0</v>
      </c>
      <c r="L375" s="126" t="str">
        <v/>
      </c>
      <c r="M375" s="128" t="str">
        <v/>
      </c>
      <c r="N375" s="126">
        <v>0</v>
      </c>
      <c r="O375" s="126">
        <v>0</v>
      </c>
      <c r="P375" s="128" t="str">
        <v/>
      </c>
      <c r="Q375" s="126">
        <v>0</v>
      </c>
      <c r="R375" s="126">
        <v>0</v>
      </c>
      <c r="S375" s="126" t="str">
        <v/>
      </c>
      <c r="T375" s="139" t="str">
        <v/>
      </c>
      <c r="U375" s="25"/>
      <c r="V375"/>
      <c r="W375"/>
    </row>
    <row r="376" spans="1:23" ht="1.05" hidden="1" customHeight="1">
      <c r="A376" s="361"/>
      <c r="B376" s="145"/>
      <c r="C376" s="126"/>
      <c r="D376" s="126"/>
      <c r="E376" s="126"/>
      <c r="F376" s="126"/>
      <c r="G376" s="125"/>
      <c r="H376" s="126"/>
      <c r="I376" s="126"/>
      <c r="J376" s="127"/>
      <c r="K376" s="126"/>
      <c r="L376" s="126"/>
      <c r="M376" s="128"/>
      <c r="N376" s="126"/>
      <c r="O376" s="126"/>
      <c r="P376" s="128"/>
      <c r="Q376" s="126"/>
      <c r="R376" s="126"/>
      <c r="S376" s="126"/>
      <c r="T376" s="139"/>
      <c r="U376" s="25"/>
      <c r="V376"/>
      <c r="W376"/>
    </row>
    <row r="377" spans="1:23" ht="1.05" hidden="1" customHeight="1">
      <c r="A377" s="361"/>
      <c r="B377" s="145"/>
      <c r="C377" s="126"/>
      <c r="D377" s="126"/>
      <c r="E377" s="126"/>
      <c r="F377" s="126"/>
      <c r="G377" s="125"/>
      <c r="H377" s="126"/>
      <c r="I377" s="126"/>
      <c r="J377" s="127"/>
      <c r="K377" s="126"/>
      <c r="L377" s="126"/>
      <c r="M377" s="128"/>
      <c r="N377" s="126"/>
      <c r="O377" s="126"/>
      <c r="P377" s="128"/>
      <c r="Q377" s="126"/>
      <c r="R377" s="126"/>
      <c r="S377" s="126"/>
      <c r="T377" s="139"/>
      <c r="U377" s="25"/>
      <c r="V377"/>
      <c r="W377"/>
    </row>
    <row r="378" spans="1:23" ht="1.05" hidden="1" customHeight="1">
      <c r="A378" s="361"/>
      <c r="B378" s="145"/>
      <c r="C378" s="126"/>
      <c r="D378" s="126"/>
      <c r="E378" s="126"/>
      <c r="F378" s="126"/>
      <c r="G378" s="125"/>
      <c r="H378" s="126"/>
      <c r="I378" s="126"/>
      <c r="J378" s="127"/>
      <c r="K378" s="126"/>
      <c r="L378" s="126"/>
      <c r="M378" s="128"/>
      <c r="N378" s="126"/>
      <c r="O378" s="126"/>
      <c r="P378" s="128"/>
      <c r="Q378" s="126"/>
      <c r="R378" s="126"/>
      <c r="S378" s="126"/>
      <c r="T378" s="139"/>
      <c r="U378" s="25"/>
      <c r="V378"/>
      <c r="W378"/>
    </row>
    <row r="379" spans="1:23" ht="1.05" hidden="1" customHeight="1">
      <c r="A379" s="361"/>
      <c r="B379" s="145"/>
      <c r="C379" s="126"/>
      <c r="D379" s="126"/>
      <c r="E379" s="126"/>
      <c r="F379" s="126"/>
      <c r="G379" s="125"/>
      <c r="H379" s="126"/>
      <c r="I379" s="126"/>
      <c r="J379" s="127"/>
      <c r="K379" s="126"/>
      <c r="L379" s="126"/>
      <c r="M379" s="128"/>
      <c r="N379" s="126"/>
      <c r="O379" s="126"/>
      <c r="P379" s="128"/>
      <c r="Q379" s="126"/>
      <c r="R379" s="126"/>
      <c r="S379" s="126"/>
      <c r="T379" s="139"/>
      <c r="U379" s="25"/>
      <c r="V379"/>
      <c r="W379"/>
    </row>
    <row r="380" spans="1:23" ht="1.05" hidden="1" customHeight="1">
      <c r="A380" s="361"/>
      <c r="B380" s="145"/>
      <c r="C380" s="126"/>
      <c r="D380" s="126"/>
      <c r="E380" s="126"/>
      <c r="F380" s="126"/>
      <c r="G380" s="125"/>
      <c r="H380" s="126"/>
      <c r="I380" s="126"/>
      <c r="J380" s="127"/>
      <c r="K380" s="126"/>
      <c r="L380" s="126"/>
      <c r="M380" s="128"/>
      <c r="N380" s="126"/>
      <c r="O380" s="126"/>
      <c r="P380" s="128"/>
      <c r="Q380" s="126"/>
      <c r="R380" s="126"/>
      <c r="S380" s="126"/>
      <c r="T380" s="139"/>
      <c r="U380" s="25"/>
      <c r="V380"/>
      <c r="W380"/>
    </row>
    <row r="381" spans="1:23" ht="1.05" hidden="1" customHeight="1">
      <c r="A381" s="361"/>
      <c r="B381" s="145"/>
      <c r="C381" s="126"/>
      <c r="D381" s="126"/>
      <c r="E381" s="126"/>
      <c r="F381" s="126"/>
      <c r="G381" s="125"/>
      <c r="H381" s="126"/>
      <c r="I381" s="126"/>
      <c r="J381" s="127"/>
      <c r="K381" s="126"/>
      <c r="L381" s="126"/>
      <c r="M381" s="128"/>
      <c r="N381" s="126"/>
      <c r="O381" s="126"/>
      <c r="P381" s="128"/>
      <c r="Q381" s="126"/>
      <c r="R381" s="126"/>
      <c r="S381" s="126"/>
      <c r="T381" s="139"/>
      <c r="U381" s="25"/>
      <c r="V381"/>
      <c r="W381"/>
    </row>
    <row r="382" spans="1:23" ht="1.05" hidden="1" customHeight="1">
      <c r="A382" s="361"/>
      <c r="B382" s="145"/>
      <c r="C382" s="126"/>
      <c r="D382" s="126"/>
      <c r="E382" s="126"/>
      <c r="F382" s="126"/>
      <c r="G382" s="125"/>
      <c r="H382" s="126"/>
      <c r="I382" s="126"/>
      <c r="J382" s="127"/>
      <c r="K382" s="126"/>
      <c r="L382" s="126"/>
      <c r="M382" s="128"/>
      <c r="N382" s="126"/>
      <c r="O382" s="126"/>
      <c r="P382" s="128"/>
      <c r="Q382" s="126"/>
      <c r="R382" s="126"/>
      <c r="S382" s="126"/>
      <c r="T382" s="139"/>
      <c r="U382" s="25"/>
      <c r="V382"/>
      <c r="W382"/>
    </row>
    <row r="383" spans="1:23" ht="1.05" hidden="1" customHeight="1">
      <c r="A383" s="361"/>
      <c r="B383" s="145"/>
      <c r="C383" s="126"/>
      <c r="D383" s="126"/>
      <c r="E383" s="126"/>
      <c r="F383" s="126"/>
      <c r="G383" s="125"/>
      <c r="H383" s="126"/>
      <c r="I383" s="126"/>
      <c r="J383" s="127"/>
      <c r="K383" s="126"/>
      <c r="L383" s="126"/>
      <c r="M383" s="128"/>
      <c r="N383" s="126"/>
      <c r="O383" s="126"/>
      <c r="P383" s="128"/>
      <c r="Q383" s="126"/>
      <c r="R383" s="126"/>
      <c r="S383" s="126"/>
      <c r="T383" s="139"/>
      <c r="U383" s="25"/>
      <c r="V383"/>
      <c r="W383"/>
    </row>
    <row r="384" spans="1:23" ht="1.05" hidden="1" customHeight="1">
      <c r="A384" s="361"/>
      <c r="B384" s="145"/>
      <c r="C384" s="126"/>
      <c r="D384" s="126"/>
      <c r="E384" s="126"/>
      <c r="F384" s="126"/>
      <c r="G384" s="125"/>
      <c r="H384" s="126"/>
      <c r="I384" s="126"/>
      <c r="J384" s="127"/>
      <c r="K384" s="126"/>
      <c r="L384" s="126"/>
      <c r="M384" s="128"/>
      <c r="N384" s="126"/>
      <c r="O384" s="126"/>
      <c r="P384" s="128"/>
      <c r="Q384" s="126"/>
      <c r="R384" s="126"/>
      <c r="S384" s="126"/>
      <c r="T384" s="139"/>
      <c r="U384" s="25"/>
      <c r="V384"/>
      <c r="W384"/>
    </row>
    <row r="385" spans="1:23" ht="18" hidden="1" customHeight="1" thickBot="1">
      <c r="A385" s="362"/>
      <c r="B385" s="146"/>
      <c r="C385" s="140"/>
      <c r="D385" s="140"/>
      <c r="E385" s="140"/>
      <c r="F385" s="140"/>
      <c r="G385" s="141"/>
      <c r="H385" s="140"/>
      <c r="I385" s="140"/>
      <c r="J385" s="142"/>
      <c r="K385" s="140"/>
      <c r="L385" s="140"/>
      <c r="M385" s="143"/>
      <c r="N385" s="140"/>
      <c r="O385" s="140"/>
      <c r="P385" s="143"/>
      <c r="Q385" s="140"/>
      <c r="R385" s="140"/>
      <c r="S385" s="140"/>
      <c r="T385" s="144"/>
      <c r="U385" s="25"/>
      <c r="V385"/>
      <c r="W385"/>
    </row>
    <row r="386" spans="1:23" ht="17.399999999999999" hidden="1">
      <c r="W386" s="25"/>
    </row>
    <row r="387" spans="1:23" ht="17.399999999999999">
      <c r="W387" s="25"/>
    </row>
    <row r="388" spans="1:23" ht="17.399999999999999">
      <c r="W388" s="25"/>
    </row>
    <row r="389" spans="1:23" ht="16.95" customHeight="1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25"/>
      <c r="W389"/>
    </row>
    <row r="390" spans="1:23" ht="17.399999999999999">
      <c r="W390" s="25"/>
    </row>
    <row r="391" spans="1:23" ht="17.399999999999999">
      <c r="W391" s="25"/>
    </row>
    <row r="392" spans="1:23" ht="17.399999999999999">
      <c r="W392" s="25"/>
    </row>
    <row r="393" spans="1:23" ht="17.399999999999999">
      <c r="W393" s="25"/>
    </row>
    <row r="394" spans="1:23" ht="17.399999999999999">
      <c r="W394" s="25"/>
    </row>
    <row r="395" spans="1:23" ht="45">
      <c r="B395" s="378" t="s">
        <v>117</v>
      </c>
      <c r="C395" s="379"/>
      <c r="D395" s="379"/>
      <c r="E395" s="379"/>
      <c r="F395" s="379"/>
      <c r="G395" s="379"/>
      <c r="H395" s="379"/>
      <c r="I395" s="379"/>
      <c r="J395" s="379"/>
      <c r="K395" s="379"/>
      <c r="L395" s="379"/>
      <c r="M395" s="379"/>
      <c r="N395" s="379"/>
      <c r="O395" s="379"/>
      <c r="P395" s="379"/>
      <c r="Q395" s="379"/>
      <c r="R395" s="379"/>
      <c r="S395" s="379"/>
      <c r="T395" s="379"/>
      <c r="U395" s="380"/>
      <c r="V395" s="25"/>
      <c r="W395"/>
    </row>
    <row r="396" spans="1:23" ht="19.95" customHeight="1">
      <c r="B396" s="317"/>
      <c r="C396" s="317"/>
      <c r="D396" s="317"/>
      <c r="E396" s="317"/>
      <c r="F396" s="317"/>
      <c r="G396" s="317"/>
      <c r="H396" s="317"/>
      <c r="I396" s="156"/>
      <c r="J396" s="156"/>
      <c r="K396" s="317"/>
      <c r="L396" s="317"/>
      <c r="M396" s="317"/>
      <c r="N396" s="317"/>
      <c r="O396" s="317"/>
      <c r="P396" s="317"/>
      <c r="Q396" s="317"/>
      <c r="R396" s="317"/>
      <c r="S396" s="317"/>
      <c r="T396" s="317"/>
      <c r="U396" s="317"/>
      <c r="V396" s="25"/>
      <c r="W396"/>
    </row>
    <row r="397" spans="1:23" ht="31.05" customHeight="1">
      <c r="A397" s="40"/>
      <c r="B397" s="385" t="s">
        <v>118</v>
      </c>
      <c r="C397" s="353"/>
      <c r="D397" s="313" t="s">
        <v>81</v>
      </c>
      <c r="E397" s="383" t="s">
        <v>119</v>
      </c>
      <c r="F397" s="382"/>
      <c r="G397" s="155" t="s">
        <v>120</v>
      </c>
      <c r="H397" s="314"/>
      <c r="K397" s="349" t="s">
        <v>121</v>
      </c>
      <c r="L397" s="349"/>
      <c r="M397" s="349"/>
      <c r="N397" s="349"/>
      <c r="O397" s="349"/>
      <c r="P397" s="349" t="s">
        <v>81</v>
      </c>
      <c r="Q397" s="349"/>
      <c r="R397" s="381" t="s">
        <v>119</v>
      </c>
      <c r="S397" s="382"/>
      <c r="T397" s="383" t="s">
        <v>120</v>
      </c>
      <c r="U397" s="382"/>
      <c r="W397"/>
    </row>
    <row r="398" spans="1:23" ht="31.05" customHeight="1">
      <c r="A398" s="40"/>
      <c r="B398" s="355" t="str">
        <f>IF(Data!F224=0,"",Data!F224)</f>
        <v>Woking AC</v>
      </c>
      <c r="C398" s="356"/>
      <c r="D398" s="326">
        <f>IF(Data!G224=0,"",Data!G224)</f>
        <v>1036</v>
      </c>
      <c r="E398" s="355">
        <f>IF(Data!H224=0,"",Data!H224)</f>
        <v>1</v>
      </c>
      <c r="F398" s="356"/>
      <c r="G398" s="355">
        <f>IF(Data!I224=0,"",Data!I224)</f>
        <v>8</v>
      </c>
      <c r="H398" s="356"/>
      <c r="K398" s="355" t="str">
        <f>IF(Data!A224=0,"",Data!A224)</f>
        <v>Fleet &amp; Crookham AC</v>
      </c>
      <c r="L398" s="384"/>
      <c r="M398" s="384"/>
      <c r="N398" s="384"/>
      <c r="O398" s="356"/>
      <c r="P398" s="355">
        <f>IF(Data!B224=0,"",Data!B224)</f>
        <v>839</v>
      </c>
      <c r="Q398" s="356"/>
      <c r="R398" s="355">
        <f>IF(Data!C224=0,"",Data!C224)</f>
        <v>1</v>
      </c>
      <c r="S398" s="356"/>
      <c r="T398" s="355">
        <f>IF(Data!D224=0,"",Data!D224)</f>
        <v>8</v>
      </c>
      <c r="U398" s="356"/>
      <c r="V398" s="327"/>
      <c r="W398"/>
    </row>
    <row r="399" spans="1:23" ht="31.05" customHeight="1">
      <c r="A399" s="40"/>
      <c r="B399" s="355" t="str">
        <f>IF(Data!F225=0,"",Data!F225)</f>
        <v>Basingstoke &amp; Mid Hants AC</v>
      </c>
      <c r="C399" s="356"/>
      <c r="D399" s="326">
        <f>IF(Data!G225=0,"",Data!G225)</f>
        <v>946</v>
      </c>
      <c r="E399" s="355">
        <f>IF(Data!H225=0,"",Data!H225)</f>
        <v>2</v>
      </c>
      <c r="F399" s="356"/>
      <c r="G399" s="355">
        <f>IF(Data!I225=0,"",Data!I225)</f>
        <v>7</v>
      </c>
      <c r="H399" s="356"/>
      <c r="K399" s="355" t="str">
        <f>IF(Data!A225=0,"",Data!A225)</f>
        <v>Waverley Athletics Club</v>
      </c>
      <c r="L399" s="384"/>
      <c r="M399" s="384"/>
      <c r="N399" s="384"/>
      <c r="O399" s="356"/>
      <c r="P399" s="355">
        <f>IF(Data!B225=0,"",Data!B225)</f>
        <v>834</v>
      </c>
      <c r="Q399" s="356"/>
      <c r="R399" s="355">
        <f>IF(Data!C225=0,"",Data!C225)</f>
        <v>2</v>
      </c>
      <c r="S399" s="356"/>
      <c r="T399" s="355">
        <f>IF(Data!D225=0,"",Data!D225)</f>
        <v>7</v>
      </c>
      <c r="U399" s="356"/>
      <c r="W399"/>
    </row>
    <row r="400" spans="1:23" ht="31.05" customHeight="1">
      <c r="A400" s="40"/>
      <c r="B400" s="355" t="str">
        <f>IF(Data!F226=0,"",Data!F226)</f>
        <v>Fleet &amp; Crookham AC</v>
      </c>
      <c r="C400" s="356"/>
      <c r="D400" s="326">
        <f>IF(Data!G226=0,"",Data!G226)</f>
        <v>892</v>
      </c>
      <c r="E400" s="355">
        <f>IF(Data!H226=0,"",Data!H226)</f>
        <v>3</v>
      </c>
      <c r="F400" s="356"/>
      <c r="G400" s="355">
        <f>IF(Data!I226=0,"",Data!I226)</f>
        <v>6</v>
      </c>
      <c r="H400" s="356"/>
      <c r="K400" s="355" t="str">
        <f>IF(Data!A226=0,"",Data!A226)</f>
        <v>Camberley &amp; District AC</v>
      </c>
      <c r="L400" s="384"/>
      <c r="M400" s="384"/>
      <c r="N400" s="384"/>
      <c r="O400" s="356"/>
      <c r="P400" s="355">
        <f>IF(Data!B226=0,"",Data!B226)</f>
        <v>830</v>
      </c>
      <c r="Q400" s="356"/>
      <c r="R400" s="355">
        <f>IF(Data!C226=0,"",Data!C226)</f>
        <v>3</v>
      </c>
      <c r="S400" s="356"/>
      <c r="T400" s="355">
        <f>IF(Data!D226=0,"",Data!D226)</f>
        <v>6</v>
      </c>
      <c r="U400" s="356"/>
      <c r="W400"/>
    </row>
    <row r="401" spans="1:23" ht="31.05" customHeight="1">
      <c r="A401" s="40"/>
      <c r="B401" s="355" t="str">
        <f>IF(Data!F227=0,"",Data!F227)</f>
        <v>Poole Runners</v>
      </c>
      <c r="C401" s="356"/>
      <c r="D401" s="326">
        <f>IF(Data!G227=0,"",Data!G227)</f>
        <v>855</v>
      </c>
      <c r="E401" s="355">
        <f>IF(Data!H227=0,"",Data!H227)</f>
        <v>4</v>
      </c>
      <c r="F401" s="356"/>
      <c r="G401" s="355">
        <f>IF(Data!I227=0,"",Data!I227)</f>
        <v>5</v>
      </c>
      <c r="H401" s="356"/>
      <c r="K401" s="355" t="str">
        <f>IF(Data!A227=0,"",Data!A227)</f>
        <v>Woking AC</v>
      </c>
      <c r="L401" s="384"/>
      <c r="M401" s="384"/>
      <c r="N401" s="384"/>
      <c r="O401" s="356"/>
      <c r="P401" s="355">
        <f>IF(Data!B227=0,"",Data!B227)</f>
        <v>783</v>
      </c>
      <c r="Q401" s="356"/>
      <c r="R401" s="355">
        <f>IF(Data!C227=0,"",Data!C227)</f>
        <v>4</v>
      </c>
      <c r="S401" s="356"/>
      <c r="T401" s="355">
        <f>IF(Data!D227=0,"",Data!D227)</f>
        <v>5</v>
      </c>
      <c r="U401" s="356"/>
      <c r="V401"/>
      <c r="W401"/>
    </row>
    <row r="402" spans="1:23" ht="31.05" customHeight="1">
      <c r="A402" s="40"/>
      <c r="B402" s="355" t="str">
        <f>IF(Data!F228=0,"",Data!F228)</f>
        <v>Camberley &amp; District AC</v>
      </c>
      <c r="C402" s="356"/>
      <c r="D402" s="326">
        <f>IF(Data!G228=0,"",Data!G228)</f>
        <v>853</v>
      </c>
      <c r="E402" s="355">
        <f>IF(Data!H228=0,"",Data!H228)</f>
        <v>5</v>
      </c>
      <c r="F402" s="356"/>
      <c r="G402" s="355">
        <f>IF(Data!I228=0,"",Data!I228)</f>
        <v>4</v>
      </c>
      <c r="H402" s="356"/>
      <c r="K402" s="355" t="str">
        <f>IF(Data!A228=0,"",Data!A228)</f>
        <v>Poole Runners</v>
      </c>
      <c r="L402" s="384"/>
      <c r="M402" s="384"/>
      <c r="N402" s="384"/>
      <c r="O402" s="356"/>
      <c r="P402" s="355">
        <f>IF(Data!B228=0,"",Data!B228)</f>
        <v>738</v>
      </c>
      <c r="Q402" s="356"/>
      <c r="R402" s="355">
        <f>IF(Data!C228=0,"",Data!C228)</f>
        <v>5</v>
      </c>
      <c r="S402" s="356"/>
      <c r="T402" s="355">
        <f>IF(Data!D228=0,"",Data!D228)</f>
        <v>4</v>
      </c>
      <c r="U402" s="356"/>
      <c r="V402"/>
      <c r="W402"/>
    </row>
    <row r="403" spans="1:23" ht="31.05" customHeight="1">
      <c r="A403" s="40"/>
      <c r="B403" s="355" t="str">
        <f>IF(Data!F229=0,"",Data!F229)</f>
        <v>Waverley Athletics Club</v>
      </c>
      <c r="C403" s="356"/>
      <c r="D403" s="326">
        <f>IF(Data!G229=0,"",Data!G229)</f>
        <v>617</v>
      </c>
      <c r="E403" s="355">
        <f>IF(Data!H229=0,"",Data!H229)</f>
        <v>6</v>
      </c>
      <c r="F403" s="356"/>
      <c r="G403" s="355">
        <f>IF(Data!I229=0,"",Data!I229)</f>
        <v>3</v>
      </c>
      <c r="H403" s="356"/>
      <c r="K403" s="355" t="str">
        <f>IF(Data!A229=0,"",Data!A229)</f>
        <v>Basingstoke &amp; Mid Hants AC</v>
      </c>
      <c r="L403" s="384"/>
      <c r="M403" s="384"/>
      <c r="N403" s="384"/>
      <c r="O403" s="356"/>
      <c r="P403" s="355">
        <f>IF(Data!B229=0,"",Data!B229)</f>
        <v>654</v>
      </c>
      <c r="Q403" s="356"/>
      <c r="R403" s="355">
        <f>IF(Data!C229=0,"",Data!C229)</f>
        <v>6</v>
      </c>
      <c r="S403" s="356"/>
      <c r="T403" s="355">
        <f>IF(Data!D229=0,"",Data!D229)</f>
        <v>3</v>
      </c>
      <c r="U403" s="356"/>
      <c r="V403"/>
      <c r="W403"/>
    </row>
    <row r="404" spans="1:23" ht="31.05" customHeight="1">
      <c r="A404" s="40"/>
      <c r="B404" s="355" t="str">
        <f>IF(Data!F230=0,"",Data!F230)</f>
        <v/>
      </c>
      <c r="C404" s="356"/>
      <c r="D404" s="326" t="str">
        <f>IF(Data!G230=0,"",Data!G230)</f>
        <v/>
      </c>
      <c r="E404" s="355" t="str">
        <f>IF(Data!H230=0,"",Data!H230)</f>
        <v/>
      </c>
      <c r="F404" s="356"/>
      <c r="G404" s="355" t="str">
        <f>IF(Data!I230=0,"",Data!I230)</f>
        <v/>
      </c>
      <c r="H404" s="356"/>
      <c r="K404" s="355" t="str">
        <f>IF(Data!A230=0,"",Data!A230)</f>
        <v/>
      </c>
      <c r="L404" s="384"/>
      <c r="M404" s="384"/>
      <c r="N404" s="384"/>
      <c r="O404" s="356"/>
      <c r="P404" s="355" t="str">
        <f>IF(Data!B230=0,"",Data!B230)</f>
        <v/>
      </c>
      <c r="Q404" s="356"/>
      <c r="R404" s="355" t="str">
        <f>IF(Data!C230=0,"",Data!C230)</f>
        <v/>
      </c>
      <c r="S404" s="356"/>
      <c r="T404" s="355" t="str">
        <f>IF(Data!D230=0,"",Data!D230)</f>
        <v/>
      </c>
      <c r="U404" s="356"/>
      <c r="V404"/>
      <c r="W404"/>
    </row>
    <row r="405" spans="1:23" ht="31.05" customHeight="1">
      <c r="A405" s="40"/>
      <c r="B405" s="355" t="str">
        <f>IF(Data!F231=0,"",Data!F231)</f>
        <v/>
      </c>
      <c r="C405" s="356"/>
      <c r="D405" s="326" t="str">
        <f>IF(Data!G231=0,"",Data!G231)</f>
        <v/>
      </c>
      <c r="E405" s="355" t="str">
        <f>IF(Data!H231=0,"",Data!H231)</f>
        <v/>
      </c>
      <c r="F405" s="356"/>
      <c r="G405" s="355" t="str">
        <f>IF(Data!I231=0,"",Data!I231)</f>
        <v/>
      </c>
      <c r="H405" s="356"/>
      <c r="K405" s="355" t="str">
        <f>IF(Data!A231=0,"",Data!A231)</f>
        <v/>
      </c>
      <c r="L405" s="384"/>
      <c r="M405" s="384"/>
      <c r="N405" s="384"/>
      <c r="O405" s="356"/>
      <c r="P405" s="355" t="str">
        <f>IF(Data!B231=0,"",Data!B231)</f>
        <v/>
      </c>
      <c r="Q405" s="356"/>
      <c r="R405" s="355" t="str">
        <f>IF(Data!C231=0,"",Data!C231)</f>
        <v/>
      </c>
      <c r="S405" s="356"/>
      <c r="T405" s="355" t="str">
        <f>IF(Data!D231=0,"",Data!D231)</f>
        <v/>
      </c>
      <c r="U405" s="356"/>
      <c r="V405"/>
      <c r="W405"/>
    </row>
    <row r="406" spans="1:23" ht="18" customHeight="1">
      <c r="F406" s="5"/>
      <c r="G406" s="4"/>
      <c r="I406" s="6"/>
      <c r="J406" s="15"/>
      <c r="K406" s="15"/>
      <c r="M406" s="6"/>
      <c r="N406" s="6"/>
      <c r="P406"/>
      <c r="Q406" s="4"/>
      <c r="V406"/>
      <c r="W406"/>
    </row>
    <row r="407" spans="1:23" ht="18" customHeight="1">
      <c r="F407" s="5"/>
      <c r="G407" s="4"/>
      <c r="I407" s="6"/>
      <c r="J407"/>
      <c r="L407" s="15"/>
      <c r="M407"/>
      <c r="O407" s="6"/>
      <c r="P407"/>
      <c r="Q407" s="4"/>
      <c r="V407"/>
      <c r="W407"/>
    </row>
    <row r="408" spans="1:23" ht="16.05" customHeight="1">
      <c r="F408" s="5"/>
      <c r="G408" s="4"/>
      <c r="I408" s="6"/>
      <c r="J408"/>
      <c r="L408" s="15"/>
      <c r="M408"/>
      <c r="O408" s="6"/>
      <c r="P408"/>
      <c r="Q408" s="4"/>
      <c r="V408"/>
      <c r="W408"/>
    </row>
    <row r="409" spans="1:23" ht="45" hidden="1">
      <c r="D409" s="357" t="s">
        <v>122</v>
      </c>
      <c r="E409" s="358"/>
      <c r="F409" s="358"/>
      <c r="G409" s="358"/>
      <c r="H409" s="358"/>
      <c r="I409" s="358"/>
      <c r="J409" s="358"/>
      <c r="K409" s="358"/>
      <c r="L409" s="358"/>
      <c r="M409" s="358"/>
      <c r="N409" s="358"/>
      <c r="O409" s="358"/>
      <c r="P409" s="359"/>
      <c r="Q409" s="4"/>
      <c r="U409"/>
      <c r="V409"/>
      <c r="W409"/>
    </row>
    <row r="410" spans="1:23" ht="1.05" hidden="1" customHeight="1">
      <c r="A410" s="90"/>
      <c r="B410" s="91"/>
      <c r="C410" s="91"/>
      <c r="D410" s="354" t="s">
        <v>105</v>
      </c>
      <c r="E410" s="354"/>
      <c r="F410" s="354"/>
      <c r="G410" s="354"/>
      <c r="H410" s="350" t="s">
        <v>81</v>
      </c>
      <c r="I410" s="350"/>
      <c r="J410" s="351"/>
      <c r="K410" s="352" t="s">
        <v>120</v>
      </c>
      <c r="L410" s="352"/>
      <c r="M410" s="353"/>
      <c r="N410" s="352" t="s">
        <v>119</v>
      </c>
      <c r="O410" s="352"/>
      <c r="P410" s="353"/>
      <c r="Q410" s="91"/>
      <c r="R410" s="91"/>
      <c r="S410" s="91"/>
      <c r="T410" s="91"/>
      <c r="V410"/>
      <c r="W410"/>
    </row>
    <row r="411" spans="1:23" ht="1.05" hidden="1" customHeight="1">
      <c r="D411" s="348" t="str">
        <f>IFERROR(IF(Data!H235=0,"",Data!H235),"")</f>
        <v>Fleet &amp; Crookham AC</v>
      </c>
      <c r="E411" s="348"/>
      <c r="F411" s="348"/>
      <c r="G411" s="348"/>
      <c r="H411" s="348">
        <f>IF(Data!I235=0,"",Data!I235)</f>
        <v>1731</v>
      </c>
      <c r="I411" s="348"/>
      <c r="J411" s="348"/>
      <c r="K411" s="349">
        <f>IF(Data!J235=0,"",Data!J235)</f>
        <v>14</v>
      </c>
      <c r="L411" s="349"/>
      <c r="M411" s="349"/>
      <c r="N411" s="349">
        <f>IF(Data!K235=0,"",Data!K235)</f>
        <v>1</v>
      </c>
      <c r="O411" s="349"/>
      <c r="P411" s="349"/>
      <c r="Q411" s="4"/>
      <c r="V411"/>
      <c r="W411"/>
    </row>
    <row r="412" spans="1:23" ht="1.05" hidden="1" customHeight="1">
      <c r="D412" s="348" t="str">
        <f>IF(Data!H236=0,"",Data!H236)</f>
        <v>Woking AC</v>
      </c>
      <c r="E412" s="348"/>
      <c r="F412" s="348"/>
      <c r="G412" s="348"/>
      <c r="H412" s="348">
        <f>IF(Data!I236=0,"",Data!I236)</f>
        <v>1819</v>
      </c>
      <c r="I412" s="348"/>
      <c r="J412" s="348"/>
      <c r="K412" s="349">
        <f>IF(Data!J236=0,"",Data!J236)</f>
        <v>13</v>
      </c>
      <c r="L412" s="349"/>
      <c r="M412" s="349"/>
      <c r="N412" s="349">
        <f>IF(Data!K236=0,"",Data!K236)</f>
        <v>2</v>
      </c>
      <c r="O412" s="349"/>
      <c r="P412" s="349"/>
      <c r="Q412" s="4"/>
      <c r="V412"/>
      <c r="W412"/>
    </row>
    <row r="413" spans="1:23" ht="1.05" hidden="1" customHeight="1">
      <c r="D413" s="348" t="str">
        <f>IF(Data!H237=0,"",Data!H237)</f>
        <v>Camberley &amp; District AC</v>
      </c>
      <c r="E413" s="348"/>
      <c r="F413" s="348"/>
      <c r="G413" s="348"/>
      <c r="H413" s="348">
        <f>IF(Data!I237=0,"",Data!I237)</f>
        <v>1683</v>
      </c>
      <c r="I413" s="348"/>
      <c r="J413" s="348"/>
      <c r="K413" s="349">
        <f>IF(Data!J237=0,"",Data!J237)</f>
        <v>10</v>
      </c>
      <c r="L413" s="349"/>
      <c r="M413" s="349"/>
      <c r="N413" s="349">
        <f>IF(Data!K237=0,"",Data!K237)</f>
        <v>3</v>
      </c>
      <c r="O413" s="349"/>
      <c r="P413" s="349"/>
      <c r="Q413" s="4"/>
      <c r="U413"/>
      <c r="V413"/>
      <c r="W413"/>
    </row>
    <row r="414" spans="1:23" s="16" customFormat="1" ht="1.05" hidden="1" customHeight="1">
      <c r="A414" s="9"/>
      <c r="B414" s="4"/>
      <c r="C414" s="4"/>
      <c r="D414" s="348" t="str">
        <f>IF(Data!H238=0,"",Data!H238)</f>
        <v>Basingstoke &amp; Mid Hants AC</v>
      </c>
      <c r="E414" s="348"/>
      <c r="F414" s="348"/>
      <c r="G414" s="348"/>
      <c r="H414" s="348">
        <f>IF(Data!I238=0,"",Data!I238)</f>
        <v>1600</v>
      </c>
      <c r="I414" s="348"/>
      <c r="J414" s="348"/>
      <c r="K414" s="349">
        <f>IF(Data!J238=0,"",Data!J238)</f>
        <v>10</v>
      </c>
      <c r="L414" s="349"/>
      <c r="M414" s="349"/>
      <c r="N414" s="349">
        <f>IF(Data!K238=0,"",Data!K238)</f>
        <v>4</v>
      </c>
      <c r="O414" s="349"/>
      <c r="P414" s="349"/>
      <c r="Q414" s="4"/>
      <c r="R414" s="4"/>
      <c r="S414" s="4"/>
      <c r="T414" s="4"/>
    </row>
    <row r="415" spans="1:23" ht="1.05" hidden="1" customHeight="1">
      <c r="D415" s="348" t="str">
        <f>IF(Data!H239=0,"",Data!H239)</f>
        <v>Waverley Athletics Club</v>
      </c>
      <c r="E415" s="348"/>
      <c r="F415" s="348"/>
      <c r="G415" s="348"/>
      <c r="H415" s="348">
        <f>IF(Data!I239=0,"",Data!I239)</f>
        <v>1451</v>
      </c>
      <c r="I415" s="348"/>
      <c r="J415" s="348"/>
      <c r="K415" s="349">
        <f>IF(Data!J239=0,"",Data!J239)</f>
        <v>10</v>
      </c>
      <c r="L415" s="349"/>
      <c r="M415" s="349"/>
      <c r="N415" s="349">
        <f>IF(Data!K239=0,"",Data!K239)</f>
        <v>5</v>
      </c>
      <c r="O415" s="349"/>
      <c r="P415" s="349"/>
      <c r="Q415" s="4"/>
      <c r="U415"/>
      <c r="V415"/>
      <c r="W415"/>
    </row>
    <row r="416" spans="1:23" ht="1.05" hidden="1" customHeight="1">
      <c r="D416" s="348" t="str">
        <f>IF(Data!H240=0,"",Data!H240)</f>
        <v>Poole Runners</v>
      </c>
      <c r="E416" s="348"/>
      <c r="F416" s="348"/>
      <c r="G416" s="348"/>
      <c r="H416" s="348">
        <f>IF(Data!I240=0,"",Data!I240)</f>
        <v>1593</v>
      </c>
      <c r="I416" s="348"/>
      <c r="J416" s="348"/>
      <c r="K416" s="349">
        <f>IF(Data!J240=0,"",Data!J240)</f>
        <v>9</v>
      </c>
      <c r="L416" s="349"/>
      <c r="M416" s="349"/>
      <c r="N416" s="349">
        <f>IF(Data!K240=0,"",Data!K240)</f>
        <v>6</v>
      </c>
      <c r="O416" s="349"/>
      <c r="P416" s="349"/>
      <c r="Q416" s="4"/>
      <c r="U416"/>
      <c r="V416"/>
      <c r="W416"/>
    </row>
    <row r="417" spans="1:23" ht="1.05" hidden="1" customHeight="1">
      <c r="D417" s="348" t="str">
        <f>IF(Data!H241=0,"",Data!H241)</f>
        <v/>
      </c>
      <c r="E417" s="348"/>
      <c r="F417" s="348"/>
      <c r="G417" s="348"/>
      <c r="H417" s="348" t="str">
        <f>IF(Data!I241=0,"",Data!I241)</f>
        <v/>
      </c>
      <c r="I417" s="348"/>
      <c r="J417" s="348"/>
      <c r="K417" s="349" t="str">
        <f>IF(Data!J241=0,"",Data!J241)</f>
        <v/>
      </c>
      <c r="L417" s="349"/>
      <c r="M417" s="349"/>
      <c r="N417" s="349" t="str">
        <f>IF(Data!K241=0,"",Data!K241)</f>
        <v/>
      </c>
      <c r="O417" s="349"/>
      <c r="P417" s="349"/>
      <c r="Q417" s="4"/>
      <c r="U417"/>
      <c r="V417"/>
      <c r="W417"/>
    </row>
    <row r="418" spans="1:23" ht="1.05" hidden="1" customHeight="1">
      <c r="D418" s="348" t="str">
        <f>IF(Data!H242=0,"",Data!H242)</f>
        <v/>
      </c>
      <c r="E418" s="348"/>
      <c r="F418" s="348"/>
      <c r="G418" s="348"/>
      <c r="H418" s="348" t="str">
        <f>IF(Data!I242=0,"",Data!I242)</f>
        <v/>
      </c>
      <c r="I418" s="348"/>
      <c r="J418" s="348"/>
      <c r="K418" s="349" t="str">
        <f>IF(Data!J242=0,"",Data!J242)</f>
        <v/>
      </c>
      <c r="L418" s="349"/>
      <c r="M418" s="349"/>
      <c r="N418" s="349" t="str">
        <f>IF(Data!K242=0,"",Data!K242)</f>
        <v/>
      </c>
      <c r="O418" s="349"/>
      <c r="P418" s="349"/>
      <c r="Q418" s="4"/>
      <c r="U418"/>
      <c r="V418"/>
      <c r="W418"/>
    </row>
    <row r="420" spans="1:23" ht="45" customHeight="1">
      <c r="D420" s="357" t="s">
        <v>122</v>
      </c>
      <c r="E420" s="358"/>
      <c r="F420" s="358"/>
      <c r="G420" s="358"/>
      <c r="H420" s="358"/>
      <c r="I420" s="358"/>
      <c r="J420" s="358"/>
      <c r="K420" s="358"/>
      <c r="L420" s="358"/>
      <c r="M420" s="359"/>
      <c r="N420" s="4"/>
      <c r="O420" s="4"/>
      <c r="P420" s="4"/>
      <c r="Q420" s="4"/>
      <c r="R420"/>
      <c r="S420"/>
      <c r="T420"/>
      <c r="U420"/>
      <c r="V420"/>
      <c r="W420"/>
    </row>
    <row r="421" spans="1:23" ht="31.05" customHeight="1">
      <c r="A421" s="90"/>
      <c r="B421" s="91"/>
      <c r="C421" s="91"/>
      <c r="D421" s="354" t="s">
        <v>105</v>
      </c>
      <c r="E421" s="354"/>
      <c r="F421" s="354"/>
      <c r="G421" s="354"/>
      <c r="H421" s="350" t="s">
        <v>81</v>
      </c>
      <c r="I421" s="350"/>
      <c r="J421" s="351"/>
      <c r="K421" s="352" t="s">
        <v>119</v>
      </c>
      <c r="L421" s="352"/>
      <c r="M421" s="353"/>
      <c r="N421" s="91"/>
      <c r="O421" s="338" t="s">
        <v>199</v>
      </c>
      <c r="P421" s="91"/>
      <c r="Q421" s="91"/>
      <c r="S421"/>
      <c r="T421"/>
      <c r="U421"/>
      <c r="V421"/>
      <c r="W421"/>
    </row>
    <row r="422" spans="1:23" ht="31.05" customHeight="1">
      <c r="D422" s="348" t="str">
        <f>IFERROR(IF(Data!S235=0,"",Data!S235),"")</f>
        <v>Woking AC</v>
      </c>
      <c r="E422" s="348"/>
      <c r="F422" s="348"/>
      <c r="G422" s="348"/>
      <c r="H422" s="348">
        <f>IF(Data!T235=0,"",Data!T235)</f>
        <v>1819</v>
      </c>
      <c r="I422" s="348"/>
      <c r="J422" s="348"/>
      <c r="K422" s="348">
        <f>IF(Data!U235=0,"",Data!U235)</f>
        <v>1</v>
      </c>
      <c r="L422" s="348"/>
      <c r="M422" s="348"/>
      <c r="N422" s="4"/>
      <c r="O422" s="4"/>
      <c r="P422" s="4"/>
      <c r="Q422" s="4"/>
      <c r="S422"/>
      <c r="T422"/>
      <c r="U422"/>
      <c r="V422"/>
      <c r="W422"/>
    </row>
    <row r="423" spans="1:23" ht="31.05" customHeight="1">
      <c r="D423" s="348" t="str">
        <f>IFERROR(IF(Data!S236=0,"",Data!S236),"")</f>
        <v>Fleet &amp; Crookham AC</v>
      </c>
      <c r="E423" s="348"/>
      <c r="F423" s="348"/>
      <c r="G423" s="348"/>
      <c r="H423" s="348">
        <f>IF(Data!T236=0,"",Data!T236)</f>
        <v>1731</v>
      </c>
      <c r="I423" s="348"/>
      <c r="J423" s="348"/>
      <c r="K423" s="348">
        <f>IF(Data!U236=0,"",Data!U236)</f>
        <v>2</v>
      </c>
      <c r="L423" s="348"/>
      <c r="M423" s="348"/>
      <c r="N423" s="4"/>
      <c r="O423" s="4"/>
      <c r="P423" s="4"/>
      <c r="Q423" s="4"/>
      <c r="S423"/>
      <c r="T423"/>
      <c r="U423"/>
      <c r="V423"/>
      <c r="W423"/>
    </row>
    <row r="424" spans="1:23" ht="31.05" customHeight="1">
      <c r="D424" s="348" t="str">
        <f>IFERROR(IF(Data!S237=0,"",Data!S237),"")</f>
        <v>Camberley &amp; District AC</v>
      </c>
      <c r="E424" s="348"/>
      <c r="F424" s="348"/>
      <c r="G424" s="348"/>
      <c r="H424" s="348">
        <f>IF(Data!T237=0,"",Data!T237)</f>
        <v>1683</v>
      </c>
      <c r="I424" s="348"/>
      <c r="J424" s="348"/>
      <c r="K424" s="348">
        <f>IF(Data!U237=0,"",Data!U237)</f>
        <v>3</v>
      </c>
      <c r="L424" s="348"/>
      <c r="M424" s="348"/>
      <c r="N424" s="4"/>
      <c r="O424" s="4"/>
      <c r="P424" s="4"/>
      <c r="Q424" s="4"/>
      <c r="R424"/>
      <c r="S424"/>
      <c r="T424"/>
      <c r="U424"/>
      <c r="V424"/>
      <c r="W424"/>
    </row>
    <row r="425" spans="1:23" s="16" customFormat="1" ht="31.05" customHeight="1">
      <c r="A425" s="9"/>
      <c r="B425" s="4"/>
      <c r="C425" s="4"/>
      <c r="D425" s="348" t="str">
        <f>IFERROR(IF(Data!S238=0,"",Data!S238),"")</f>
        <v>Basingstoke &amp; Mid Hants AC</v>
      </c>
      <c r="E425" s="348"/>
      <c r="F425" s="348"/>
      <c r="G425" s="348"/>
      <c r="H425" s="348">
        <f>IF(Data!T238=0,"",Data!T238)</f>
        <v>1600</v>
      </c>
      <c r="I425" s="348"/>
      <c r="J425" s="348"/>
      <c r="K425" s="348">
        <f>IF(Data!U238=0,"",Data!U238)</f>
        <v>4</v>
      </c>
      <c r="L425" s="348"/>
      <c r="M425" s="348"/>
      <c r="N425" s="4"/>
      <c r="O425" s="4"/>
      <c r="P425" s="4"/>
      <c r="Q425" s="4"/>
    </row>
    <row r="426" spans="1:23" ht="31.05" customHeight="1">
      <c r="D426" s="348" t="str">
        <f>IFERROR(IF(Data!S239=0,"",Data!S239),"")</f>
        <v>Poole Runners</v>
      </c>
      <c r="E426" s="348"/>
      <c r="F426" s="348"/>
      <c r="G426" s="348"/>
      <c r="H426" s="348">
        <f>IF(Data!T239=0,"",Data!T239)</f>
        <v>1593</v>
      </c>
      <c r="I426" s="348"/>
      <c r="J426" s="348"/>
      <c r="K426" s="348">
        <f>IF(Data!U239=0,"",Data!U239)</f>
        <v>5</v>
      </c>
      <c r="L426" s="348"/>
      <c r="M426" s="348"/>
      <c r="N426" s="4"/>
      <c r="O426" s="4"/>
      <c r="P426" s="4"/>
      <c r="Q426" s="4"/>
      <c r="R426"/>
      <c r="S426"/>
      <c r="T426"/>
      <c r="U426"/>
      <c r="V426"/>
      <c r="W426"/>
    </row>
    <row r="427" spans="1:23" ht="31.05" customHeight="1">
      <c r="D427" s="348" t="str">
        <f>IFERROR(IF(Data!S240=0,"",Data!S240),"")</f>
        <v>Waverley Athletics Club</v>
      </c>
      <c r="E427" s="348"/>
      <c r="F427" s="348"/>
      <c r="G427" s="348"/>
      <c r="H427" s="348">
        <f>IF(Data!T240=0,"",Data!T240)</f>
        <v>1451</v>
      </c>
      <c r="I427" s="348"/>
      <c r="J427" s="348"/>
      <c r="K427" s="348">
        <f>IF(Data!U240=0,"",Data!U240)</f>
        <v>6</v>
      </c>
      <c r="L427" s="348"/>
      <c r="M427" s="348"/>
      <c r="N427" s="4"/>
      <c r="O427" s="4"/>
      <c r="P427" s="4"/>
      <c r="Q427" s="4"/>
      <c r="R427"/>
      <c r="S427"/>
      <c r="T427"/>
      <c r="U427"/>
      <c r="V427"/>
      <c r="W427"/>
    </row>
    <row r="428" spans="1:23" ht="31.05" customHeight="1">
      <c r="D428" s="348" t="str">
        <f>IFERROR(IF(Data!S241=0,"",Data!S241),"")</f>
        <v/>
      </c>
      <c r="E428" s="348"/>
      <c r="F428" s="348"/>
      <c r="G428" s="348"/>
      <c r="H428" s="348" t="str">
        <f>IF(Data!T241=0,"",Data!T241)</f>
        <v/>
      </c>
      <c r="I428" s="348"/>
      <c r="J428" s="348"/>
      <c r="K428" s="348" t="str">
        <f>IF(Data!U241=0,"",Data!U241)</f>
        <v/>
      </c>
      <c r="L428" s="348"/>
      <c r="M428" s="348"/>
      <c r="N428" s="4"/>
      <c r="O428" s="4"/>
      <c r="P428" s="4"/>
      <c r="Q428" s="4"/>
      <c r="R428"/>
      <c r="S428"/>
      <c r="T428"/>
      <c r="U428"/>
      <c r="V428"/>
      <c r="W428"/>
    </row>
    <row r="429" spans="1:23" ht="31.05" customHeight="1">
      <c r="D429" s="348" t="str">
        <f>IFERROR(IF(Data!S242=0,"",Data!S242),"")</f>
        <v/>
      </c>
      <c r="E429" s="348"/>
      <c r="F429" s="348"/>
      <c r="G429" s="348"/>
      <c r="H429" s="348" t="str">
        <f>IF(Data!T242=0,"",Data!T242)</f>
        <v/>
      </c>
      <c r="I429" s="348"/>
      <c r="J429" s="348"/>
      <c r="K429" s="348" t="str">
        <f>IF(Data!U242=0,"",Data!U242)</f>
        <v/>
      </c>
      <c r="L429" s="348"/>
      <c r="M429" s="348"/>
      <c r="N429" s="4"/>
      <c r="O429" s="4"/>
      <c r="P429" s="4"/>
      <c r="Q429" s="4"/>
      <c r="R429"/>
      <c r="S429"/>
      <c r="T429"/>
      <c r="U429"/>
      <c r="V429"/>
      <c r="W429"/>
    </row>
    <row r="431" spans="1:23" s="264" customFormat="1" ht="19.95" customHeight="1">
      <c r="A431" s="173"/>
      <c r="B431" s="315" t="s">
        <v>116</v>
      </c>
      <c r="C431" s="316" t="s">
        <v>14</v>
      </c>
      <c r="D431" s="258"/>
      <c r="E431" s="258"/>
      <c r="F431" s="258"/>
      <c r="G431" s="259"/>
      <c r="H431" s="258"/>
      <c r="I431" s="258"/>
      <c r="J431" s="259"/>
      <c r="K431" s="333"/>
      <c r="L431" s="258"/>
      <c r="M431" s="259"/>
      <c r="N431" s="258"/>
      <c r="O431" s="258"/>
      <c r="P431" s="259"/>
      <c r="Q431" s="258"/>
      <c r="R431" s="258"/>
      <c r="S431" s="258"/>
      <c r="T431" s="258"/>
      <c r="U431" s="258"/>
      <c r="V431" s="263"/>
      <c r="W431" s="173"/>
    </row>
    <row r="432" spans="1:23" s="264" customFormat="1" ht="19.95" customHeight="1">
      <c r="A432" s="173"/>
      <c r="B432" s="268" cm="1">
        <f t="array" ref="B432:T436">IFERROR(_xlfn._xlws.SORT(_xlfn._xlws.FILTER($B$6:$T$385,($T$6:$T$385&lt;&gt;0)*($T$6:$T$385&lt;=5)*($E$6:$E$385=$C$431)*($F$6:$F$385=$B$431)),17,-1),"...")</f>
        <v>61</v>
      </c>
      <c r="C432" s="173" t="str">
        <v>MARCY POWER</v>
      </c>
      <c r="D432" s="173" t="str">
        <v>Fleet &amp; Crookham AC</v>
      </c>
      <c r="E432" s="173" t="str">
        <v>GIRLS</v>
      </c>
      <c r="F432" s="173" t="str">
        <v>U12</v>
      </c>
      <c r="G432" s="265">
        <v>11.7</v>
      </c>
      <c r="H432" s="173">
        <v>53</v>
      </c>
      <c r="I432" s="173" t="str">
        <v>PB9</v>
      </c>
      <c r="J432" s="265">
        <v>1.3506944444444445E-3</v>
      </c>
      <c r="K432" s="334">
        <v>73</v>
      </c>
      <c r="L432" s="173" t="str">
        <v>PB6</v>
      </c>
      <c r="M432" s="265">
        <v>3.59</v>
      </c>
      <c r="N432" s="173">
        <v>56</v>
      </c>
      <c r="O432" s="173" t="str">
        <v>PB8</v>
      </c>
      <c r="P432" s="265">
        <v>23.89</v>
      </c>
      <c r="Q432" s="173">
        <v>47</v>
      </c>
      <c r="R432" s="173">
        <v>229</v>
      </c>
      <c r="S432" s="173">
        <v>1</v>
      </c>
      <c r="T432" s="173">
        <v>1</v>
      </c>
      <c r="U432" s="173"/>
      <c r="V432" s="269"/>
      <c r="W432" s="173"/>
    </row>
    <row r="433" spans="1:23" s="264" customFormat="1" ht="19.95" customHeight="1">
      <c r="A433" s="173"/>
      <c r="B433" s="268">
        <v>27</v>
      </c>
      <c r="C433" s="173" t="str">
        <v>SOPHIE GBAJOBI</v>
      </c>
      <c r="D433" s="173" t="str">
        <v>Woking AC</v>
      </c>
      <c r="E433" s="173" t="str">
        <v>GIRLS</v>
      </c>
      <c r="F433" s="173" t="str">
        <v>U12</v>
      </c>
      <c r="G433" s="265">
        <v>10.7</v>
      </c>
      <c r="H433" s="173">
        <v>63</v>
      </c>
      <c r="I433" s="173" t="str">
        <v>PB9</v>
      </c>
      <c r="J433" s="265">
        <v>1.4861111111111112E-3</v>
      </c>
      <c r="K433" s="334">
        <v>61</v>
      </c>
      <c r="L433" s="173" t="str">
        <v>PB4</v>
      </c>
      <c r="M433" s="265">
        <v>3.45</v>
      </c>
      <c r="N433" s="173">
        <v>51</v>
      </c>
      <c r="O433" s="173" t="str">
        <v>PB7</v>
      </c>
      <c r="P433" s="265">
        <v>24.65</v>
      </c>
      <c r="Q433" s="173">
        <v>49</v>
      </c>
      <c r="R433" s="173">
        <v>224</v>
      </c>
      <c r="S433" s="173">
        <v>1</v>
      </c>
      <c r="T433" s="173">
        <v>2</v>
      </c>
      <c r="U433" s="173"/>
      <c r="V433" s="269"/>
      <c r="W433" s="173"/>
    </row>
    <row r="434" spans="1:23" s="264" customFormat="1" ht="19.95" customHeight="1">
      <c r="A434" s="173"/>
      <c r="B434" s="268">
        <v>85</v>
      </c>
      <c r="C434" s="173" t="str">
        <v>SOPHIE HALL</v>
      </c>
      <c r="D434" s="173" t="str">
        <v>Waverley Athletics Club</v>
      </c>
      <c r="E434" s="173" t="str">
        <v>GIRLS</v>
      </c>
      <c r="F434" s="173" t="str">
        <v>U12</v>
      </c>
      <c r="G434" s="265">
        <v>11.1</v>
      </c>
      <c r="H434" s="173">
        <v>59</v>
      </c>
      <c r="I434" s="173" t="str">
        <v>PB9</v>
      </c>
      <c r="J434" s="265">
        <v>1.3298611111111111E-3</v>
      </c>
      <c r="K434" s="334">
        <v>75</v>
      </c>
      <c r="L434" s="173" t="str">
        <v>PB7</v>
      </c>
      <c r="M434" s="265">
        <v>3.48</v>
      </c>
      <c r="N434" s="173">
        <v>52</v>
      </c>
      <c r="O434" s="173" t="str">
        <v>PB7</v>
      </c>
      <c r="P434" s="265">
        <v>19.14</v>
      </c>
      <c r="Q434" s="173">
        <v>38</v>
      </c>
      <c r="R434" s="173">
        <v>224</v>
      </c>
      <c r="S434" s="173">
        <v>1</v>
      </c>
      <c r="T434" s="173">
        <v>2</v>
      </c>
      <c r="U434" s="173"/>
      <c r="V434" s="269"/>
      <c r="W434" s="173"/>
    </row>
    <row r="435" spans="1:23" s="264" customFormat="1" ht="19.95" customHeight="1">
      <c r="A435" s="173"/>
      <c r="B435" s="268">
        <v>1</v>
      </c>
      <c r="C435" s="173" t="str">
        <v>EVNI DUNUSINGHE</v>
      </c>
      <c r="D435" s="173" t="str">
        <v>Camberley &amp; District AC</v>
      </c>
      <c r="E435" s="173" t="str">
        <v>GIRLS</v>
      </c>
      <c r="F435" s="173" t="str">
        <v>U12</v>
      </c>
      <c r="G435" s="265">
        <v>11.4</v>
      </c>
      <c r="H435" s="173">
        <v>56</v>
      </c>
      <c r="I435" s="173" t="str">
        <v>PB9</v>
      </c>
      <c r="J435" s="265">
        <v>1.5162037037037036E-3</v>
      </c>
      <c r="K435" s="334">
        <v>59</v>
      </c>
      <c r="L435" s="173" t="str">
        <v>PB3</v>
      </c>
      <c r="M435" s="265">
        <v>3.42</v>
      </c>
      <c r="N435" s="173">
        <v>50</v>
      </c>
      <c r="O435" s="173" t="str">
        <v>PB7</v>
      </c>
      <c r="P435" s="265">
        <v>28.79</v>
      </c>
      <c r="Q435" s="173">
        <v>57</v>
      </c>
      <c r="R435" s="173">
        <v>222</v>
      </c>
      <c r="S435" s="173">
        <v>1</v>
      </c>
      <c r="T435" s="173">
        <v>4</v>
      </c>
      <c r="U435" s="173"/>
      <c r="V435" s="269"/>
      <c r="W435" s="173"/>
    </row>
    <row r="436" spans="1:23" s="264" customFormat="1" ht="19.95" customHeight="1">
      <c r="A436" s="173"/>
      <c r="B436" s="270">
        <v>21</v>
      </c>
      <c r="C436" s="271" t="str">
        <v>ELISE ABDELLI</v>
      </c>
      <c r="D436" s="271" t="str">
        <v>Woking AC</v>
      </c>
      <c r="E436" s="271" t="str">
        <v>GIRLS</v>
      </c>
      <c r="F436" s="271" t="str">
        <v>U12</v>
      </c>
      <c r="G436" s="272">
        <v>11.8</v>
      </c>
      <c r="H436" s="271">
        <v>52</v>
      </c>
      <c r="I436" s="271" t="str">
        <v>PB8</v>
      </c>
      <c r="J436" s="272">
        <v>1.4826388888888888E-3</v>
      </c>
      <c r="K436" s="335">
        <v>61</v>
      </c>
      <c r="L436" s="271" t="str">
        <v>PB4</v>
      </c>
      <c r="M436" s="272">
        <v>3.79</v>
      </c>
      <c r="N436" s="271">
        <v>63</v>
      </c>
      <c r="O436" s="271" t="str">
        <v>PB9</v>
      </c>
      <c r="P436" s="272">
        <v>22.76</v>
      </c>
      <c r="Q436" s="271">
        <v>45</v>
      </c>
      <c r="R436" s="271">
        <v>221</v>
      </c>
      <c r="S436" s="271">
        <v>2</v>
      </c>
      <c r="T436" s="271">
        <v>5</v>
      </c>
      <c r="U436" s="271"/>
      <c r="V436" s="276"/>
      <c r="W436" s="173"/>
    </row>
    <row r="437" spans="1:23" s="264" customFormat="1" ht="19.95" customHeight="1">
      <c r="A437" s="173"/>
      <c r="B437" s="173"/>
      <c r="C437" s="173"/>
      <c r="D437" s="173"/>
      <c r="E437" s="173"/>
      <c r="F437" s="173"/>
      <c r="G437" s="265"/>
      <c r="H437" s="173"/>
      <c r="I437" s="173"/>
      <c r="J437" s="265"/>
      <c r="K437" s="334"/>
      <c r="L437" s="173"/>
      <c r="M437" s="265"/>
      <c r="N437" s="173"/>
      <c r="O437" s="173"/>
      <c r="P437" s="265"/>
      <c r="Q437" s="173"/>
      <c r="R437" s="173"/>
      <c r="S437" s="173"/>
      <c r="T437" s="173"/>
      <c r="U437" s="173"/>
      <c r="V437" s="173"/>
      <c r="W437" s="173"/>
    </row>
    <row r="438" spans="1:23" s="264" customFormat="1" ht="19.95" customHeight="1">
      <c r="A438" s="173"/>
      <c r="B438" s="315" t="s">
        <v>116</v>
      </c>
      <c r="C438" s="316" t="s">
        <v>15</v>
      </c>
      <c r="D438" s="258"/>
      <c r="E438" s="258"/>
      <c r="F438" s="258"/>
      <c r="G438" s="259"/>
      <c r="H438" s="258"/>
      <c r="I438" s="258"/>
      <c r="J438" s="259"/>
      <c r="K438" s="333"/>
      <c r="L438" s="258"/>
      <c r="M438" s="259"/>
      <c r="N438" s="258"/>
      <c r="O438" s="258"/>
      <c r="P438" s="259"/>
      <c r="Q438" s="258"/>
      <c r="R438" s="258"/>
      <c r="S438" s="258"/>
      <c r="T438" s="258"/>
      <c r="U438" s="258"/>
      <c r="V438" s="263"/>
      <c r="W438" s="173"/>
    </row>
    <row r="439" spans="1:23" s="264" customFormat="1" ht="19.95" customHeight="1">
      <c r="A439" s="173"/>
      <c r="B439" s="268" cm="1">
        <f t="array" ref="B439:T443">IFERROR(_xlfn._xlws.SORT(_xlfn._xlws.FILTER($B$6:$T$385,($T$6:$T$385&lt;&gt;0)*($T$6:$T$385&lt;=5)*($E$6:$E$385=$C$438)*($F$6:$F$385=$B$438)),17,-1),"...")</f>
        <v>33</v>
      </c>
      <c r="C439" s="173" t="str">
        <v>WILLIAM PEARCE</v>
      </c>
      <c r="D439" s="173" t="str">
        <v>Woking AC</v>
      </c>
      <c r="E439" s="173" t="str">
        <v>BOYS</v>
      </c>
      <c r="F439" s="173" t="str">
        <v>U12</v>
      </c>
      <c r="G439" s="265">
        <v>11.2</v>
      </c>
      <c r="H439" s="173">
        <v>58</v>
      </c>
      <c r="I439" s="173" t="str">
        <v>PB9</v>
      </c>
      <c r="J439" s="265">
        <v>1.2893518518518519E-3</v>
      </c>
      <c r="K439" s="334">
        <v>78</v>
      </c>
      <c r="L439" s="173" t="str">
        <v>PB7</v>
      </c>
      <c r="M439" s="265">
        <v>3.79</v>
      </c>
      <c r="N439" s="173">
        <v>63</v>
      </c>
      <c r="O439" s="173" t="str">
        <v>PB8</v>
      </c>
      <c r="P439" s="265">
        <v>45.44</v>
      </c>
      <c r="Q439" s="173">
        <v>90</v>
      </c>
      <c r="R439" s="173">
        <v>289</v>
      </c>
      <c r="S439" s="173">
        <v>1</v>
      </c>
      <c r="T439" s="173">
        <v>1</v>
      </c>
      <c r="U439" s="173"/>
      <c r="V439" s="269"/>
      <c r="W439" s="173"/>
    </row>
    <row r="440" spans="1:23" s="264" customFormat="1" ht="19.95" customHeight="1">
      <c r="A440" s="173"/>
      <c r="B440" s="268">
        <v>112</v>
      </c>
      <c r="C440" s="173" t="str">
        <v>NOAH GRAHAM</v>
      </c>
      <c r="D440" s="173" t="str">
        <v>Basingstoke &amp; Mid Hants AC</v>
      </c>
      <c r="E440" s="173" t="str">
        <v>BOYS</v>
      </c>
      <c r="F440" s="173" t="str">
        <v>U12</v>
      </c>
      <c r="G440" s="265">
        <v>11.3</v>
      </c>
      <c r="H440" s="173">
        <v>57</v>
      </c>
      <c r="I440" s="173" t="str">
        <v>PB8</v>
      </c>
      <c r="J440" s="265">
        <v>1.3287037037037037E-3</v>
      </c>
      <c r="K440" s="334">
        <v>75</v>
      </c>
      <c r="L440" s="173" t="str">
        <v>PB6</v>
      </c>
      <c r="M440" s="265">
        <v>3.82</v>
      </c>
      <c r="N440" s="173">
        <v>64</v>
      </c>
      <c r="O440" s="173" t="str">
        <v>PB8</v>
      </c>
      <c r="P440" s="265">
        <v>33.53</v>
      </c>
      <c r="Q440" s="173">
        <v>67</v>
      </c>
      <c r="R440" s="173">
        <v>263</v>
      </c>
      <c r="S440" s="173">
        <v>1</v>
      </c>
      <c r="T440" s="173">
        <v>2</v>
      </c>
      <c r="U440" s="173"/>
      <c r="V440" s="269"/>
      <c r="W440" s="173"/>
    </row>
    <row r="441" spans="1:23" s="264" customFormat="1" ht="19.95" customHeight="1">
      <c r="A441" s="173"/>
      <c r="B441" s="268">
        <v>11</v>
      </c>
      <c r="C441" s="173" t="str">
        <v>MATTHEW SCALES</v>
      </c>
      <c r="D441" s="173" t="str">
        <v>Camberley &amp; District AC</v>
      </c>
      <c r="E441" s="173" t="str">
        <v>BOYS</v>
      </c>
      <c r="F441" s="173" t="str">
        <v>U12</v>
      </c>
      <c r="G441" s="265">
        <v>11</v>
      </c>
      <c r="H441" s="173">
        <v>60</v>
      </c>
      <c r="I441" s="173" t="str">
        <v>PB9</v>
      </c>
      <c r="J441" s="265">
        <v>1.2789351851851853E-3</v>
      </c>
      <c r="K441" s="334">
        <v>79</v>
      </c>
      <c r="L441" s="173" t="str">
        <v>PB7</v>
      </c>
      <c r="M441" s="265">
        <v>3.83</v>
      </c>
      <c r="N441" s="173">
        <v>64</v>
      </c>
      <c r="O441" s="173" t="str">
        <v>PB8</v>
      </c>
      <c r="P441" s="265">
        <v>29.83</v>
      </c>
      <c r="Q441" s="173">
        <v>59</v>
      </c>
      <c r="R441" s="173">
        <v>262</v>
      </c>
      <c r="S441" s="173">
        <v>1</v>
      </c>
      <c r="T441" s="173">
        <v>3</v>
      </c>
      <c r="U441" s="173"/>
      <c r="V441" s="269"/>
      <c r="W441" s="173"/>
    </row>
    <row r="442" spans="1:23" s="264" customFormat="1" ht="19.95" customHeight="1">
      <c r="A442" s="173"/>
      <c r="B442" s="268">
        <v>40</v>
      </c>
      <c r="C442" s="173" t="str">
        <v>OWEN BRAYBOOKE</v>
      </c>
      <c r="D442" s="173" t="str">
        <v>Woking AC</v>
      </c>
      <c r="E442" s="173" t="str">
        <v>BOYS</v>
      </c>
      <c r="F442" s="173" t="str">
        <v>U12</v>
      </c>
      <c r="G442" s="265">
        <v>11.1</v>
      </c>
      <c r="H442" s="173">
        <v>59</v>
      </c>
      <c r="I442" s="173" t="str">
        <v>PB9</v>
      </c>
      <c r="J442" s="265">
        <v>1.6226851851851851E-3</v>
      </c>
      <c r="K442" s="334">
        <v>49</v>
      </c>
      <c r="L442" s="173" t="str">
        <v>PB1</v>
      </c>
      <c r="M442" s="265">
        <v>4.07</v>
      </c>
      <c r="N442" s="173">
        <v>72</v>
      </c>
      <c r="O442" s="173" t="str">
        <v>PB9</v>
      </c>
      <c r="P442" s="265">
        <v>38.74</v>
      </c>
      <c r="Q442" s="173">
        <v>77</v>
      </c>
      <c r="R442" s="173">
        <v>257</v>
      </c>
      <c r="S442" s="173">
        <v>2</v>
      </c>
      <c r="T442" s="173">
        <v>4</v>
      </c>
      <c r="U442" s="173"/>
      <c r="V442" s="269"/>
      <c r="W442" s="173"/>
    </row>
    <row r="443" spans="1:23" s="264" customFormat="1" ht="19.95" customHeight="1">
      <c r="A443" s="173"/>
      <c r="B443" s="270">
        <v>36</v>
      </c>
      <c r="C443" s="271" t="str">
        <v>KAI TEGG</v>
      </c>
      <c r="D443" s="271" t="str">
        <v>Woking AC</v>
      </c>
      <c r="E443" s="271" t="str">
        <v>BOYS</v>
      </c>
      <c r="F443" s="271" t="str">
        <v>U12</v>
      </c>
      <c r="G443" s="272">
        <v>11.6</v>
      </c>
      <c r="H443" s="271">
        <v>54</v>
      </c>
      <c r="I443" s="271" t="str">
        <v>PB8</v>
      </c>
      <c r="J443" s="272">
        <v>1.2824074074074075E-3</v>
      </c>
      <c r="K443" s="335">
        <v>79</v>
      </c>
      <c r="L443" s="271" t="str">
        <v>PB7</v>
      </c>
      <c r="M443" s="272">
        <v>3.75</v>
      </c>
      <c r="N443" s="271">
        <v>61</v>
      </c>
      <c r="O443" s="271" t="str">
        <v>PB8</v>
      </c>
      <c r="P443" s="272">
        <v>31.26</v>
      </c>
      <c r="Q443" s="271">
        <v>62</v>
      </c>
      <c r="R443" s="271">
        <v>256</v>
      </c>
      <c r="S443" s="271">
        <v>3</v>
      </c>
      <c r="T443" s="271">
        <v>5</v>
      </c>
      <c r="U443" s="271"/>
      <c r="V443" s="276"/>
      <c r="W443" s="173"/>
    </row>
    <row r="444" spans="1:23" s="264" customFormat="1" ht="19.95" customHeight="1">
      <c r="A444" s="173"/>
      <c r="B444" s="173"/>
      <c r="C444" s="173"/>
      <c r="D444" s="173"/>
      <c r="E444" s="173"/>
      <c r="F444" s="173"/>
      <c r="G444" s="265"/>
      <c r="H444" s="173"/>
      <c r="I444" s="173"/>
      <c r="J444" s="266"/>
      <c r="M444" s="267"/>
      <c r="P444" s="266"/>
      <c r="R444" s="173"/>
      <c r="S444" s="173"/>
      <c r="T444" s="173"/>
      <c r="U444" s="173"/>
      <c r="V444" s="173"/>
      <c r="W444" s="173"/>
    </row>
  </sheetData>
  <sheetProtection sheet="1" objects="1" scenarios="1"/>
  <mergeCells count="174">
    <mergeCell ref="D429:G429"/>
    <mergeCell ref="H429:J429"/>
    <mergeCell ref="K429:M429"/>
    <mergeCell ref="D420:M420"/>
    <mergeCell ref="D426:G426"/>
    <mergeCell ref="H426:J426"/>
    <mergeCell ref="K426:M426"/>
    <mergeCell ref="D427:G427"/>
    <mergeCell ref="H427:J427"/>
    <mergeCell ref="K427:M427"/>
    <mergeCell ref="D428:G428"/>
    <mergeCell ref="H428:J428"/>
    <mergeCell ref="K428:M428"/>
    <mergeCell ref="D423:G423"/>
    <mergeCell ref="H423:J423"/>
    <mergeCell ref="K423:M423"/>
    <mergeCell ref="D424:G424"/>
    <mergeCell ref="H424:J424"/>
    <mergeCell ref="K424:M424"/>
    <mergeCell ref="D425:G425"/>
    <mergeCell ref="H425:J425"/>
    <mergeCell ref="K425:M425"/>
    <mergeCell ref="D421:G421"/>
    <mergeCell ref="H421:J421"/>
    <mergeCell ref="K421:M421"/>
    <mergeCell ref="D422:G422"/>
    <mergeCell ref="H422:J422"/>
    <mergeCell ref="K422:M422"/>
    <mergeCell ref="R405:S405"/>
    <mergeCell ref="K413:M413"/>
    <mergeCell ref="N413:P413"/>
    <mergeCell ref="D414:G414"/>
    <mergeCell ref="H414:J414"/>
    <mergeCell ref="K414:M414"/>
    <mergeCell ref="D418:G418"/>
    <mergeCell ref="H418:J418"/>
    <mergeCell ref="K418:M418"/>
    <mergeCell ref="N418:P418"/>
    <mergeCell ref="E403:F403"/>
    <mergeCell ref="G403:H403"/>
    <mergeCell ref="N414:P414"/>
    <mergeCell ref="K404:O404"/>
    <mergeCell ref="P404:Q404"/>
    <mergeCell ref="R404:S404"/>
    <mergeCell ref="D415:G415"/>
    <mergeCell ref="H415:J415"/>
    <mergeCell ref="K415:M415"/>
    <mergeCell ref="N415:P415"/>
    <mergeCell ref="R403:S403"/>
    <mergeCell ref="B405:C405"/>
    <mergeCell ref="K405:O405"/>
    <mergeCell ref="P405:Q405"/>
    <mergeCell ref="T405:U405"/>
    <mergeCell ref="R401:S401"/>
    <mergeCell ref="T401:U401"/>
    <mergeCell ref="B402:C402"/>
    <mergeCell ref="K402:O402"/>
    <mergeCell ref="P402:Q402"/>
    <mergeCell ref="R402:S402"/>
    <mergeCell ref="T402:U402"/>
    <mergeCell ref="B401:C401"/>
    <mergeCell ref="K401:O401"/>
    <mergeCell ref="P401:Q401"/>
    <mergeCell ref="E401:F401"/>
    <mergeCell ref="G401:H401"/>
    <mergeCell ref="E402:F402"/>
    <mergeCell ref="G402:H402"/>
    <mergeCell ref="T403:U403"/>
    <mergeCell ref="B404:C404"/>
    <mergeCell ref="T404:U404"/>
    <mergeCell ref="B403:C403"/>
    <mergeCell ref="K403:O403"/>
    <mergeCell ref="P403:Q403"/>
    <mergeCell ref="R399:S399"/>
    <mergeCell ref="T399:U399"/>
    <mergeCell ref="B400:C400"/>
    <mergeCell ref="K400:O400"/>
    <mergeCell ref="P400:Q400"/>
    <mergeCell ref="R400:S400"/>
    <mergeCell ref="T400:U400"/>
    <mergeCell ref="B399:C399"/>
    <mergeCell ref="K399:O399"/>
    <mergeCell ref="P399:Q399"/>
    <mergeCell ref="E399:F399"/>
    <mergeCell ref="G399:H399"/>
    <mergeCell ref="E400:F400"/>
    <mergeCell ref="G400:H400"/>
    <mergeCell ref="B398:C398"/>
    <mergeCell ref="K398:O398"/>
    <mergeCell ref="P398:Q398"/>
    <mergeCell ref="R398:S398"/>
    <mergeCell ref="T398:U398"/>
    <mergeCell ref="B397:C397"/>
    <mergeCell ref="K397:O397"/>
    <mergeCell ref="P397:Q397"/>
    <mergeCell ref="E397:F397"/>
    <mergeCell ref="E398:F398"/>
    <mergeCell ref="G398:H398"/>
    <mergeCell ref="A281:A300"/>
    <mergeCell ref="F196:F197"/>
    <mergeCell ref="G196:I196"/>
    <mergeCell ref="J196:L196"/>
    <mergeCell ref="M196:O196"/>
    <mergeCell ref="P196:Q196"/>
    <mergeCell ref="A366:A385"/>
    <mergeCell ref="B395:U395"/>
    <mergeCell ref="R397:S397"/>
    <mergeCell ref="T397:U397"/>
    <mergeCell ref="P4:Q4"/>
    <mergeCell ref="A198:A217"/>
    <mergeCell ref="A218:A237"/>
    <mergeCell ref="A238:A257"/>
    <mergeCell ref="A258:A280"/>
    <mergeCell ref="D196:D197"/>
    <mergeCell ref="E196:E197"/>
    <mergeCell ref="A46:A65"/>
    <mergeCell ref="A66:A85"/>
    <mergeCell ref="A86:A105"/>
    <mergeCell ref="A106:A130"/>
    <mergeCell ref="A131:A150"/>
    <mergeCell ref="A151:A170"/>
    <mergeCell ref="A4:A5"/>
    <mergeCell ref="B4:B5"/>
    <mergeCell ref="C4:C5"/>
    <mergeCell ref="D4:D5"/>
    <mergeCell ref="E4:E5"/>
    <mergeCell ref="A1:F1"/>
    <mergeCell ref="G1:J1"/>
    <mergeCell ref="K1:Q1"/>
    <mergeCell ref="D416:G416"/>
    <mergeCell ref="H416:J416"/>
    <mergeCell ref="K416:M416"/>
    <mergeCell ref="N416:P416"/>
    <mergeCell ref="D417:G417"/>
    <mergeCell ref="H417:J417"/>
    <mergeCell ref="K417:M417"/>
    <mergeCell ref="N417:P417"/>
    <mergeCell ref="D412:G412"/>
    <mergeCell ref="H412:J412"/>
    <mergeCell ref="K412:M412"/>
    <mergeCell ref="N412:P412"/>
    <mergeCell ref="D413:G413"/>
    <mergeCell ref="H413:J413"/>
    <mergeCell ref="A26:A45"/>
    <mergeCell ref="A6:A25"/>
    <mergeCell ref="A171:A190"/>
    <mergeCell ref="F4:F5"/>
    <mergeCell ref="G4:I4"/>
    <mergeCell ref="J4:L4"/>
    <mergeCell ref="M4:O4"/>
    <mergeCell ref="R1:T1"/>
    <mergeCell ref="R2:T2"/>
    <mergeCell ref="A2:F2"/>
    <mergeCell ref="G2:J2"/>
    <mergeCell ref="K2:Q2"/>
    <mergeCell ref="D411:G411"/>
    <mergeCell ref="H411:J411"/>
    <mergeCell ref="K411:M411"/>
    <mergeCell ref="N411:P411"/>
    <mergeCell ref="H410:J410"/>
    <mergeCell ref="N410:P410"/>
    <mergeCell ref="D410:G410"/>
    <mergeCell ref="K410:M410"/>
    <mergeCell ref="E404:F404"/>
    <mergeCell ref="G404:H404"/>
    <mergeCell ref="E405:F405"/>
    <mergeCell ref="G405:H405"/>
    <mergeCell ref="D409:P409"/>
    <mergeCell ref="A301:A325"/>
    <mergeCell ref="A326:A345"/>
    <mergeCell ref="A346:A365"/>
    <mergeCell ref="A196:A197"/>
    <mergeCell ref="B196:B197"/>
    <mergeCell ref="C196:C197"/>
  </mergeCells>
  <conditionalFormatting sqref="B6:T195 G196:Q196 B196:E197 G197:H197 J197:K197 M197:N197 P197:T197 B198:T385">
    <cfRule type="expression" dxfId="17" priority="1">
      <formula>OR(AND($C6&lt;&gt;"", $R6=0), AND($R6=0,$B6&gt;0))</formula>
    </cfRule>
  </conditionalFormatting>
  <printOptions horizontalCentered="1"/>
  <pageMargins left="0" right="0" top="0.19685039370078741" bottom="0" header="0.51181102362204722" footer="0.51181102362204722"/>
  <pageSetup paperSize="9" scale="41" fitToHeight="0" orientation="landscape" r:id="rId1"/>
  <headerFooter alignWithMargins="0"/>
  <rowBreaks count="6" manualBreakCount="6">
    <brk id="65" max="16383" man="1"/>
    <brk id="130" max="16383" man="1"/>
    <brk id="195" max="16383" man="1"/>
    <brk id="257" max="16383" man="1"/>
    <brk id="325" max="16383" man="1"/>
    <brk id="38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FF00"/>
  </sheetPr>
  <dimension ref="A1:K228"/>
  <sheetViews>
    <sheetView zoomScaleNormal="100" workbookViewId="0">
      <pane ySplit="5" topLeftCell="A110" activePane="bottomLeft" state="frozen"/>
      <selection pane="bottomLeft" activeCell="C123" sqref="C123"/>
    </sheetView>
  </sheetViews>
  <sheetFormatPr defaultColWidth="8.77734375" defaultRowHeight="24.6"/>
  <cols>
    <col min="1" max="1" width="13.44140625" style="1" customWidth="1"/>
    <col min="2" max="2" width="8.33203125" style="16" customWidth="1"/>
    <col min="3" max="3" width="41.6640625" style="240" customWidth="1"/>
    <col min="4" max="4" width="16.6640625" style="241" customWidth="1"/>
    <col min="5" max="5" width="16.6640625" style="242" customWidth="1"/>
    <col min="6" max="6" width="25" style="240" customWidth="1"/>
    <col min="7" max="7" width="6.6640625" style="240" customWidth="1"/>
    <col min="8" max="11" width="8.33203125" customWidth="1"/>
  </cols>
  <sheetData>
    <row r="1" spans="1:11" s="7" customFormat="1" ht="22.05" customHeight="1">
      <c r="A1" s="420" t="str">
        <f>'Read Me First'!A1</f>
        <v>Wessex Young Athletes Track and Field League 2026</v>
      </c>
      <c r="B1" s="421"/>
      <c r="C1" s="421"/>
      <c r="D1" s="421"/>
      <c r="E1" s="421"/>
      <c r="F1" s="421"/>
    </row>
    <row r="2" spans="1:11" s="7" customFormat="1" ht="22.05" customHeight="1">
      <c r="A2" s="422" t="str">
        <f>CONCATENATE('Read Me First'!A2, " Declarations")</f>
        <v>QuadKids Declarations</v>
      </c>
      <c r="B2" s="423"/>
      <c r="C2" s="423"/>
      <c r="D2" s="423"/>
      <c r="E2" s="423"/>
      <c r="F2" s="423"/>
    </row>
    <row r="3" spans="1:11" s="3" customFormat="1" ht="16.05" customHeight="1">
      <c r="A3" s="310"/>
      <c r="B3" s="310"/>
      <c r="C3" s="310"/>
      <c r="D3" s="310"/>
      <c r="E3" s="310"/>
    </row>
    <row r="4" spans="1:11" s="7" customFormat="1" ht="22.05" customHeight="1">
      <c r="A4" s="230" t="str">
        <f>"Match " &amp; 'Read Me First'!C9</f>
        <v>Match 9</v>
      </c>
      <c r="B4" s="438" t="str">
        <f>(VLOOKUP('Read Me First'!F4,'Read Me First'!A22:D37,4,FALSE))</f>
        <v>Camberley &amp; District AC @ Woking</v>
      </c>
      <c r="C4" s="439"/>
      <c r="D4" s="440"/>
      <c r="E4" s="436">
        <f>'Read Me First'!C10</f>
        <v>46201</v>
      </c>
      <c r="F4" s="437"/>
      <c r="G4" s="231"/>
    </row>
    <row r="5" spans="1:11" s="235" customFormat="1" ht="15.6">
      <c r="A5" s="232"/>
      <c r="B5" s="233" t="s">
        <v>123</v>
      </c>
      <c r="C5" s="233" t="s">
        <v>124</v>
      </c>
      <c r="D5" s="233" t="s">
        <v>125</v>
      </c>
      <c r="E5" s="233" t="s">
        <v>126</v>
      </c>
      <c r="F5" s="233" t="s">
        <v>108</v>
      </c>
      <c r="G5" s="234"/>
    </row>
    <row r="6" spans="1:11" ht="15" customHeight="1">
      <c r="A6" s="419" t="str">
        <f>'Read Me First'!C11</f>
        <v>Camberley &amp; District AC</v>
      </c>
      <c r="B6" s="76">
        <v>1</v>
      </c>
      <c r="C6" s="77" t="s">
        <v>223</v>
      </c>
      <c r="D6" s="116" t="s">
        <v>116</v>
      </c>
      <c r="E6" s="226" t="s">
        <v>14</v>
      </c>
      <c r="F6" s="236" t="str">
        <f>$A$6</f>
        <v>Camberley &amp; District AC</v>
      </c>
      <c r="G6" s="237"/>
    </row>
    <row r="7" spans="1:11" ht="15" customHeight="1">
      <c r="A7" s="417"/>
      <c r="B7" s="75">
        <v>2</v>
      </c>
      <c r="C7" s="57" t="s">
        <v>224</v>
      </c>
      <c r="D7" s="116" t="s">
        <v>116</v>
      </c>
      <c r="E7" s="225" t="s">
        <v>14</v>
      </c>
      <c r="F7" s="2" t="str">
        <f t="shared" ref="F7:F25" si="0">$A$6</f>
        <v>Camberley &amp; District AC</v>
      </c>
      <c r="G7" s="237"/>
      <c r="H7" s="424" t="s">
        <v>127</v>
      </c>
      <c r="I7" s="425"/>
      <c r="J7" s="425"/>
      <c r="K7" s="426"/>
    </row>
    <row r="8" spans="1:11" ht="15" customHeight="1">
      <c r="A8" s="417"/>
      <c r="B8" s="76">
        <v>3</v>
      </c>
      <c r="C8" s="57" t="s">
        <v>225</v>
      </c>
      <c r="D8" s="116" t="s">
        <v>116</v>
      </c>
      <c r="E8" s="225" t="s">
        <v>14</v>
      </c>
      <c r="F8" s="2" t="str">
        <f t="shared" si="0"/>
        <v>Camberley &amp; District AC</v>
      </c>
      <c r="G8" s="237"/>
      <c r="H8" s="427"/>
      <c r="I8" s="428"/>
      <c r="J8" s="428"/>
      <c r="K8" s="429"/>
    </row>
    <row r="9" spans="1:11" ht="15" customHeight="1">
      <c r="A9" s="417"/>
      <c r="B9" s="76">
        <v>4</v>
      </c>
      <c r="C9" s="57" t="s">
        <v>226</v>
      </c>
      <c r="D9" s="116" t="s">
        <v>116</v>
      </c>
      <c r="E9" s="225" t="s">
        <v>14</v>
      </c>
      <c r="F9" s="2" t="str">
        <f t="shared" si="0"/>
        <v>Camberley &amp; District AC</v>
      </c>
      <c r="G9" s="237"/>
      <c r="H9" s="427"/>
      <c r="I9" s="428"/>
      <c r="J9" s="428"/>
      <c r="K9" s="429"/>
    </row>
    <row r="10" spans="1:11" ht="15" customHeight="1">
      <c r="A10" s="417"/>
      <c r="B10" s="75">
        <v>5</v>
      </c>
      <c r="C10" s="57" t="s">
        <v>227</v>
      </c>
      <c r="D10" s="116" t="s">
        <v>116</v>
      </c>
      <c r="E10" s="225" t="s">
        <v>14</v>
      </c>
      <c r="F10" s="2" t="str">
        <f t="shared" si="0"/>
        <v>Camberley &amp; District AC</v>
      </c>
      <c r="G10" s="237"/>
      <c r="H10" s="427"/>
      <c r="I10" s="428"/>
      <c r="J10" s="428"/>
      <c r="K10" s="429"/>
    </row>
    <row r="11" spans="1:11" ht="15" customHeight="1">
      <c r="A11" s="417"/>
      <c r="B11" s="76">
        <v>6</v>
      </c>
      <c r="C11" s="57" t="s">
        <v>228</v>
      </c>
      <c r="D11" s="116" t="s">
        <v>116</v>
      </c>
      <c r="E11" s="225" t="s">
        <v>14</v>
      </c>
      <c r="F11" s="2" t="str">
        <f t="shared" si="0"/>
        <v>Camberley &amp; District AC</v>
      </c>
      <c r="G11" s="237"/>
      <c r="H11" s="430"/>
      <c r="I11" s="431"/>
      <c r="J11" s="431"/>
      <c r="K11" s="432"/>
    </row>
    <row r="12" spans="1:11" ht="15" customHeight="1">
      <c r="A12" s="417"/>
      <c r="B12" s="76">
        <v>7</v>
      </c>
      <c r="C12" s="57" t="s">
        <v>229</v>
      </c>
      <c r="D12" s="116" t="s">
        <v>116</v>
      </c>
      <c r="E12" s="225" t="s">
        <v>14</v>
      </c>
      <c r="F12" s="2" t="str">
        <f t="shared" si="0"/>
        <v>Camberley &amp; District AC</v>
      </c>
      <c r="G12" s="237"/>
      <c r="H12" s="433"/>
      <c r="I12" s="434"/>
      <c r="J12" s="434"/>
      <c r="K12" s="435"/>
    </row>
    <row r="13" spans="1:11" ht="15" customHeight="1">
      <c r="A13" s="417"/>
      <c r="B13" s="75">
        <v>8</v>
      </c>
      <c r="C13" s="57" t="s">
        <v>230</v>
      </c>
      <c r="D13" s="116" t="s">
        <v>116</v>
      </c>
      <c r="E13" s="225" t="s">
        <v>14</v>
      </c>
      <c r="F13" s="2" t="str">
        <f t="shared" si="0"/>
        <v>Camberley &amp; District AC</v>
      </c>
      <c r="G13" s="237"/>
    </row>
    <row r="14" spans="1:11" ht="15" customHeight="1">
      <c r="A14" s="417"/>
      <c r="B14" s="76">
        <v>9</v>
      </c>
      <c r="C14" s="57"/>
      <c r="D14" s="116" t="s">
        <v>116</v>
      </c>
      <c r="E14" s="225" t="s">
        <v>14</v>
      </c>
      <c r="F14" s="2" t="str">
        <f t="shared" si="0"/>
        <v>Camberley &amp; District AC</v>
      </c>
      <c r="G14" s="237"/>
    </row>
    <row r="15" spans="1:11" ht="15" customHeight="1">
      <c r="A15" s="417"/>
      <c r="B15" s="76">
        <v>10</v>
      </c>
      <c r="C15" s="57"/>
      <c r="D15" s="116" t="s">
        <v>116</v>
      </c>
      <c r="E15" s="225" t="s">
        <v>14</v>
      </c>
      <c r="F15" s="2" t="str">
        <f t="shared" si="0"/>
        <v>Camberley &amp; District AC</v>
      </c>
      <c r="G15" s="237"/>
    </row>
    <row r="16" spans="1:11" ht="15" customHeight="1">
      <c r="A16" s="417"/>
      <c r="B16" s="75">
        <v>11</v>
      </c>
      <c r="C16" s="77" t="s">
        <v>215</v>
      </c>
      <c r="D16" s="116" t="s">
        <v>116</v>
      </c>
      <c r="E16" s="226" t="s">
        <v>15</v>
      </c>
      <c r="F16" s="236" t="str">
        <f t="shared" si="0"/>
        <v>Camberley &amp; District AC</v>
      </c>
      <c r="G16" s="237"/>
    </row>
    <row r="17" spans="1:7" ht="15" customHeight="1">
      <c r="A17" s="417"/>
      <c r="B17" s="76">
        <v>12</v>
      </c>
      <c r="C17" s="57" t="s">
        <v>216</v>
      </c>
      <c r="D17" s="116" t="s">
        <v>116</v>
      </c>
      <c r="E17" s="225" t="s">
        <v>15</v>
      </c>
      <c r="F17" s="2" t="str">
        <f t="shared" si="0"/>
        <v>Camberley &amp; District AC</v>
      </c>
      <c r="G17" s="237"/>
    </row>
    <row r="18" spans="1:7" ht="15" customHeight="1">
      <c r="A18" s="417"/>
      <c r="B18" s="76">
        <v>13</v>
      </c>
      <c r="C18" s="57" t="s">
        <v>217</v>
      </c>
      <c r="D18" s="116" t="s">
        <v>116</v>
      </c>
      <c r="E18" s="225" t="s">
        <v>15</v>
      </c>
      <c r="F18" s="2" t="str">
        <f t="shared" si="0"/>
        <v>Camberley &amp; District AC</v>
      </c>
      <c r="G18" s="237"/>
    </row>
    <row r="19" spans="1:7" ht="15" customHeight="1">
      <c r="A19" s="417"/>
      <c r="B19" s="75">
        <v>14</v>
      </c>
      <c r="C19" s="57" t="s">
        <v>218</v>
      </c>
      <c r="D19" s="116" t="s">
        <v>116</v>
      </c>
      <c r="E19" s="225" t="s">
        <v>15</v>
      </c>
      <c r="F19" s="2" t="str">
        <f t="shared" si="0"/>
        <v>Camberley &amp; District AC</v>
      </c>
      <c r="G19" s="237"/>
    </row>
    <row r="20" spans="1:7" ht="15" customHeight="1">
      <c r="A20" s="417"/>
      <c r="B20" s="76">
        <v>15</v>
      </c>
      <c r="C20" s="57" t="s">
        <v>219</v>
      </c>
      <c r="D20" s="116" t="s">
        <v>116</v>
      </c>
      <c r="E20" s="225" t="s">
        <v>15</v>
      </c>
      <c r="F20" s="2" t="str">
        <f t="shared" si="0"/>
        <v>Camberley &amp; District AC</v>
      </c>
      <c r="G20" s="237"/>
    </row>
    <row r="21" spans="1:7" ht="15" customHeight="1">
      <c r="A21" s="417"/>
      <c r="B21" s="76">
        <v>16</v>
      </c>
      <c r="C21" s="57" t="s">
        <v>220</v>
      </c>
      <c r="D21" s="116" t="s">
        <v>116</v>
      </c>
      <c r="E21" s="225" t="s">
        <v>15</v>
      </c>
      <c r="F21" s="2" t="str">
        <f t="shared" si="0"/>
        <v>Camberley &amp; District AC</v>
      </c>
      <c r="G21" s="237"/>
    </row>
    <row r="22" spans="1:7" ht="15" customHeight="1">
      <c r="A22" s="417"/>
      <c r="B22" s="75">
        <v>17</v>
      </c>
      <c r="C22" s="57" t="s">
        <v>221</v>
      </c>
      <c r="D22" s="116" t="s">
        <v>116</v>
      </c>
      <c r="E22" s="225" t="s">
        <v>15</v>
      </c>
      <c r="F22" s="2" t="str">
        <f t="shared" si="0"/>
        <v>Camberley &amp; District AC</v>
      </c>
      <c r="G22" s="237"/>
    </row>
    <row r="23" spans="1:7" ht="15" customHeight="1">
      <c r="A23" s="417"/>
      <c r="B23" s="76">
        <v>18</v>
      </c>
      <c r="C23" s="57" t="s">
        <v>222</v>
      </c>
      <c r="D23" s="116" t="s">
        <v>116</v>
      </c>
      <c r="E23" s="225" t="s">
        <v>15</v>
      </c>
      <c r="F23" s="2" t="str">
        <f t="shared" si="0"/>
        <v>Camberley &amp; District AC</v>
      </c>
      <c r="G23" s="237"/>
    </row>
    <row r="24" spans="1:7" ht="15" customHeight="1">
      <c r="A24" s="417"/>
      <c r="B24" s="76">
        <v>19</v>
      </c>
      <c r="C24" s="57"/>
      <c r="D24" s="116" t="s">
        <v>116</v>
      </c>
      <c r="E24" s="225" t="s">
        <v>15</v>
      </c>
      <c r="F24" s="2" t="str">
        <f t="shared" si="0"/>
        <v>Camberley &amp; District AC</v>
      </c>
      <c r="G24" s="237"/>
    </row>
    <row r="25" spans="1:7" ht="15" customHeight="1" thickBot="1">
      <c r="A25" s="418"/>
      <c r="B25" s="282">
        <v>20</v>
      </c>
      <c r="C25" s="57"/>
      <c r="D25" s="211" t="s">
        <v>116</v>
      </c>
      <c r="E25" s="225" t="s">
        <v>15</v>
      </c>
      <c r="F25" s="2" t="str">
        <f t="shared" si="0"/>
        <v>Camberley &amp; District AC</v>
      </c>
      <c r="G25" s="237"/>
    </row>
    <row r="26" spans="1:7" ht="15" customHeight="1">
      <c r="A26" s="416" t="str">
        <f>'Read Me First'!C12</f>
        <v>Woking AC</v>
      </c>
      <c r="B26" s="76">
        <v>21</v>
      </c>
      <c r="C26" s="227" t="s">
        <v>231</v>
      </c>
      <c r="D26" s="116" t="s">
        <v>116</v>
      </c>
      <c r="E26" s="228" t="s">
        <v>14</v>
      </c>
      <c r="F26" s="238" t="str">
        <f t="shared" ref="F26:F45" si="1">$A$26</f>
        <v>Woking AC</v>
      </c>
      <c r="G26" s="237"/>
    </row>
    <row r="27" spans="1:7" ht="15" customHeight="1">
      <c r="A27" s="417"/>
      <c r="B27" s="76">
        <v>22</v>
      </c>
      <c r="C27" s="57" t="s">
        <v>232</v>
      </c>
      <c r="D27" s="116" t="s">
        <v>116</v>
      </c>
      <c r="E27" s="225" t="s">
        <v>14</v>
      </c>
      <c r="F27" s="2" t="str">
        <f t="shared" si="1"/>
        <v>Woking AC</v>
      </c>
      <c r="G27" s="237"/>
    </row>
    <row r="28" spans="1:7" ht="15" customHeight="1">
      <c r="A28" s="417"/>
      <c r="B28" s="75">
        <v>23</v>
      </c>
      <c r="C28" s="57" t="s">
        <v>233</v>
      </c>
      <c r="D28" s="116" t="s">
        <v>116</v>
      </c>
      <c r="E28" s="225" t="s">
        <v>14</v>
      </c>
      <c r="F28" s="2" t="str">
        <f t="shared" si="1"/>
        <v>Woking AC</v>
      </c>
      <c r="G28" s="237"/>
    </row>
    <row r="29" spans="1:7" ht="15" customHeight="1">
      <c r="A29" s="417"/>
      <c r="B29" s="76">
        <v>24</v>
      </c>
      <c r="C29" s="57" t="s">
        <v>234</v>
      </c>
      <c r="D29" s="116" t="s">
        <v>116</v>
      </c>
      <c r="E29" s="225" t="s">
        <v>14</v>
      </c>
      <c r="F29" s="2" t="str">
        <f t="shared" si="1"/>
        <v>Woking AC</v>
      </c>
      <c r="G29" s="237"/>
    </row>
    <row r="30" spans="1:7" ht="15" customHeight="1">
      <c r="A30" s="417"/>
      <c r="B30" s="76">
        <v>25</v>
      </c>
      <c r="C30" s="57" t="s">
        <v>235</v>
      </c>
      <c r="D30" s="116" t="s">
        <v>116</v>
      </c>
      <c r="E30" s="225" t="s">
        <v>14</v>
      </c>
      <c r="F30" s="2" t="str">
        <f t="shared" si="1"/>
        <v>Woking AC</v>
      </c>
      <c r="G30" s="237"/>
    </row>
    <row r="31" spans="1:7" ht="15" customHeight="1">
      <c r="A31" s="417"/>
      <c r="B31" s="75">
        <v>26</v>
      </c>
      <c r="C31" s="57" t="s">
        <v>236</v>
      </c>
      <c r="D31" s="116" t="s">
        <v>116</v>
      </c>
      <c r="E31" s="225" t="s">
        <v>14</v>
      </c>
      <c r="F31" s="2" t="str">
        <f t="shared" si="1"/>
        <v>Woking AC</v>
      </c>
      <c r="G31" s="237"/>
    </row>
    <row r="32" spans="1:7" ht="15" customHeight="1">
      <c r="A32" s="417"/>
      <c r="B32" s="76">
        <v>27</v>
      </c>
      <c r="C32" s="57" t="s">
        <v>237</v>
      </c>
      <c r="D32" s="116" t="s">
        <v>116</v>
      </c>
      <c r="E32" s="225" t="s">
        <v>14</v>
      </c>
      <c r="F32" s="2" t="str">
        <f t="shared" si="1"/>
        <v>Woking AC</v>
      </c>
      <c r="G32" s="237"/>
    </row>
    <row r="33" spans="1:7" ht="15" customHeight="1">
      <c r="A33" s="417"/>
      <c r="B33" s="76">
        <v>28</v>
      </c>
      <c r="C33" s="57" t="s">
        <v>238</v>
      </c>
      <c r="D33" s="116" t="s">
        <v>116</v>
      </c>
      <c r="E33" s="225" t="s">
        <v>14</v>
      </c>
      <c r="F33" s="2" t="str">
        <f t="shared" si="1"/>
        <v>Woking AC</v>
      </c>
      <c r="G33" s="237"/>
    </row>
    <row r="34" spans="1:7" ht="15" customHeight="1">
      <c r="A34" s="417"/>
      <c r="B34" s="75">
        <v>29</v>
      </c>
      <c r="C34" s="57" t="s">
        <v>239</v>
      </c>
      <c r="D34" s="116" t="s">
        <v>116</v>
      </c>
      <c r="E34" s="225" t="s">
        <v>14</v>
      </c>
      <c r="F34" s="2" t="str">
        <f t="shared" si="1"/>
        <v>Woking AC</v>
      </c>
      <c r="G34" s="237"/>
    </row>
    <row r="35" spans="1:7" ht="15" customHeight="1">
      <c r="A35" s="417"/>
      <c r="B35" s="76">
        <v>30</v>
      </c>
      <c r="C35" s="57"/>
      <c r="D35" s="116" t="s">
        <v>116</v>
      </c>
      <c r="E35" s="225" t="s">
        <v>14</v>
      </c>
      <c r="F35" s="2" t="str">
        <f t="shared" si="1"/>
        <v>Woking AC</v>
      </c>
      <c r="G35" s="237"/>
    </row>
    <row r="36" spans="1:7" ht="15" customHeight="1">
      <c r="A36" s="417"/>
      <c r="B36" s="76">
        <v>31</v>
      </c>
      <c r="C36" s="77" t="s">
        <v>240</v>
      </c>
      <c r="D36" s="116" t="s">
        <v>116</v>
      </c>
      <c r="E36" s="226" t="s">
        <v>15</v>
      </c>
      <c r="F36" s="236" t="str">
        <f t="shared" si="1"/>
        <v>Woking AC</v>
      </c>
      <c r="G36" s="237"/>
    </row>
    <row r="37" spans="1:7" ht="15" customHeight="1">
      <c r="A37" s="417"/>
      <c r="B37" s="75">
        <v>32</v>
      </c>
      <c r="C37" s="57" t="s">
        <v>241</v>
      </c>
      <c r="D37" s="116" t="s">
        <v>116</v>
      </c>
      <c r="E37" s="225" t="s">
        <v>15</v>
      </c>
      <c r="F37" s="2" t="str">
        <f t="shared" si="1"/>
        <v>Woking AC</v>
      </c>
      <c r="G37" s="237"/>
    </row>
    <row r="38" spans="1:7" ht="15" customHeight="1">
      <c r="A38" s="417"/>
      <c r="B38" s="76">
        <v>33</v>
      </c>
      <c r="C38" s="57" t="s">
        <v>242</v>
      </c>
      <c r="D38" s="116" t="s">
        <v>116</v>
      </c>
      <c r="E38" s="225" t="s">
        <v>15</v>
      </c>
      <c r="F38" s="2" t="str">
        <f t="shared" si="1"/>
        <v>Woking AC</v>
      </c>
      <c r="G38" s="237"/>
    </row>
    <row r="39" spans="1:7" ht="15" customHeight="1">
      <c r="A39" s="417"/>
      <c r="B39" s="76">
        <v>34</v>
      </c>
      <c r="C39" s="57" t="s">
        <v>243</v>
      </c>
      <c r="D39" s="116" t="s">
        <v>116</v>
      </c>
      <c r="E39" s="225" t="s">
        <v>15</v>
      </c>
      <c r="F39" s="2" t="str">
        <f t="shared" si="1"/>
        <v>Woking AC</v>
      </c>
      <c r="G39" s="237"/>
    </row>
    <row r="40" spans="1:7" ht="15" customHeight="1">
      <c r="A40" s="417"/>
      <c r="B40" s="75">
        <v>35</v>
      </c>
      <c r="C40" s="57" t="s">
        <v>249</v>
      </c>
      <c r="D40" s="116" t="s">
        <v>116</v>
      </c>
      <c r="E40" s="225" t="s">
        <v>15</v>
      </c>
      <c r="F40" s="2" t="str">
        <f t="shared" si="1"/>
        <v>Woking AC</v>
      </c>
      <c r="G40" s="237"/>
    </row>
    <row r="41" spans="1:7" ht="15" customHeight="1">
      <c r="A41" s="417"/>
      <c r="B41" s="76">
        <v>36</v>
      </c>
      <c r="C41" s="57" t="s">
        <v>244</v>
      </c>
      <c r="D41" s="116" t="s">
        <v>116</v>
      </c>
      <c r="E41" s="225" t="s">
        <v>15</v>
      </c>
      <c r="F41" s="2" t="str">
        <f t="shared" si="1"/>
        <v>Woking AC</v>
      </c>
      <c r="G41" s="237"/>
    </row>
    <row r="42" spans="1:7" ht="15" customHeight="1">
      <c r="A42" s="417"/>
      <c r="B42" s="76">
        <v>37</v>
      </c>
      <c r="C42" s="57" t="s">
        <v>245</v>
      </c>
      <c r="D42" s="116" t="s">
        <v>116</v>
      </c>
      <c r="E42" s="225" t="s">
        <v>15</v>
      </c>
      <c r="F42" s="2" t="str">
        <f t="shared" si="1"/>
        <v>Woking AC</v>
      </c>
      <c r="G42" s="237"/>
    </row>
    <row r="43" spans="1:7" ht="15" customHeight="1">
      <c r="A43" s="417"/>
      <c r="B43" s="75">
        <v>38</v>
      </c>
      <c r="C43" s="57" t="s">
        <v>246</v>
      </c>
      <c r="D43" s="116" t="s">
        <v>116</v>
      </c>
      <c r="E43" s="225" t="s">
        <v>15</v>
      </c>
      <c r="F43" s="2" t="str">
        <f t="shared" si="1"/>
        <v>Woking AC</v>
      </c>
      <c r="G43" s="237"/>
    </row>
    <row r="44" spans="1:7" ht="15" customHeight="1">
      <c r="A44" s="417"/>
      <c r="B44" s="76">
        <v>39</v>
      </c>
      <c r="C44" s="57" t="s">
        <v>247</v>
      </c>
      <c r="D44" s="116" t="s">
        <v>116</v>
      </c>
      <c r="E44" s="225" t="s">
        <v>15</v>
      </c>
      <c r="F44" s="2" t="str">
        <f t="shared" si="1"/>
        <v>Woking AC</v>
      </c>
      <c r="G44" s="237"/>
    </row>
    <row r="45" spans="1:7" ht="15" customHeight="1" thickBot="1">
      <c r="A45" s="418"/>
      <c r="B45" s="282">
        <v>40</v>
      </c>
      <c r="C45" s="57" t="s">
        <v>248</v>
      </c>
      <c r="D45" s="211" t="s">
        <v>116</v>
      </c>
      <c r="E45" s="225" t="s">
        <v>15</v>
      </c>
      <c r="F45" s="2" t="str">
        <f t="shared" si="1"/>
        <v>Woking AC</v>
      </c>
      <c r="G45" s="237"/>
    </row>
    <row r="46" spans="1:7" ht="15" customHeight="1">
      <c r="A46" s="416" t="str">
        <f>'Read Me First'!C13</f>
        <v>Poole Runners</v>
      </c>
      <c r="B46" s="76">
        <v>41</v>
      </c>
      <c r="C46" s="227" t="s">
        <v>250</v>
      </c>
      <c r="D46" s="116" t="s">
        <v>116</v>
      </c>
      <c r="E46" s="228" t="s">
        <v>14</v>
      </c>
      <c r="F46" s="238" t="str">
        <f t="shared" ref="F46:F65" si="2">$A$46</f>
        <v>Poole Runners</v>
      </c>
      <c r="G46" s="237"/>
    </row>
    <row r="47" spans="1:7" ht="15" customHeight="1">
      <c r="A47" s="417"/>
      <c r="B47" s="76">
        <v>42</v>
      </c>
      <c r="C47" s="57" t="s">
        <v>251</v>
      </c>
      <c r="D47" s="116" t="s">
        <v>116</v>
      </c>
      <c r="E47" s="225" t="s">
        <v>14</v>
      </c>
      <c r="F47" s="2" t="str">
        <f t="shared" si="2"/>
        <v>Poole Runners</v>
      </c>
      <c r="G47" s="237"/>
    </row>
    <row r="48" spans="1:7" ht="15" customHeight="1">
      <c r="A48" s="417"/>
      <c r="B48" s="76">
        <v>43</v>
      </c>
      <c r="C48" s="57" t="s">
        <v>252</v>
      </c>
      <c r="D48" s="116" t="s">
        <v>116</v>
      </c>
      <c r="E48" s="225" t="s">
        <v>14</v>
      </c>
      <c r="F48" s="2" t="str">
        <f t="shared" si="2"/>
        <v>Poole Runners</v>
      </c>
      <c r="G48" s="237"/>
    </row>
    <row r="49" spans="1:7" ht="15" customHeight="1">
      <c r="A49" s="417"/>
      <c r="B49" s="75">
        <v>44</v>
      </c>
      <c r="C49" s="57" t="s">
        <v>253</v>
      </c>
      <c r="D49" s="116" t="s">
        <v>116</v>
      </c>
      <c r="E49" s="225" t="s">
        <v>14</v>
      </c>
      <c r="F49" s="2" t="str">
        <f t="shared" si="2"/>
        <v>Poole Runners</v>
      </c>
      <c r="G49" s="237"/>
    </row>
    <row r="50" spans="1:7" ht="15" customHeight="1">
      <c r="A50" s="417"/>
      <c r="B50" s="76">
        <v>45</v>
      </c>
      <c r="C50" s="57" t="s">
        <v>254</v>
      </c>
      <c r="D50" s="116" t="s">
        <v>116</v>
      </c>
      <c r="E50" s="225" t="s">
        <v>14</v>
      </c>
      <c r="F50" s="2" t="str">
        <f t="shared" si="2"/>
        <v>Poole Runners</v>
      </c>
      <c r="G50" s="237"/>
    </row>
    <row r="51" spans="1:7" ht="15" customHeight="1">
      <c r="A51" s="417"/>
      <c r="B51" s="76">
        <v>46</v>
      </c>
      <c r="C51" s="57" t="s">
        <v>255</v>
      </c>
      <c r="D51" s="116" t="s">
        <v>116</v>
      </c>
      <c r="E51" s="225" t="s">
        <v>14</v>
      </c>
      <c r="F51" s="2" t="str">
        <f t="shared" si="2"/>
        <v>Poole Runners</v>
      </c>
      <c r="G51" s="237"/>
    </row>
    <row r="52" spans="1:7" ht="15" customHeight="1">
      <c r="A52" s="417"/>
      <c r="B52" s="75">
        <v>47</v>
      </c>
      <c r="C52" s="57" t="s">
        <v>256</v>
      </c>
      <c r="D52" s="116" t="s">
        <v>116</v>
      </c>
      <c r="E52" s="225" t="s">
        <v>14</v>
      </c>
      <c r="F52" s="2" t="str">
        <f t="shared" si="2"/>
        <v>Poole Runners</v>
      </c>
      <c r="G52" s="237"/>
    </row>
    <row r="53" spans="1:7" ht="15" customHeight="1">
      <c r="A53" s="417"/>
      <c r="B53" s="76">
        <v>48</v>
      </c>
      <c r="C53" s="57" t="s">
        <v>257</v>
      </c>
      <c r="D53" s="116" t="s">
        <v>116</v>
      </c>
      <c r="E53" s="225" t="s">
        <v>14</v>
      </c>
      <c r="F53" s="2" t="str">
        <f t="shared" si="2"/>
        <v>Poole Runners</v>
      </c>
      <c r="G53" s="237"/>
    </row>
    <row r="54" spans="1:7" ht="15" customHeight="1">
      <c r="A54" s="417"/>
      <c r="B54" s="76">
        <v>49</v>
      </c>
      <c r="C54" s="57" t="s">
        <v>258</v>
      </c>
      <c r="D54" s="116" t="s">
        <v>116</v>
      </c>
      <c r="E54" s="225" t="s">
        <v>14</v>
      </c>
      <c r="F54" s="2" t="str">
        <f t="shared" si="2"/>
        <v>Poole Runners</v>
      </c>
      <c r="G54" s="237"/>
    </row>
    <row r="55" spans="1:7" ht="15" customHeight="1">
      <c r="A55" s="417"/>
      <c r="B55" s="75">
        <v>50</v>
      </c>
      <c r="C55" s="57" t="s">
        <v>259</v>
      </c>
      <c r="D55" s="116" t="s">
        <v>116</v>
      </c>
      <c r="E55" s="225" t="s">
        <v>14</v>
      </c>
      <c r="F55" s="2" t="str">
        <f t="shared" si="2"/>
        <v>Poole Runners</v>
      </c>
      <c r="G55" s="237"/>
    </row>
    <row r="56" spans="1:7" ht="15" customHeight="1">
      <c r="A56" s="417"/>
      <c r="B56" s="76">
        <v>51</v>
      </c>
      <c r="C56" s="77" t="s">
        <v>260</v>
      </c>
      <c r="D56" s="116" t="s">
        <v>116</v>
      </c>
      <c r="E56" s="226" t="s">
        <v>15</v>
      </c>
      <c r="F56" s="236" t="str">
        <f t="shared" si="2"/>
        <v>Poole Runners</v>
      </c>
      <c r="G56" s="237"/>
    </row>
    <row r="57" spans="1:7" ht="15" customHeight="1">
      <c r="A57" s="417"/>
      <c r="B57" s="76">
        <v>52</v>
      </c>
      <c r="C57" s="57" t="s">
        <v>261</v>
      </c>
      <c r="D57" s="116" t="s">
        <v>116</v>
      </c>
      <c r="E57" s="225" t="s">
        <v>15</v>
      </c>
      <c r="F57" s="2" t="str">
        <f t="shared" si="2"/>
        <v>Poole Runners</v>
      </c>
      <c r="G57" s="237"/>
    </row>
    <row r="58" spans="1:7" ht="15" customHeight="1">
      <c r="A58" s="417"/>
      <c r="B58" s="75">
        <v>53</v>
      </c>
      <c r="C58" s="57" t="s">
        <v>262</v>
      </c>
      <c r="D58" s="116" t="s">
        <v>116</v>
      </c>
      <c r="E58" s="225" t="s">
        <v>15</v>
      </c>
      <c r="F58" s="2" t="str">
        <f t="shared" si="2"/>
        <v>Poole Runners</v>
      </c>
      <c r="G58" s="237"/>
    </row>
    <row r="59" spans="1:7" ht="15" customHeight="1">
      <c r="A59" s="417"/>
      <c r="B59" s="76">
        <v>54</v>
      </c>
      <c r="C59" s="57" t="s">
        <v>263</v>
      </c>
      <c r="D59" s="116" t="s">
        <v>116</v>
      </c>
      <c r="E59" s="225" t="s">
        <v>15</v>
      </c>
      <c r="F59" s="2" t="str">
        <f t="shared" si="2"/>
        <v>Poole Runners</v>
      </c>
      <c r="G59" s="237"/>
    </row>
    <row r="60" spans="1:7" ht="15" customHeight="1">
      <c r="A60" s="417"/>
      <c r="B60" s="76">
        <v>55</v>
      </c>
      <c r="C60" s="57" t="s">
        <v>264</v>
      </c>
      <c r="D60" s="116" t="s">
        <v>116</v>
      </c>
      <c r="E60" s="225" t="s">
        <v>15</v>
      </c>
      <c r="F60" s="2" t="str">
        <f t="shared" si="2"/>
        <v>Poole Runners</v>
      </c>
      <c r="G60" s="237"/>
    </row>
    <row r="61" spans="1:7" ht="15" customHeight="1">
      <c r="A61" s="417"/>
      <c r="B61" s="75">
        <v>56</v>
      </c>
      <c r="C61" s="57" t="s">
        <v>265</v>
      </c>
      <c r="D61" s="116" t="s">
        <v>116</v>
      </c>
      <c r="E61" s="225" t="s">
        <v>15</v>
      </c>
      <c r="F61" s="2" t="str">
        <f t="shared" si="2"/>
        <v>Poole Runners</v>
      </c>
      <c r="G61" s="237"/>
    </row>
    <row r="62" spans="1:7" ht="15" customHeight="1">
      <c r="A62" s="417"/>
      <c r="B62" s="76">
        <v>57</v>
      </c>
      <c r="C62" s="57" t="s">
        <v>266</v>
      </c>
      <c r="D62" s="116" t="s">
        <v>116</v>
      </c>
      <c r="E62" s="225" t="s">
        <v>15</v>
      </c>
      <c r="F62" s="2" t="str">
        <f t="shared" si="2"/>
        <v>Poole Runners</v>
      </c>
      <c r="G62" s="237"/>
    </row>
    <row r="63" spans="1:7" ht="15" customHeight="1">
      <c r="A63" s="417"/>
      <c r="B63" s="76">
        <v>58</v>
      </c>
      <c r="C63" s="57" t="s">
        <v>267</v>
      </c>
      <c r="D63" s="116" t="s">
        <v>116</v>
      </c>
      <c r="E63" s="225" t="s">
        <v>15</v>
      </c>
      <c r="F63" s="2" t="str">
        <f t="shared" si="2"/>
        <v>Poole Runners</v>
      </c>
      <c r="G63" s="237"/>
    </row>
    <row r="64" spans="1:7" ht="15" customHeight="1">
      <c r="A64" s="417"/>
      <c r="B64" s="75">
        <v>59</v>
      </c>
      <c r="C64" s="57"/>
      <c r="D64" s="116" t="s">
        <v>116</v>
      </c>
      <c r="E64" s="225" t="s">
        <v>15</v>
      </c>
      <c r="F64" s="2" t="str">
        <f t="shared" si="2"/>
        <v>Poole Runners</v>
      </c>
      <c r="G64" s="237"/>
    </row>
    <row r="65" spans="1:7" ht="15" customHeight="1" thickBot="1">
      <c r="A65" s="418"/>
      <c r="B65" s="282">
        <v>60</v>
      </c>
      <c r="C65" s="57"/>
      <c r="D65" s="211" t="s">
        <v>116</v>
      </c>
      <c r="E65" s="225" t="s">
        <v>15</v>
      </c>
      <c r="F65" s="2" t="str">
        <f t="shared" si="2"/>
        <v>Poole Runners</v>
      </c>
      <c r="G65" s="237"/>
    </row>
    <row r="66" spans="1:7" ht="15" customHeight="1">
      <c r="A66" s="416" t="str">
        <f>'Read Me First'!C14</f>
        <v>Fleet &amp; Crookham AC</v>
      </c>
      <c r="B66" s="76">
        <v>61</v>
      </c>
      <c r="C66" s="227" t="s">
        <v>268</v>
      </c>
      <c r="D66" s="116" t="s">
        <v>116</v>
      </c>
      <c r="E66" s="228" t="s">
        <v>14</v>
      </c>
      <c r="F66" s="238" t="str">
        <f t="shared" ref="F66:F85" si="3">$A$66</f>
        <v>Fleet &amp; Crookham AC</v>
      </c>
      <c r="G66" s="237"/>
    </row>
    <row r="67" spans="1:7" ht="15" customHeight="1">
      <c r="A67" s="417"/>
      <c r="B67" s="75">
        <v>62</v>
      </c>
      <c r="C67" s="57" t="s">
        <v>269</v>
      </c>
      <c r="D67" s="116" t="s">
        <v>116</v>
      </c>
      <c r="E67" s="225" t="s">
        <v>14</v>
      </c>
      <c r="F67" s="2" t="str">
        <f t="shared" si="3"/>
        <v>Fleet &amp; Crookham AC</v>
      </c>
      <c r="G67" s="237"/>
    </row>
    <row r="68" spans="1:7" ht="15" customHeight="1">
      <c r="A68" s="417"/>
      <c r="B68" s="76">
        <v>63</v>
      </c>
      <c r="C68" s="57" t="s">
        <v>270</v>
      </c>
      <c r="D68" s="116" t="s">
        <v>116</v>
      </c>
      <c r="E68" s="225" t="s">
        <v>14</v>
      </c>
      <c r="F68" s="2" t="str">
        <f t="shared" si="3"/>
        <v>Fleet &amp; Crookham AC</v>
      </c>
      <c r="G68" s="237"/>
    </row>
    <row r="69" spans="1:7" ht="15" customHeight="1">
      <c r="A69" s="417"/>
      <c r="B69" s="76">
        <v>64</v>
      </c>
      <c r="C69" s="57" t="s">
        <v>271</v>
      </c>
      <c r="D69" s="116" t="s">
        <v>116</v>
      </c>
      <c r="E69" s="225" t="s">
        <v>14</v>
      </c>
      <c r="F69" s="2" t="str">
        <f t="shared" si="3"/>
        <v>Fleet &amp; Crookham AC</v>
      </c>
      <c r="G69" s="237"/>
    </row>
    <row r="70" spans="1:7" ht="15" customHeight="1">
      <c r="A70" s="417"/>
      <c r="B70" s="75">
        <v>65</v>
      </c>
      <c r="C70" s="57" t="s">
        <v>272</v>
      </c>
      <c r="D70" s="116" t="s">
        <v>116</v>
      </c>
      <c r="E70" s="225" t="s">
        <v>14</v>
      </c>
      <c r="F70" s="2" t="str">
        <f t="shared" si="3"/>
        <v>Fleet &amp; Crookham AC</v>
      </c>
      <c r="G70" s="237"/>
    </row>
    <row r="71" spans="1:7" ht="15" customHeight="1">
      <c r="A71" s="417"/>
      <c r="B71" s="76">
        <v>66</v>
      </c>
      <c r="C71" s="57" t="s">
        <v>273</v>
      </c>
      <c r="D71" s="116" t="s">
        <v>116</v>
      </c>
      <c r="E71" s="225" t="s">
        <v>14</v>
      </c>
      <c r="F71" s="2" t="str">
        <f t="shared" si="3"/>
        <v>Fleet &amp; Crookham AC</v>
      </c>
      <c r="G71" s="237"/>
    </row>
    <row r="72" spans="1:7" ht="15" customHeight="1">
      <c r="A72" s="417"/>
      <c r="B72" s="76">
        <v>67</v>
      </c>
      <c r="C72" s="57" t="s">
        <v>274</v>
      </c>
      <c r="D72" s="116" t="s">
        <v>116</v>
      </c>
      <c r="E72" s="225" t="s">
        <v>14</v>
      </c>
      <c r="F72" s="2" t="str">
        <f t="shared" si="3"/>
        <v>Fleet &amp; Crookham AC</v>
      </c>
      <c r="G72" s="237"/>
    </row>
    <row r="73" spans="1:7" ht="15" customHeight="1">
      <c r="A73" s="417"/>
      <c r="B73" s="75">
        <v>68</v>
      </c>
      <c r="C73" s="57" t="s">
        <v>275</v>
      </c>
      <c r="D73" s="116" t="s">
        <v>116</v>
      </c>
      <c r="E73" s="225" t="s">
        <v>14</v>
      </c>
      <c r="F73" s="2" t="str">
        <f t="shared" si="3"/>
        <v>Fleet &amp; Crookham AC</v>
      </c>
      <c r="G73" s="237"/>
    </row>
    <row r="74" spans="1:7" ht="15" customHeight="1">
      <c r="A74" s="417"/>
      <c r="B74" s="76">
        <v>69</v>
      </c>
      <c r="C74" s="57" t="s">
        <v>276</v>
      </c>
      <c r="D74" s="116" t="s">
        <v>116</v>
      </c>
      <c r="E74" s="225" t="s">
        <v>14</v>
      </c>
      <c r="F74" s="2" t="str">
        <f t="shared" si="3"/>
        <v>Fleet &amp; Crookham AC</v>
      </c>
      <c r="G74" s="237"/>
    </row>
    <row r="75" spans="1:7" ht="15" customHeight="1">
      <c r="A75" s="417"/>
      <c r="B75" s="76">
        <v>70</v>
      </c>
      <c r="C75" s="57" t="s">
        <v>277</v>
      </c>
      <c r="D75" s="116" t="s">
        <v>116</v>
      </c>
      <c r="E75" s="225" t="s">
        <v>14</v>
      </c>
      <c r="F75" s="2" t="str">
        <f t="shared" si="3"/>
        <v>Fleet &amp; Crookham AC</v>
      </c>
      <c r="G75" s="237"/>
    </row>
    <row r="76" spans="1:7" ht="15" customHeight="1">
      <c r="A76" s="417"/>
      <c r="B76" s="75">
        <v>71</v>
      </c>
      <c r="C76" s="77" t="s">
        <v>278</v>
      </c>
      <c r="D76" s="116" t="s">
        <v>116</v>
      </c>
      <c r="E76" s="226" t="s">
        <v>15</v>
      </c>
      <c r="F76" s="236" t="str">
        <f t="shared" si="3"/>
        <v>Fleet &amp; Crookham AC</v>
      </c>
      <c r="G76" s="237"/>
    </row>
    <row r="77" spans="1:7" ht="15" customHeight="1">
      <c r="A77" s="417"/>
      <c r="B77" s="76">
        <v>72</v>
      </c>
      <c r="C77" s="57" t="s">
        <v>279</v>
      </c>
      <c r="D77" s="116" t="s">
        <v>116</v>
      </c>
      <c r="E77" s="225" t="s">
        <v>15</v>
      </c>
      <c r="F77" s="2" t="str">
        <f t="shared" si="3"/>
        <v>Fleet &amp; Crookham AC</v>
      </c>
      <c r="G77" s="237"/>
    </row>
    <row r="78" spans="1:7" ht="15" customHeight="1">
      <c r="A78" s="417"/>
      <c r="B78" s="76">
        <v>73</v>
      </c>
      <c r="C78" s="57" t="s">
        <v>280</v>
      </c>
      <c r="D78" s="116" t="s">
        <v>116</v>
      </c>
      <c r="E78" s="225" t="s">
        <v>15</v>
      </c>
      <c r="F78" s="2" t="str">
        <f t="shared" si="3"/>
        <v>Fleet &amp; Crookham AC</v>
      </c>
      <c r="G78" s="237"/>
    </row>
    <row r="79" spans="1:7" ht="15" customHeight="1">
      <c r="A79" s="417"/>
      <c r="B79" s="75">
        <v>74</v>
      </c>
      <c r="C79" s="57" t="s">
        <v>283</v>
      </c>
      <c r="D79" s="116" t="s">
        <v>116</v>
      </c>
      <c r="E79" s="225" t="s">
        <v>15</v>
      </c>
      <c r="F79" s="2" t="str">
        <f t="shared" si="3"/>
        <v>Fleet &amp; Crookham AC</v>
      </c>
      <c r="G79" s="237"/>
    </row>
    <row r="80" spans="1:7" ht="15" customHeight="1">
      <c r="A80" s="417"/>
      <c r="B80" s="76">
        <v>75</v>
      </c>
      <c r="C80" s="57" t="s">
        <v>281</v>
      </c>
      <c r="D80" s="116" t="s">
        <v>116</v>
      </c>
      <c r="E80" s="225" t="s">
        <v>15</v>
      </c>
      <c r="F80" s="2" t="str">
        <f t="shared" si="3"/>
        <v>Fleet &amp; Crookham AC</v>
      </c>
      <c r="G80" s="237"/>
    </row>
    <row r="81" spans="1:7" ht="15" customHeight="1">
      <c r="A81" s="417"/>
      <c r="B81" s="76">
        <v>76</v>
      </c>
      <c r="C81" s="57" t="s">
        <v>282</v>
      </c>
      <c r="D81" s="116" t="s">
        <v>116</v>
      </c>
      <c r="E81" s="225" t="s">
        <v>15</v>
      </c>
      <c r="F81" s="2" t="str">
        <f t="shared" si="3"/>
        <v>Fleet &amp; Crookham AC</v>
      </c>
      <c r="G81" s="237"/>
    </row>
    <row r="82" spans="1:7" ht="15" customHeight="1">
      <c r="A82" s="417"/>
      <c r="B82" s="75">
        <v>77</v>
      </c>
      <c r="C82" s="57"/>
      <c r="D82" s="116" t="s">
        <v>116</v>
      </c>
      <c r="E82" s="225" t="s">
        <v>15</v>
      </c>
      <c r="F82" s="2" t="str">
        <f t="shared" si="3"/>
        <v>Fleet &amp; Crookham AC</v>
      </c>
      <c r="G82" s="237"/>
    </row>
    <row r="83" spans="1:7" ht="15" customHeight="1">
      <c r="A83" s="417"/>
      <c r="B83" s="76">
        <v>78</v>
      </c>
      <c r="C83" s="57"/>
      <c r="D83" s="116" t="s">
        <v>116</v>
      </c>
      <c r="E83" s="225" t="s">
        <v>15</v>
      </c>
      <c r="F83" s="2" t="str">
        <f t="shared" si="3"/>
        <v>Fleet &amp; Crookham AC</v>
      </c>
      <c r="G83" s="237"/>
    </row>
    <row r="84" spans="1:7" ht="15" customHeight="1">
      <c r="A84" s="417"/>
      <c r="B84" s="76">
        <v>79</v>
      </c>
      <c r="C84" s="57"/>
      <c r="D84" s="116" t="s">
        <v>116</v>
      </c>
      <c r="E84" s="225" t="s">
        <v>15</v>
      </c>
      <c r="F84" s="2" t="str">
        <f t="shared" si="3"/>
        <v>Fleet &amp; Crookham AC</v>
      </c>
      <c r="G84" s="237"/>
    </row>
    <row r="85" spans="1:7" ht="15" customHeight="1" thickBot="1">
      <c r="A85" s="418"/>
      <c r="B85" s="282">
        <v>80</v>
      </c>
      <c r="C85" s="57"/>
      <c r="D85" s="211" t="s">
        <v>116</v>
      </c>
      <c r="E85" s="225" t="s">
        <v>15</v>
      </c>
      <c r="F85" s="2" t="str">
        <f t="shared" si="3"/>
        <v>Fleet &amp; Crookham AC</v>
      </c>
      <c r="G85" s="237"/>
    </row>
    <row r="86" spans="1:7" ht="15" customHeight="1">
      <c r="A86" s="416" t="str">
        <f>'Read Me First'!C15</f>
        <v>Waverley Athletics Club</v>
      </c>
      <c r="B86" s="76">
        <v>81</v>
      </c>
      <c r="C86" s="227" t="s">
        <v>284</v>
      </c>
      <c r="D86" s="116" t="s">
        <v>116</v>
      </c>
      <c r="E86" s="228" t="s">
        <v>14</v>
      </c>
      <c r="F86" s="238" t="str">
        <f t="shared" ref="F86:F105" si="4">$A$86</f>
        <v>Waverley Athletics Club</v>
      </c>
      <c r="G86" s="237"/>
    </row>
    <row r="87" spans="1:7" ht="15" customHeight="1">
      <c r="A87" s="417"/>
      <c r="B87" s="76">
        <v>82</v>
      </c>
      <c r="C87" s="57" t="s">
        <v>285</v>
      </c>
      <c r="D87" s="116" t="s">
        <v>116</v>
      </c>
      <c r="E87" s="225" t="s">
        <v>14</v>
      </c>
      <c r="F87" s="2" t="str">
        <f t="shared" si="4"/>
        <v>Waverley Athletics Club</v>
      </c>
      <c r="G87" s="237"/>
    </row>
    <row r="88" spans="1:7" ht="15" customHeight="1">
      <c r="A88" s="417"/>
      <c r="B88" s="75">
        <v>83</v>
      </c>
      <c r="C88" s="57" t="s">
        <v>286</v>
      </c>
      <c r="D88" s="116" t="s">
        <v>116</v>
      </c>
      <c r="E88" s="225" t="s">
        <v>14</v>
      </c>
      <c r="F88" s="2" t="str">
        <f t="shared" si="4"/>
        <v>Waverley Athletics Club</v>
      </c>
      <c r="G88" s="237"/>
    </row>
    <row r="89" spans="1:7" ht="15" customHeight="1">
      <c r="A89" s="417"/>
      <c r="B89" s="76">
        <v>84</v>
      </c>
      <c r="C89" s="57" t="s">
        <v>287</v>
      </c>
      <c r="D89" s="116" t="s">
        <v>116</v>
      </c>
      <c r="E89" s="225" t="s">
        <v>14</v>
      </c>
      <c r="F89" s="2" t="str">
        <f t="shared" si="4"/>
        <v>Waverley Athletics Club</v>
      </c>
      <c r="G89" s="237"/>
    </row>
    <row r="90" spans="1:7" ht="15" customHeight="1">
      <c r="A90" s="417"/>
      <c r="B90" s="76">
        <v>85</v>
      </c>
      <c r="C90" s="57" t="s">
        <v>288</v>
      </c>
      <c r="D90" s="116" t="s">
        <v>116</v>
      </c>
      <c r="E90" s="225" t="s">
        <v>14</v>
      </c>
      <c r="F90" s="2" t="str">
        <f t="shared" si="4"/>
        <v>Waverley Athletics Club</v>
      </c>
      <c r="G90" s="237"/>
    </row>
    <row r="91" spans="1:7" ht="15" customHeight="1">
      <c r="A91" s="417"/>
      <c r="B91" s="75">
        <v>86</v>
      </c>
      <c r="C91" s="57" t="s">
        <v>289</v>
      </c>
      <c r="D91" s="116" t="s">
        <v>116</v>
      </c>
      <c r="E91" s="225" t="s">
        <v>14</v>
      </c>
      <c r="F91" s="2" t="str">
        <f t="shared" si="4"/>
        <v>Waverley Athletics Club</v>
      </c>
      <c r="G91" s="237"/>
    </row>
    <row r="92" spans="1:7" ht="15" customHeight="1">
      <c r="A92" s="417"/>
      <c r="B92" s="76">
        <v>87</v>
      </c>
      <c r="C92" s="57"/>
      <c r="D92" s="116" t="s">
        <v>116</v>
      </c>
      <c r="E92" s="225" t="s">
        <v>14</v>
      </c>
      <c r="F92" s="2" t="str">
        <f t="shared" si="4"/>
        <v>Waverley Athletics Club</v>
      </c>
      <c r="G92" s="237"/>
    </row>
    <row r="93" spans="1:7" ht="15" customHeight="1">
      <c r="A93" s="417"/>
      <c r="B93" s="76">
        <v>88</v>
      </c>
      <c r="C93" s="57"/>
      <c r="D93" s="116" t="s">
        <v>116</v>
      </c>
      <c r="E93" s="225" t="s">
        <v>14</v>
      </c>
      <c r="F93" s="2" t="str">
        <f t="shared" si="4"/>
        <v>Waverley Athletics Club</v>
      </c>
      <c r="G93" s="237"/>
    </row>
    <row r="94" spans="1:7" ht="15" customHeight="1">
      <c r="A94" s="417"/>
      <c r="B94" s="75">
        <v>89</v>
      </c>
      <c r="C94" s="57"/>
      <c r="D94" s="116" t="s">
        <v>116</v>
      </c>
      <c r="E94" s="225" t="s">
        <v>14</v>
      </c>
      <c r="F94" s="2" t="str">
        <f t="shared" si="4"/>
        <v>Waverley Athletics Club</v>
      </c>
      <c r="G94" s="237"/>
    </row>
    <row r="95" spans="1:7" ht="15" customHeight="1">
      <c r="A95" s="417"/>
      <c r="B95" s="76">
        <v>90</v>
      </c>
      <c r="C95" s="57"/>
      <c r="D95" s="116" t="s">
        <v>116</v>
      </c>
      <c r="E95" s="225" t="s">
        <v>14</v>
      </c>
      <c r="F95" s="2" t="str">
        <f t="shared" si="4"/>
        <v>Waverley Athletics Club</v>
      </c>
      <c r="G95" s="237"/>
    </row>
    <row r="96" spans="1:7" ht="15" customHeight="1">
      <c r="A96" s="417"/>
      <c r="B96" s="76">
        <v>91</v>
      </c>
      <c r="C96" s="77" t="s">
        <v>290</v>
      </c>
      <c r="D96" s="116" t="s">
        <v>116</v>
      </c>
      <c r="E96" s="226" t="s">
        <v>15</v>
      </c>
      <c r="F96" s="236" t="str">
        <f t="shared" si="4"/>
        <v>Waverley Athletics Club</v>
      </c>
      <c r="G96" s="237"/>
    </row>
    <row r="97" spans="1:11" ht="15" customHeight="1">
      <c r="A97" s="417"/>
      <c r="B97" s="75">
        <v>92</v>
      </c>
      <c r="C97" s="57" t="s">
        <v>291</v>
      </c>
      <c r="D97" s="116" t="s">
        <v>116</v>
      </c>
      <c r="E97" s="225" t="s">
        <v>15</v>
      </c>
      <c r="F97" s="2" t="str">
        <f t="shared" si="4"/>
        <v>Waverley Athletics Club</v>
      </c>
      <c r="G97" s="237"/>
    </row>
    <row r="98" spans="1:11" ht="15" customHeight="1">
      <c r="A98" s="417"/>
      <c r="B98" s="76">
        <v>93</v>
      </c>
      <c r="C98" s="57" t="s">
        <v>292</v>
      </c>
      <c r="D98" s="116" t="s">
        <v>116</v>
      </c>
      <c r="E98" s="225" t="s">
        <v>15</v>
      </c>
      <c r="F98" s="2" t="str">
        <f t="shared" si="4"/>
        <v>Waverley Athletics Club</v>
      </c>
      <c r="G98" s="237"/>
    </row>
    <row r="99" spans="1:11" ht="15" customHeight="1">
      <c r="A99" s="417"/>
      <c r="B99" s="76">
        <v>94</v>
      </c>
      <c r="C99" s="57" t="s">
        <v>293</v>
      </c>
      <c r="D99" s="116" t="s">
        <v>116</v>
      </c>
      <c r="E99" s="225" t="s">
        <v>15</v>
      </c>
      <c r="F99" s="2" t="str">
        <f t="shared" si="4"/>
        <v>Waverley Athletics Club</v>
      </c>
      <c r="G99" s="237"/>
    </row>
    <row r="100" spans="1:11" ht="15" customHeight="1">
      <c r="A100" s="417"/>
      <c r="B100" s="75">
        <v>95</v>
      </c>
      <c r="C100" s="57" t="s">
        <v>294</v>
      </c>
      <c r="D100" s="116" t="s">
        <v>116</v>
      </c>
      <c r="E100" s="225" t="s">
        <v>15</v>
      </c>
      <c r="F100" s="2" t="str">
        <f t="shared" si="4"/>
        <v>Waverley Athletics Club</v>
      </c>
      <c r="G100" s="237"/>
    </row>
    <row r="101" spans="1:11" ht="15" customHeight="1">
      <c r="A101" s="417"/>
      <c r="B101" s="76">
        <v>96</v>
      </c>
      <c r="C101" s="57" t="s">
        <v>295</v>
      </c>
      <c r="D101" s="116" t="s">
        <v>116</v>
      </c>
      <c r="E101" s="225" t="s">
        <v>15</v>
      </c>
      <c r="F101" s="2" t="str">
        <f t="shared" si="4"/>
        <v>Waverley Athletics Club</v>
      </c>
      <c r="G101" s="237"/>
    </row>
    <row r="102" spans="1:11" ht="15" customHeight="1">
      <c r="A102" s="417"/>
      <c r="B102" s="76">
        <v>97</v>
      </c>
      <c r="C102" s="57" t="s">
        <v>296</v>
      </c>
      <c r="D102" s="116" t="s">
        <v>116</v>
      </c>
      <c r="E102" s="225" t="s">
        <v>15</v>
      </c>
      <c r="F102" s="2" t="str">
        <f t="shared" si="4"/>
        <v>Waverley Athletics Club</v>
      </c>
      <c r="G102" s="237"/>
    </row>
    <row r="103" spans="1:11" ht="15" customHeight="1">
      <c r="A103" s="417"/>
      <c r="B103" s="75">
        <v>98</v>
      </c>
      <c r="C103" s="57"/>
      <c r="D103" s="116" t="s">
        <v>116</v>
      </c>
      <c r="E103" s="225" t="s">
        <v>15</v>
      </c>
      <c r="F103" s="2" t="str">
        <f t="shared" si="4"/>
        <v>Waverley Athletics Club</v>
      </c>
      <c r="G103" s="237"/>
    </row>
    <row r="104" spans="1:11" ht="15" customHeight="1">
      <c r="A104" s="417"/>
      <c r="B104" s="76">
        <v>99</v>
      </c>
      <c r="C104" s="57"/>
      <c r="D104" s="116" t="s">
        <v>116</v>
      </c>
      <c r="E104" s="225" t="s">
        <v>15</v>
      </c>
      <c r="F104" s="2" t="str">
        <f t="shared" si="4"/>
        <v>Waverley Athletics Club</v>
      </c>
      <c r="G104" s="237"/>
    </row>
    <row r="105" spans="1:11" ht="15" customHeight="1" thickBot="1">
      <c r="A105" s="418"/>
      <c r="B105" s="282">
        <v>100</v>
      </c>
      <c r="C105" s="57"/>
      <c r="D105" s="211" t="s">
        <v>116</v>
      </c>
      <c r="E105" s="225" t="s">
        <v>15</v>
      </c>
      <c r="F105" s="2" t="str">
        <f t="shared" si="4"/>
        <v>Waverley Athletics Club</v>
      </c>
      <c r="G105" s="237"/>
    </row>
    <row r="106" spans="1:11" ht="15" customHeight="1">
      <c r="A106" s="416" t="str">
        <f>'Read Me First'!C16</f>
        <v>Basingstoke &amp; Mid Hants AC</v>
      </c>
      <c r="B106" s="76">
        <v>101</v>
      </c>
      <c r="C106" s="227" t="s">
        <v>200</v>
      </c>
      <c r="D106" s="116" t="s">
        <v>116</v>
      </c>
      <c r="E106" s="228" t="s">
        <v>14</v>
      </c>
      <c r="F106" s="238" t="str">
        <f>$A$106</f>
        <v>Basingstoke &amp; Mid Hants AC</v>
      </c>
      <c r="G106" s="237"/>
    </row>
    <row r="107" spans="1:11" ht="15" customHeight="1">
      <c r="A107" s="417"/>
      <c r="B107" s="76">
        <v>102</v>
      </c>
      <c r="C107" s="57" t="s">
        <v>201</v>
      </c>
      <c r="D107" s="116" t="s">
        <v>116</v>
      </c>
      <c r="E107" s="225" t="s">
        <v>14</v>
      </c>
      <c r="F107" s="2" t="str">
        <f t="shared" ref="F107:F125" si="5">$A$106</f>
        <v>Basingstoke &amp; Mid Hants AC</v>
      </c>
      <c r="G107" s="237"/>
    </row>
    <row r="108" spans="1:11" ht="15" customHeight="1">
      <c r="A108" s="417"/>
      <c r="B108" s="76">
        <v>103</v>
      </c>
      <c r="C108" s="57" t="s">
        <v>202</v>
      </c>
      <c r="D108" s="116" t="s">
        <v>116</v>
      </c>
      <c r="E108" s="225" t="s">
        <v>14</v>
      </c>
      <c r="F108" s="2" t="str">
        <f t="shared" si="5"/>
        <v>Basingstoke &amp; Mid Hants AC</v>
      </c>
      <c r="G108" s="237"/>
    </row>
    <row r="109" spans="1:11" ht="15" customHeight="1">
      <c r="A109" s="417"/>
      <c r="B109" s="76">
        <v>104</v>
      </c>
      <c r="C109" s="57" t="s">
        <v>203</v>
      </c>
      <c r="D109" s="116" t="s">
        <v>116</v>
      </c>
      <c r="E109" s="225" t="s">
        <v>14</v>
      </c>
      <c r="F109" s="2" t="str">
        <f t="shared" si="5"/>
        <v>Basingstoke &amp; Mid Hants AC</v>
      </c>
      <c r="G109" s="237"/>
      <c r="K109" t="s">
        <v>128</v>
      </c>
    </row>
    <row r="110" spans="1:11" ht="15" customHeight="1">
      <c r="A110" s="417"/>
      <c r="B110" s="76">
        <v>105</v>
      </c>
      <c r="C110" s="57" t="s">
        <v>204</v>
      </c>
      <c r="D110" s="116" t="s">
        <v>116</v>
      </c>
      <c r="E110" s="225" t="s">
        <v>14</v>
      </c>
      <c r="F110" s="2" t="str">
        <f t="shared" si="5"/>
        <v>Basingstoke &amp; Mid Hants AC</v>
      </c>
      <c r="G110" s="237"/>
    </row>
    <row r="111" spans="1:11" ht="15" customHeight="1">
      <c r="A111" s="417"/>
      <c r="B111" s="76">
        <v>106</v>
      </c>
      <c r="C111" s="57" t="s">
        <v>205</v>
      </c>
      <c r="D111" s="116" t="s">
        <v>116</v>
      </c>
      <c r="E111" s="225" t="s">
        <v>14</v>
      </c>
      <c r="F111" s="2" t="str">
        <f t="shared" si="5"/>
        <v>Basingstoke &amp; Mid Hants AC</v>
      </c>
      <c r="G111" s="237"/>
    </row>
    <row r="112" spans="1:11" ht="15" customHeight="1">
      <c r="A112" s="417"/>
      <c r="B112" s="76">
        <v>107</v>
      </c>
      <c r="C112" s="57"/>
      <c r="D112" s="116" t="s">
        <v>116</v>
      </c>
      <c r="E112" s="225" t="s">
        <v>14</v>
      </c>
      <c r="F112" s="2" t="str">
        <f t="shared" si="5"/>
        <v>Basingstoke &amp; Mid Hants AC</v>
      </c>
      <c r="G112" s="237"/>
    </row>
    <row r="113" spans="1:7" ht="15" customHeight="1">
      <c r="A113" s="417"/>
      <c r="B113" s="76">
        <v>108</v>
      </c>
      <c r="C113" s="57"/>
      <c r="D113" s="116" t="s">
        <v>116</v>
      </c>
      <c r="E113" s="225" t="s">
        <v>14</v>
      </c>
      <c r="F113" s="2" t="str">
        <f t="shared" si="5"/>
        <v>Basingstoke &amp; Mid Hants AC</v>
      </c>
      <c r="G113" s="237"/>
    </row>
    <row r="114" spans="1:7" ht="15" customHeight="1">
      <c r="A114" s="417"/>
      <c r="B114" s="76">
        <v>109</v>
      </c>
      <c r="C114" s="57"/>
      <c r="D114" s="116" t="s">
        <v>116</v>
      </c>
      <c r="E114" s="225" t="s">
        <v>14</v>
      </c>
      <c r="F114" s="2" t="str">
        <f t="shared" si="5"/>
        <v>Basingstoke &amp; Mid Hants AC</v>
      </c>
      <c r="G114" s="237"/>
    </row>
    <row r="115" spans="1:7" ht="15" customHeight="1">
      <c r="A115" s="417"/>
      <c r="B115" s="76">
        <v>110</v>
      </c>
      <c r="C115" s="57"/>
      <c r="D115" s="116" t="s">
        <v>116</v>
      </c>
      <c r="E115" s="225" t="s">
        <v>14</v>
      </c>
      <c r="F115" s="2" t="str">
        <f t="shared" si="5"/>
        <v>Basingstoke &amp; Mid Hants AC</v>
      </c>
      <c r="G115" s="237"/>
    </row>
    <row r="116" spans="1:7" ht="15" customHeight="1">
      <c r="A116" s="417"/>
      <c r="B116" s="76">
        <v>111</v>
      </c>
      <c r="C116" s="77" t="s">
        <v>206</v>
      </c>
      <c r="D116" s="116" t="s">
        <v>116</v>
      </c>
      <c r="E116" s="226" t="s">
        <v>15</v>
      </c>
      <c r="F116" s="236" t="str">
        <f t="shared" si="5"/>
        <v>Basingstoke &amp; Mid Hants AC</v>
      </c>
      <c r="G116" s="237"/>
    </row>
    <row r="117" spans="1:7" ht="15" customHeight="1">
      <c r="A117" s="417"/>
      <c r="B117" s="76">
        <v>112</v>
      </c>
      <c r="C117" s="57" t="s">
        <v>207</v>
      </c>
      <c r="D117" s="116" t="s">
        <v>116</v>
      </c>
      <c r="E117" s="225" t="s">
        <v>15</v>
      </c>
      <c r="F117" s="2" t="str">
        <f t="shared" si="5"/>
        <v>Basingstoke &amp; Mid Hants AC</v>
      </c>
      <c r="G117" s="237"/>
    </row>
    <row r="118" spans="1:7" ht="15" customHeight="1">
      <c r="A118" s="417"/>
      <c r="B118" s="76">
        <v>113</v>
      </c>
      <c r="C118" s="57" t="s">
        <v>208</v>
      </c>
      <c r="D118" s="116" t="s">
        <v>116</v>
      </c>
      <c r="E118" s="225" t="s">
        <v>15</v>
      </c>
      <c r="F118" s="2" t="str">
        <f t="shared" si="5"/>
        <v>Basingstoke &amp; Mid Hants AC</v>
      </c>
      <c r="G118" s="237"/>
    </row>
    <row r="119" spans="1:7" ht="15" customHeight="1">
      <c r="A119" s="417"/>
      <c r="B119" s="76">
        <v>114</v>
      </c>
      <c r="C119" s="57" t="s">
        <v>209</v>
      </c>
      <c r="D119" s="116" t="s">
        <v>116</v>
      </c>
      <c r="E119" s="225" t="s">
        <v>15</v>
      </c>
      <c r="F119" s="2" t="str">
        <f t="shared" si="5"/>
        <v>Basingstoke &amp; Mid Hants AC</v>
      </c>
      <c r="G119" s="237"/>
    </row>
    <row r="120" spans="1:7" ht="15" customHeight="1">
      <c r="A120" s="417"/>
      <c r="B120" s="76">
        <v>115</v>
      </c>
      <c r="C120" s="57" t="s">
        <v>210</v>
      </c>
      <c r="D120" s="116" t="s">
        <v>116</v>
      </c>
      <c r="E120" s="225" t="s">
        <v>15</v>
      </c>
      <c r="F120" s="2" t="str">
        <f t="shared" si="5"/>
        <v>Basingstoke &amp; Mid Hants AC</v>
      </c>
      <c r="G120" s="237"/>
    </row>
    <row r="121" spans="1:7" ht="15" customHeight="1">
      <c r="A121" s="417"/>
      <c r="B121" s="76">
        <v>116</v>
      </c>
      <c r="C121" s="57" t="s">
        <v>211</v>
      </c>
      <c r="D121" s="116" t="s">
        <v>116</v>
      </c>
      <c r="E121" s="225" t="s">
        <v>15</v>
      </c>
      <c r="F121" s="2" t="str">
        <f t="shared" si="5"/>
        <v>Basingstoke &amp; Mid Hants AC</v>
      </c>
      <c r="G121" s="237"/>
    </row>
    <row r="122" spans="1:7" ht="15" customHeight="1">
      <c r="A122" s="417"/>
      <c r="B122" s="76">
        <v>117</v>
      </c>
      <c r="C122" s="57" t="s">
        <v>297</v>
      </c>
      <c r="D122" s="116" t="s">
        <v>116</v>
      </c>
      <c r="E122" s="225" t="s">
        <v>15</v>
      </c>
      <c r="F122" s="2" t="str">
        <f t="shared" si="5"/>
        <v>Basingstoke &amp; Mid Hants AC</v>
      </c>
      <c r="G122" s="237"/>
    </row>
    <row r="123" spans="1:7" ht="15" customHeight="1">
      <c r="A123" s="417"/>
      <c r="B123" s="76">
        <v>118</v>
      </c>
      <c r="C123" s="57" t="s">
        <v>212</v>
      </c>
      <c r="D123" s="116" t="s">
        <v>116</v>
      </c>
      <c r="E123" s="225" t="s">
        <v>15</v>
      </c>
      <c r="F123" s="2" t="str">
        <f t="shared" si="5"/>
        <v>Basingstoke &amp; Mid Hants AC</v>
      </c>
      <c r="G123" s="237"/>
    </row>
    <row r="124" spans="1:7" ht="15" customHeight="1">
      <c r="A124" s="417"/>
      <c r="B124" s="76">
        <v>119</v>
      </c>
      <c r="C124" s="57" t="s">
        <v>213</v>
      </c>
      <c r="D124" s="116" t="s">
        <v>116</v>
      </c>
      <c r="E124" s="225" t="s">
        <v>15</v>
      </c>
      <c r="F124" s="2" t="str">
        <f t="shared" si="5"/>
        <v>Basingstoke &amp; Mid Hants AC</v>
      </c>
      <c r="G124" s="237"/>
    </row>
    <row r="125" spans="1:7" ht="15" customHeight="1" thickBot="1">
      <c r="A125" s="418"/>
      <c r="B125" s="282">
        <v>120</v>
      </c>
      <c r="C125" s="57" t="s">
        <v>214</v>
      </c>
      <c r="D125" s="211" t="s">
        <v>116</v>
      </c>
      <c r="E125" s="225" t="s">
        <v>15</v>
      </c>
      <c r="F125" s="2" t="str">
        <f t="shared" si="5"/>
        <v>Basingstoke &amp; Mid Hants AC</v>
      </c>
      <c r="G125" s="237"/>
    </row>
    <row r="126" spans="1:7" ht="15" customHeight="1">
      <c r="A126" s="416" t="str">
        <f>'Read Me First'!C17</f>
        <v/>
      </c>
      <c r="B126" s="76">
        <v>121</v>
      </c>
      <c r="C126" s="227"/>
      <c r="D126" s="116" t="s">
        <v>116</v>
      </c>
      <c r="E126" s="228" t="s">
        <v>14</v>
      </c>
      <c r="F126" s="238" t="str">
        <f t="shared" ref="F126:F145" si="6">$A$126</f>
        <v/>
      </c>
      <c r="G126"/>
    </row>
    <row r="127" spans="1:7" ht="15" customHeight="1">
      <c r="A127" s="417"/>
      <c r="B127" s="76">
        <v>122</v>
      </c>
      <c r="C127" s="57"/>
      <c r="D127" s="116" t="s">
        <v>116</v>
      </c>
      <c r="E127" s="225" t="s">
        <v>14</v>
      </c>
      <c r="F127" s="2" t="str">
        <f t="shared" si="6"/>
        <v/>
      </c>
      <c r="G127"/>
    </row>
    <row r="128" spans="1:7" ht="15" customHeight="1">
      <c r="A128" s="417"/>
      <c r="B128" s="76">
        <v>123</v>
      </c>
      <c r="C128" s="57"/>
      <c r="D128" s="116" t="s">
        <v>116</v>
      </c>
      <c r="E128" s="225" t="s">
        <v>14</v>
      </c>
      <c r="F128" s="2" t="str">
        <f t="shared" si="6"/>
        <v/>
      </c>
      <c r="G128"/>
    </row>
    <row r="129" spans="1:7" ht="15" customHeight="1">
      <c r="A129" s="417"/>
      <c r="B129" s="76">
        <v>124</v>
      </c>
      <c r="C129" s="57"/>
      <c r="D129" s="116" t="s">
        <v>116</v>
      </c>
      <c r="E129" s="225" t="s">
        <v>14</v>
      </c>
      <c r="F129" s="2" t="str">
        <f t="shared" si="6"/>
        <v/>
      </c>
      <c r="G129"/>
    </row>
    <row r="130" spans="1:7" ht="15" customHeight="1">
      <c r="A130" s="417"/>
      <c r="B130" s="76">
        <v>125</v>
      </c>
      <c r="C130" s="57"/>
      <c r="D130" s="116" t="s">
        <v>116</v>
      </c>
      <c r="E130" s="225" t="s">
        <v>14</v>
      </c>
      <c r="F130" s="2" t="str">
        <f t="shared" si="6"/>
        <v/>
      </c>
      <c r="G130"/>
    </row>
    <row r="131" spans="1:7" ht="15" customHeight="1">
      <c r="A131" s="417"/>
      <c r="B131" s="76">
        <v>126</v>
      </c>
      <c r="C131" s="57"/>
      <c r="D131" s="116" t="s">
        <v>116</v>
      </c>
      <c r="E131" s="225" t="s">
        <v>14</v>
      </c>
      <c r="F131" s="2" t="str">
        <f t="shared" si="6"/>
        <v/>
      </c>
      <c r="G131"/>
    </row>
    <row r="132" spans="1:7" ht="15" customHeight="1">
      <c r="A132" s="417"/>
      <c r="B132" s="76">
        <v>127</v>
      </c>
      <c r="C132" s="57"/>
      <c r="D132" s="116" t="s">
        <v>116</v>
      </c>
      <c r="E132" s="225" t="s">
        <v>14</v>
      </c>
      <c r="F132" s="2" t="str">
        <f t="shared" si="6"/>
        <v/>
      </c>
      <c r="G132"/>
    </row>
    <row r="133" spans="1:7" ht="15" customHeight="1">
      <c r="A133" s="417"/>
      <c r="B133" s="76">
        <v>128</v>
      </c>
      <c r="C133" s="57"/>
      <c r="D133" s="116" t="s">
        <v>116</v>
      </c>
      <c r="E133" s="225" t="s">
        <v>14</v>
      </c>
      <c r="F133" s="2" t="str">
        <f t="shared" si="6"/>
        <v/>
      </c>
      <c r="G133"/>
    </row>
    <row r="134" spans="1:7" ht="15" customHeight="1">
      <c r="A134" s="417"/>
      <c r="B134" s="76">
        <v>129</v>
      </c>
      <c r="C134" s="57"/>
      <c r="D134" s="116" t="s">
        <v>116</v>
      </c>
      <c r="E134" s="225" t="s">
        <v>14</v>
      </c>
      <c r="F134" s="2" t="str">
        <f t="shared" si="6"/>
        <v/>
      </c>
      <c r="G134"/>
    </row>
    <row r="135" spans="1:7" ht="15" customHeight="1">
      <c r="A135" s="417"/>
      <c r="B135" s="76">
        <v>130</v>
      </c>
      <c r="C135" s="57"/>
      <c r="D135" s="116" t="s">
        <v>116</v>
      </c>
      <c r="E135" s="225" t="s">
        <v>14</v>
      </c>
      <c r="F135" s="2" t="str">
        <f t="shared" si="6"/>
        <v/>
      </c>
      <c r="G135"/>
    </row>
    <row r="136" spans="1:7" ht="15" customHeight="1">
      <c r="A136" s="417"/>
      <c r="B136" s="76">
        <v>131</v>
      </c>
      <c r="C136" s="77"/>
      <c r="D136" s="116" t="s">
        <v>116</v>
      </c>
      <c r="E136" s="226" t="s">
        <v>15</v>
      </c>
      <c r="F136" s="236" t="str">
        <f t="shared" si="6"/>
        <v/>
      </c>
      <c r="G136"/>
    </row>
    <row r="137" spans="1:7" ht="15" customHeight="1">
      <c r="A137" s="417"/>
      <c r="B137" s="76">
        <v>132</v>
      </c>
      <c r="C137" s="57"/>
      <c r="D137" s="116" t="s">
        <v>116</v>
      </c>
      <c r="E137" s="225" t="s">
        <v>15</v>
      </c>
      <c r="F137" s="2" t="str">
        <f t="shared" si="6"/>
        <v/>
      </c>
      <c r="G137"/>
    </row>
    <row r="138" spans="1:7" ht="15" customHeight="1">
      <c r="A138" s="417"/>
      <c r="B138" s="76">
        <v>133</v>
      </c>
      <c r="C138" s="57"/>
      <c r="D138" s="116" t="s">
        <v>116</v>
      </c>
      <c r="E138" s="225" t="s">
        <v>15</v>
      </c>
      <c r="F138" s="2" t="str">
        <f t="shared" si="6"/>
        <v/>
      </c>
      <c r="G138"/>
    </row>
    <row r="139" spans="1:7" ht="15" customHeight="1">
      <c r="A139" s="417"/>
      <c r="B139" s="76">
        <v>134</v>
      </c>
      <c r="C139" s="57"/>
      <c r="D139" s="116" t="s">
        <v>116</v>
      </c>
      <c r="E139" s="225" t="s">
        <v>15</v>
      </c>
      <c r="F139" s="2" t="str">
        <f t="shared" si="6"/>
        <v/>
      </c>
      <c r="G139"/>
    </row>
    <row r="140" spans="1:7" ht="15" customHeight="1">
      <c r="A140" s="417"/>
      <c r="B140" s="76">
        <v>135</v>
      </c>
      <c r="C140" s="57"/>
      <c r="D140" s="116" t="s">
        <v>116</v>
      </c>
      <c r="E140" s="225" t="s">
        <v>15</v>
      </c>
      <c r="F140" s="2" t="str">
        <f t="shared" si="6"/>
        <v/>
      </c>
      <c r="G140"/>
    </row>
    <row r="141" spans="1:7" ht="15" customHeight="1">
      <c r="A141" s="417"/>
      <c r="B141" s="76">
        <v>136</v>
      </c>
      <c r="C141" s="57"/>
      <c r="D141" s="116" t="s">
        <v>116</v>
      </c>
      <c r="E141" s="225" t="s">
        <v>15</v>
      </c>
      <c r="F141" s="2" t="str">
        <f t="shared" si="6"/>
        <v/>
      </c>
      <c r="G141"/>
    </row>
    <row r="142" spans="1:7" ht="15" customHeight="1">
      <c r="A142" s="417"/>
      <c r="B142" s="76">
        <v>137</v>
      </c>
      <c r="C142" s="57"/>
      <c r="D142" s="116" t="s">
        <v>116</v>
      </c>
      <c r="E142" s="225" t="s">
        <v>15</v>
      </c>
      <c r="F142" s="2" t="str">
        <f t="shared" si="6"/>
        <v/>
      </c>
      <c r="G142"/>
    </row>
    <row r="143" spans="1:7" ht="15" customHeight="1">
      <c r="A143" s="417"/>
      <c r="B143" s="76">
        <v>138</v>
      </c>
      <c r="C143" s="57"/>
      <c r="D143" s="116" t="s">
        <v>116</v>
      </c>
      <c r="E143" s="225" t="s">
        <v>15</v>
      </c>
      <c r="F143" s="2" t="str">
        <f t="shared" si="6"/>
        <v/>
      </c>
      <c r="G143"/>
    </row>
    <row r="144" spans="1:7" ht="15" customHeight="1">
      <c r="A144" s="417"/>
      <c r="B144" s="76">
        <v>139</v>
      </c>
      <c r="C144" s="57"/>
      <c r="D144" s="116" t="s">
        <v>116</v>
      </c>
      <c r="E144" s="225" t="s">
        <v>15</v>
      </c>
      <c r="F144" s="2" t="str">
        <f t="shared" si="6"/>
        <v/>
      </c>
      <c r="G144"/>
    </row>
    <row r="145" spans="1:7" ht="15" customHeight="1" thickBot="1">
      <c r="A145" s="418"/>
      <c r="B145" s="282">
        <v>140</v>
      </c>
      <c r="C145" s="57"/>
      <c r="D145" s="211" t="s">
        <v>116</v>
      </c>
      <c r="E145" s="225" t="s">
        <v>15</v>
      </c>
      <c r="F145" s="2" t="str">
        <f t="shared" si="6"/>
        <v/>
      </c>
      <c r="G145"/>
    </row>
    <row r="146" spans="1:7" ht="1.05" hidden="1" customHeight="1">
      <c r="A146" s="416" t="str">
        <f>'Read Me First'!C18</f>
        <v/>
      </c>
      <c r="B146" s="76"/>
      <c r="C146" s="227"/>
      <c r="D146" s="116" t="s">
        <v>116</v>
      </c>
      <c r="E146" s="228" t="s">
        <v>14</v>
      </c>
      <c r="F146" s="238" t="str">
        <f t="shared" ref="F146:F165" si="7">$A$146</f>
        <v/>
      </c>
      <c r="G146"/>
    </row>
    <row r="147" spans="1:7" ht="15" hidden="1" customHeight="1">
      <c r="A147" s="417"/>
      <c r="B147" s="76"/>
      <c r="C147" s="57"/>
      <c r="D147" s="116" t="s">
        <v>116</v>
      </c>
      <c r="E147" s="225" t="s">
        <v>14</v>
      </c>
      <c r="F147" s="2" t="str">
        <f t="shared" si="7"/>
        <v/>
      </c>
      <c r="G147"/>
    </row>
    <row r="148" spans="1:7" ht="1.05" hidden="1" customHeight="1">
      <c r="A148" s="417"/>
      <c r="B148" s="76"/>
      <c r="C148" s="57"/>
      <c r="D148" s="116" t="s">
        <v>116</v>
      </c>
      <c r="E148" s="225" t="s">
        <v>14</v>
      </c>
      <c r="F148" s="2" t="str">
        <f t="shared" si="7"/>
        <v/>
      </c>
      <c r="G148"/>
    </row>
    <row r="149" spans="1:7" ht="1.05" hidden="1" customHeight="1">
      <c r="A149" s="417"/>
      <c r="B149" s="76"/>
      <c r="C149" s="57"/>
      <c r="D149" s="116" t="s">
        <v>116</v>
      </c>
      <c r="E149" s="225" t="s">
        <v>14</v>
      </c>
      <c r="F149" s="2" t="str">
        <f t="shared" si="7"/>
        <v/>
      </c>
      <c r="G149"/>
    </row>
    <row r="150" spans="1:7" ht="1.05" hidden="1" customHeight="1">
      <c r="A150" s="417"/>
      <c r="B150" s="76"/>
      <c r="C150" s="57"/>
      <c r="D150" s="116" t="s">
        <v>116</v>
      </c>
      <c r="E150" s="225" t="s">
        <v>14</v>
      </c>
      <c r="F150" s="2" t="str">
        <f t="shared" si="7"/>
        <v/>
      </c>
      <c r="G150"/>
    </row>
    <row r="151" spans="1:7" ht="1.05" hidden="1" customHeight="1">
      <c r="A151" s="417"/>
      <c r="B151" s="76"/>
      <c r="C151" s="57"/>
      <c r="D151" s="116" t="s">
        <v>116</v>
      </c>
      <c r="E151" s="225" t="s">
        <v>14</v>
      </c>
      <c r="F151" s="2" t="str">
        <f t="shared" si="7"/>
        <v/>
      </c>
      <c r="G151"/>
    </row>
    <row r="152" spans="1:7" ht="1.05" hidden="1" customHeight="1">
      <c r="A152" s="417"/>
      <c r="B152" s="76"/>
      <c r="C152" s="57"/>
      <c r="D152" s="116" t="s">
        <v>116</v>
      </c>
      <c r="E152" s="225" t="s">
        <v>14</v>
      </c>
      <c r="F152" s="2" t="str">
        <f t="shared" si="7"/>
        <v/>
      </c>
      <c r="G152"/>
    </row>
    <row r="153" spans="1:7" ht="1.05" hidden="1" customHeight="1">
      <c r="A153" s="417"/>
      <c r="B153" s="76"/>
      <c r="C153" s="57"/>
      <c r="D153" s="116" t="s">
        <v>116</v>
      </c>
      <c r="E153" s="225" t="s">
        <v>14</v>
      </c>
      <c r="F153" s="2" t="str">
        <f t="shared" si="7"/>
        <v/>
      </c>
      <c r="G153"/>
    </row>
    <row r="154" spans="1:7" ht="1.05" hidden="1" customHeight="1">
      <c r="A154" s="417"/>
      <c r="B154" s="76"/>
      <c r="C154" s="57"/>
      <c r="D154" s="116" t="s">
        <v>116</v>
      </c>
      <c r="E154" s="225" t="s">
        <v>14</v>
      </c>
      <c r="F154" s="2" t="str">
        <f t="shared" si="7"/>
        <v/>
      </c>
      <c r="G154"/>
    </row>
    <row r="155" spans="1:7" ht="1.05" hidden="1" customHeight="1">
      <c r="A155" s="417"/>
      <c r="B155" s="76"/>
      <c r="C155" s="57"/>
      <c r="D155" s="116" t="s">
        <v>116</v>
      </c>
      <c r="E155" s="225" t="s">
        <v>14</v>
      </c>
      <c r="F155" s="2" t="str">
        <f t="shared" si="7"/>
        <v/>
      </c>
      <c r="G155"/>
    </row>
    <row r="156" spans="1:7" ht="1.05" hidden="1" customHeight="1">
      <c r="A156" s="417"/>
      <c r="B156" s="76"/>
      <c r="C156" s="77"/>
      <c r="D156" s="116" t="s">
        <v>116</v>
      </c>
      <c r="E156" s="226" t="s">
        <v>15</v>
      </c>
      <c r="F156" s="236" t="str">
        <f t="shared" si="7"/>
        <v/>
      </c>
      <c r="G156"/>
    </row>
    <row r="157" spans="1:7" ht="1.05" hidden="1" customHeight="1">
      <c r="A157" s="417"/>
      <c r="B157" s="76"/>
      <c r="C157" s="57"/>
      <c r="D157" s="116" t="s">
        <v>116</v>
      </c>
      <c r="E157" s="225" t="s">
        <v>15</v>
      </c>
      <c r="F157" s="2" t="str">
        <f t="shared" si="7"/>
        <v/>
      </c>
      <c r="G157"/>
    </row>
    <row r="158" spans="1:7" ht="1.05" hidden="1" customHeight="1">
      <c r="A158" s="417"/>
      <c r="B158" s="76"/>
      <c r="C158" s="57"/>
      <c r="D158" s="116" t="s">
        <v>116</v>
      </c>
      <c r="E158" s="225" t="s">
        <v>15</v>
      </c>
      <c r="F158" s="2" t="str">
        <f t="shared" si="7"/>
        <v/>
      </c>
      <c r="G158"/>
    </row>
    <row r="159" spans="1:7" ht="4.95" hidden="1" customHeight="1">
      <c r="A159" s="417"/>
      <c r="B159" s="76"/>
      <c r="C159" s="57"/>
      <c r="D159" s="116" t="s">
        <v>116</v>
      </c>
      <c r="E159" s="225" t="s">
        <v>15</v>
      </c>
      <c r="F159" s="2" t="str">
        <f t="shared" si="7"/>
        <v/>
      </c>
      <c r="G159"/>
    </row>
    <row r="160" spans="1:7" ht="1.05" hidden="1" customHeight="1">
      <c r="A160" s="417"/>
      <c r="B160" s="76"/>
      <c r="C160" s="57"/>
      <c r="D160" s="116" t="s">
        <v>116</v>
      </c>
      <c r="E160" s="225" t="s">
        <v>15</v>
      </c>
      <c r="F160" s="2" t="str">
        <f t="shared" si="7"/>
        <v/>
      </c>
      <c r="G160"/>
    </row>
    <row r="161" spans="1:7" ht="1.05" hidden="1" customHeight="1">
      <c r="A161" s="417"/>
      <c r="B161" s="76"/>
      <c r="C161" s="57"/>
      <c r="D161" s="116" t="s">
        <v>116</v>
      </c>
      <c r="E161" s="225" t="s">
        <v>15</v>
      </c>
      <c r="F161" s="2" t="str">
        <f t="shared" si="7"/>
        <v/>
      </c>
      <c r="G161"/>
    </row>
    <row r="162" spans="1:7" ht="10.050000000000001" hidden="1" customHeight="1">
      <c r="A162" s="417"/>
      <c r="B162" s="76"/>
      <c r="C162" s="57"/>
      <c r="D162" s="116" t="s">
        <v>116</v>
      </c>
      <c r="E162" s="225" t="s">
        <v>15</v>
      </c>
      <c r="F162" s="2" t="str">
        <f t="shared" si="7"/>
        <v/>
      </c>
      <c r="G162"/>
    </row>
    <row r="163" spans="1:7" ht="1.05" hidden="1" customHeight="1">
      <c r="A163" s="417"/>
      <c r="B163" s="76"/>
      <c r="C163" s="57"/>
      <c r="D163" s="116" t="s">
        <v>116</v>
      </c>
      <c r="E163" s="225" t="s">
        <v>15</v>
      </c>
      <c r="F163" s="2" t="str">
        <f t="shared" si="7"/>
        <v/>
      </c>
      <c r="G163"/>
    </row>
    <row r="164" spans="1:7" ht="4.95" hidden="1" customHeight="1">
      <c r="A164" s="417"/>
      <c r="B164" s="76"/>
      <c r="C164" s="57"/>
      <c r="D164" s="116" t="s">
        <v>116</v>
      </c>
      <c r="E164" s="225" t="s">
        <v>15</v>
      </c>
      <c r="F164" s="2" t="str">
        <f t="shared" si="7"/>
        <v/>
      </c>
      <c r="G164"/>
    </row>
    <row r="165" spans="1:7" ht="1.05" hidden="1" customHeight="1" thickBot="1">
      <c r="A165" s="418"/>
      <c r="B165" s="282"/>
      <c r="C165" s="57"/>
      <c r="D165" s="211" t="s">
        <v>116</v>
      </c>
      <c r="E165" s="225" t="s">
        <v>15</v>
      </c>
      <c r="F165" s="2" t="str">
        <f t="shared" si="7"/>
        <v/>
      </c>
      <c r="G165"/>
    </row>
    <row r="166" spans="1:7" ht="15" hidden="1" customHeight="1">
      <c r="A166" s="416" t="str">
        <f>'Read Me First'!C19</f>
        <v/>
      </c>
      <c r="B166" s="76"/>
      <c r="C166" s="229"/>
      <c r="D166" s="116" t="s">
        <v>116</v>
      </c>
      <c r="E166" s="228" t="s">
        <v>14</v>
      </c>
      <c r="F166" s="238" t="str">
        <f t="shared" ref="F166:F185" si="8">$A$166</f>
        <v/>
      </c>
      <c r="G166"/>
    </row>
    <row r="167" spans="1:7" ht="15" hidden="1" customHeight="1">
      <c r="A167" s="417"/>
      <c r="B167" s="76"/>
      <c r="C167" s="158"/>
      <c r="D167" s="116" t="s">
        <v>116</v>
      </c>
      <c r="E167" s="225" t="s">
        <v>14</v>
      </c>
      <c r="F167" s="2" t="str">
        <f t="shared" si="8"/>
        <v/>
      </c>
      <c r="G167"/>
    </row>
    <row r="168" spans="1:7" ht="15" hidden="1" customHeight="1">
      <c r="A168" s="417"/>
      <c r="B168" s="76"/>
      <c r="C168" s="158"/>
      <c r="D168" s="116" t="s">
        <v>116</v>
      </c>
      <c r="E168" s="225" t="s">
        <v>14</v>
      </c>
      <c r="F168" s="2" t="str">
        <f t="shared" si="8"/>
        <v/>
      </c>
      <c r="G168"/>
    </row>
    <row r="169" spans="1:7" ht="15" hidden="1" customHeight="1">
      <c r="A169" s="417"/>
      <c r="B169" s="76"/>
      <c r="C169" s="57"/>
      <c r="D169" s="116" t="s">
        <v>116</v>
      </c>
      <c r="E169" s="225" t="s">
        <v>14</v>
      </c>
      <c r="F169" s="2" t="str">
        <f t="shared" si="8"/>
        <v/>
      </c>
      <c r="G169"/>
    </row>
    <row r="170" spans="1:7" ht="15" hidden="1" customHeight="1">
      <c r="A170" s="417"/>
      <c r="B170" s="76"/>
      <c r="C170" s="57"/>
      <c r="D170" s="116" t="s">
        <v>116</v>
      </c>
      <c r="E170" s="225" t="s">
        <v>14</v>
      </c>
      <c r="F170" s="2" t="str">
        <f t="shared" si="8"/>
        <v/>
      </c>
      <c r="G170"/>
    </row>
    <row r="171" spans="1:7" ht="15" hidden="1" customHeight="1">
      <c r="A171" s="417"/>
      <c r="B171" s="76"/>
      <c r="C171" s="57"/>
      <c r="D171" s="116" t="s">
        <v>116</v>
      </c>
      <c r="E171" s="225" t="s">
        <v>14</v>
      </c>
      <c r="F171" s="2" t="str">
        <f t="shared" si="8"/>
        <v/>
      </c>
      <c r="G171"/>
    </row>
    <row r="172" spans="1:7" ht="15" hidden="1" customHeight="1">
      <c r="A172" s="417"/>
      <c r="B172" s="76"/>
      <c r="C172" s="57"/>
      <c r="D172" s="116" t="s">
        <v>116</v>
      </c>
      <c r="E172" s="225" t="s">
        <v>14</v>
      </c>
      <c r="F172" s="2" t="str">
        <f t="shared" si="8"/>
        <v/>
      </c>
      <c r="G172"/>
    </row>
    <row r="173" spans="1:7" ht="15" hidden="1" customHeight="1">
      <c r="A173" s="417"/>
      <c r="B173" s="76"/>
      <c r="C173" s="57"/>
      <c r="D173" s="116" t="s">
        <v>116</v>
      </c>
      <c r="E173" s="225" t="s">
        <v>14</v>
      </c>
      <c r="F173" s="2" t="str">
        <f t="shared" si="8"/>
        <v/>
      </c>
      <c r="G173"/>
    </row>
    <row r="174" spans="1:7" ht="15" hidden="1" customHeight="1">
      <c r="A174" s="417"/>
      <c r="B174" s="76"/>
      <c r="C174" s="57"/>
      <c r="D174" s="116" t="s">
        <v>116</v>
      </c>
      <c r="E174" s="225" t="s">
        <v>14</v>
      </c>
      <c r="F174" s="2" t="str">
        <f t="shared" si="8"/>
        <v/>
      </c>
      <c r="G174"/>
    </row>
    <row r="175" spans="1:7" ht="15" hidden="1" customHeight="1">
      <c r="A175" s="417"/>
      <c r="B175" s="76"/>
      <c r="C175" s="57"/>
      <c r="D175" s="116" t="s">
        <v>116</v>
      </c>
      <c r="E175" s="225" t="s">
        <v>14</v>
      </c>
      <c r="F175" s="2" t="str">
        <f t="shared" si="8"/>
        <v/>
      </c>
      <c r="G175"/>
    </row>
    <row r="176" spans="1:7" ht="15" hidden="1" customHeight="1">
      <c r="A176" s="417"/>
      <c r="B176" s="76"/>
      <c r="C176" s="77"/>
      <c r="D176" s="116" t="s">
        <v>116</v>
      </c>
      <c r="E176" s="226" t="s">
        <v>15</v>
      </c>
      <c r="F176" s="236" t="str">
        <f t="shared" si="8"/>
        <v/>
      </c>
      <c r="G176" s="239"/>
    </row>
    <row r="177" spans="1:7" ht="15" hidden="1" customHeight="1">
      <c r="A177" s="417"/>
      <c r="B177" s="76"/>
      <c r="C177" s="57"/>
      <c r="D177" s="116" t="s">
        <v>116</v>
      </c>
      <c r="E177" s="225" t="s">
        <v>15</v>
      </c>
      <c r="F177" s="2" t="str">
        <f t="shared" si="8"/>
        <v/>
      </c>
      <c r="G177"/>
    </row>
    <row r="178" spans="1:7" ht="15" hidden="1" customHeight="1">
      <c r="A178" s="417"/>
      <c r="B178" s="76"/>
      <c r="C178" s="57"/>
      <c r="D178" s="116" t="s">
        <v>116</v>
      </c>
      <c r="E178" s="225" t="s">
        <v>15</v>
      </c>
      <c r="F178" s="2" t="str">
        <f t="shared" si="8"/>
        <v/>
      </c>
      <c r="G178"/>
    </row>
    <row r="179" spans="1:7" ht="15" hidden="1" customHeight="1">
      <c r="A179" s="417"/>
      <c r="B179" s="76"/>
      <c r="C179" s="57"/>
      <c r="D179" s="116" t="s">
        <v>116</v>
      </c>
      <c r="E179" s="225" t="s">
        <v>15</v>
      </c>
      <c r="F179" s="2" t="str">
        <f t="shared" si="8"/>
        <v/>
      </c>
      <c r="G179"/>
    </row>
    <row r="180" spans="1:7" ht="15" hidden="1" customHeight="1">
      <c r="A180" s="417"/>
      <c r="B180" s="76"/>
      <c r="C180" s="57"/>
      <c r="D180" s="116" t="s">
        <v>116</v>
      </c>
      <c r="E180" s="225" t="s">
        <v>15</v>
      </c>
      <c r="F180" s="2" t="str">
        <f t="shared" si="8"/>
        <v/>
      </c>
      <c r="G180"/>
    </row>
    <row r="181" spans="1:7" ht="15" hidden="1" customHeight="1">
      <c r="A181" s="417"/>
      <c r="B181" s="76"/>
      <c r="C181" s="57"/>
      <c r="D181" s="116" t="s">
        <v>116</v>
      </c>
      <c r="E181" s="225" t="s">
        <v>15</v>
      </c>
      <c r="F181" s="2" t="str">
        <f t="shared" si="8"/>
        <v/>
      </c>
      <c r="G181"/>
    </row>
    <row r="182" spans="1:7" ht="15" hidden="1" customHeight="1">
      <c r="A182" s="417"/>
      <c r="B182" s="76"/>
      <c r="C182" s="57"/>
      <c r="D182" s="116" t="s">
        <v>116</v>
      </c>
      <c r="E182" s="225" t="s">
        <v>15</v>
      </c>
      <c r="F182" s="2" t="str">
        <f t="shared" si="8"/>
        <v/>
      </c>
      <c r="G182"/>
    </row>
    <row r="183" spans="1:7" ht="15" hidden="1" customHeight="1">
      <c r="A183" s="417"/>
      <c r="B183" s="76"/>
      <c r="C183" s="57"/>
      <c r="D183" s="116" t="s">
        <v>116</v>
      </c>
      <c r="E183" s="225" t="s">
        <v>15</v>
      </c>
      <c r="F183" s="2" t="str">
        <f t="shared" si="8"/>
        <v/>
      </c>
      <c r="G183"/>
    </row>
    <row r="184" spans="1:7" ht="15" hidden="1" customHeight="1">
      <c r="A184" s="417"/>
      <c r="B184" s="76"/>
      <c r="C184" s="57"/>
      <c r="D184" s="116" t="s">
        <v>116</v>
      </c>
      <c r="E184" s="225" t="s">
        <v>15</v>
      </c>
      <c r="F184" s="2" t="str">
        <f t="shared" si="8"/>
        <v/>
      </c>
      <c r="G184"/>
    </row>
    <row r="185" spans="1:7" ht="15" hidden="1" customHeight="1">
      <c r="A185" s="417"/>
      <c r="B185" s="76"/>
      <c r="C185" s="57"/>
      <c r="D185" s="116" t="s">
        <v>116</v>
      </c>
      <c r="E185" s="225" t="s">
        <v>15</v>
      </c>
      <c r="F185" s="2" t="str">
        <f t="shared" si="8"/>
        <v/>
      </c>
      <c r="G185"/>
    </row>
    <row r="186" spans="1:7">
      <c r="A186" s="16"/>
      <c r="B186" s="240"/>
      <c r="C186" s="1"/>
      <c r="D186" s="1"/>
      <c r="E186" s="240"/>
      <c r="G186"/>
    </row>
    <row r="187" spans="1:7">
      <c r="A187" s="16"/>
      <c r="B187" s="240"/>
      <c r="C187" s="1"/>
      <c r="D187" s="1"/>
      <c r="E187" s="240"/>
      <c r="G187"/>
    </row>
    <row r="188" spans="1:7">
      <c r="A188" s="16"/>
      <c r="B188" s="240"/>
      <c r="C188" s="1"/>
      <c r="D188" s="1"/>
      <c r="E188" s="240"/>
      <c r="G188"/>
    </row>
    <row r="189" spans="1:7">
      <c r="A189" s="16"/>
      <c r="B189" s="240"/>
      <c r="C189" s="1"/>
      <c r="D189" s="1"/>
      <c r="E189" s="240"/>
      <c r="G189"/>
    </row>
    <row r="190" spans="1:7">
      <c r="A190" s="16"/>
      <c r="B190" s="240"/>
      <c r="C190" s="1"/>
      <c r="D190" s="1"/>
      <c r="E190" s="240"/>
      <c r="G190"/>
    </row>
    <row r="191" spans="1:7">
      <c r="A191" s="16"/>
      <c r="B191" s="240"/>
      <c r="C191" s="1"/>
      <c r="D191" s="1"/>
      <c r="E191" s="240"/>
      <c r="G191"/>
    </row>
    <row r="192" spans="1:7">
      <c r="A192" s="16"/>
      <c r="B192" s="240"/>
      <c r="C192" s="1"/>
      <c r="D192" s="1"/>
      <c r="E192" s="240"/>
      <c r="G192"/>
    </row>
    <row r="193" spans="1:7">
      <c r="A193" s="16"/>
      <c r="B193" s="240"/>
      <c r="C193" s="1"/>
      <c r="D193" s="1"/>
      <c r="E193" s="240"/>
      <c r="G193"/>
    </row>
    <row r="194" spans="1:7">
      <c r="A194" s="16"/>
      <c r="B194" s="240"/>
      <c r="C194" s="1"/>
      <c r="D194" s="1"/>
      <c r="E194" s="240"/>
      <c r="G194"/>
    </row>
    <row r="195" spans="1:7">
      <c r="A195" s="16"/>
      <c r="B195" s="240"/>
      <c r="C195" s="1"/>
      <c r="D195" s="1"/>
      <c r="E195" s="240"/>
      <c r="G195"/>
    </row>
    <row r="196" spans="1:7">
      <c r="A196" s="16"/>
      <c r="B196" s="240"/>
      <c r="C196" s="1"/>
      <c r="D196" s="1"/>
      <c r="E196" s="240"/>
      <c r="G196"/>
    </row>
    <row r="197" spans="1:7">
      <c r="A197" s="16"/>
      <c r="B197" s="240"/>
      <c r="C197" s="1"/>
      <c r="D197" s="1"/>
      <c r="E197" s="240"/>
      <c r="G197"/>
    </row>
    <row r="198" spans="1:7">
      <c r="A198" s="16"/>
      <c r="B198" s="240"/>
      <c r="C198" s="1"/>
      <c r="D198" s="1"/>
      <c r="E198" s="240"/>
      <c r="G198"/>
    </row>
    <row r="199" spans="1:7">
      <c r="A199" s="16"/>
      <c r="B199" s="240"/>
      <c r="C199" s="1"/>
      <c r="D199" s="1"/>
      <c r="E199" s="240"/>
      <c r="G199"/>
    </row>
    <row r="200" spans="1:7">
      <c r="A200" s="16"/>
      <c r="B200" s="240"/>
      <c r="C200" s="1"/>
      <c r="D200" s="1"/>
      <c r="E200" s="240"/>
      <c r="G200"/>
    </row>
    <row r="201" spans="1:7">
      <c r="A201" s="16"/>
      <c r="B201" s="240"/>
      <c r="C201" s="1"/>
      <c r="D201" s="1"/>
      <c r="E201" s="240"/>
      <c r="G201"/>
    </row>
    <row r="202" spans="1:7">
      <c r="A202" s="16"/>
      <c r="B202" s="240"/>
      <c r="C202" s="1"/>
      <c r="D202" s="1"/>
      <c r="E202" s="240"/>
      <c r="G202"/>
    </row>
    <row r="203" spans="1:7">
      <c r="A203" s="16"/>
      <c r="B203" s="240"/>
      <c r="C203" s="1"/>
      <c r="D203" s="1"/>
      <c r="E203" s="240"/>
      <c r="G203"/>
    </row>
    <row r="204" spans="1:7">
      <c r="A204" s="16"/>
      <c r="B204" s="240"/>
      <c r="C204" s="1"/>
      <c r="D204" s="1"/>
      <c r="E204" s="240"/>
      <c r="G204"/>
    </row>
    <row r="205" spans="1:7">
      <c r="A205" s="16"/>
      <c r="B205" s="240"/>
      <c r="C205" s="1"/>
      <c r="D205" s="1"/>
      <c r="E205" s="240"/>
      <c r="G205"/>
    </row>
    <row r="206" spans="1:7">
      <c r="A206" s="16"/>
      <c r="B206" s="240"/>
      <c r="C206" s="1"/>
      <c r="D206" s="1"/>
      <c r="E206" s="240"/>
      <c r="G206"/>
    </row>
    <row r="207" spans="1:7">
      <c r="A207" s="16"/>
      <c r="B207" s="240"/>
      <c r="C207" s="1"/>
      <c r="D207" s="1"/>
      <c r="E207" s="240"/>
      <c r="G207"/>
    </row>
    <row r="208" spans="1:7">
      <c r="A208" s="16"/>
      <c r="B208" s="240"/>
      <c r="C208" s="1"/>
      <c r="D208" s="1"/>
      <c r="E208" s="240"/>
      <c r="G208"/>
    </row>
    <row r="209" spans="1:7">
      <c r="A209" s="16"/>
      <c r="B209" s="240"/>
      <c r="C209" s="1"/>
      <c r="D209" s="1"/>
      <c r="E209" s="240"/>
      <c r="G209"/>
    </row>
    <row r="210" spans="1:7">
      <c r="A210" s="16"/>
      <c r="B210" s="240"/>
      <c r="C210" s="1"/>
      <c r="D210" s="1"/>
      <c r="E210" s="240"/>
      <c r="G210"/>
    </row>
    <row r="211" spans="1:7">
      <c r="A211" s="16"/>
      <c r="B211" s="240"/>
      <c r="C211" s="1"/>
      <c r="D211" s="1"/>
      <c r="E211" s="240"/>
      <c r="G211"/>
    </row>
    <row r="212" spans="1:7">
      <c r="A212" s="16"/>
      <c r="B212" s="240"/>
      <c r="C212" s="1"/>
      <c r="D212" s="1"/>
      <c r="E212" s="240"/>
      <c r="G212"/>
    </row>
    <row r="213" spans="1:7">
      <c r="A213" s="16"/>
      <c r="B213" s="240"/>
      <c r="C213" s="1"/>
      <c r="D213" s="1"/>
      <c r="E213" s="240"/>
      <c r="G213"/>
    </row>
    <row r="214" spans="1:7">
      <c r="A214" s="16"/>
      <c r="B214" s="240"/>
      <c r="C214" s="1"/>
      <c r="D214" s="1"/>
      <c r="E214" s="240"/>
      <c r="G214"/>
    </row>
    <row r="215" spans="1:7">
      <c r="A215" s="16"/>
      <c r="B215" s="240"/>
      <c r="C215" s="1"/>
      <c r="D215" s="1"/>
      <c r="E215" s="240"/>
      <c r="G215"/>
    </row>
    <row r="216" spans="1:7">
      <c r="A216" s="16"/>
      <c r="B216" s="240"/>
      <c r="C216" s="1"/>
      <c r="D216" s="1"/>
      <c r="E216" s="240"/>
      <c r="G216"/>
    </row>
    <row r="217" spans="1:7">
      <c r="A217" s="16"/>
      <c r="B217" s="240"/>
      <c r="C217" s="1"/>
      <c r="D217" s="1"/>
      <c r="E217" s="240"/>
      <c r="G217"/>
    </row>
    <row r="218" spans="1:7">
      <c r="A218" s="16"/>
      <c r="B218" s="240"/>
      <c r="C218" s="1"/>
      <c r="D218" s="1"/>
      <c r="E218" s="240"/>
      <c r="G218"/>
    </row>
    <row r="219" spans="1:7">
      <c r="A219" s="16"/>
      <c r="B219" s="240"/>
      <c r="C219" s="1"/>
      <c r="D219" s="1"/>
      <c r="E219" s="240"/>
      <c r="G219"/>
    </row>
    <row r="220" spans="1:7">
      <c r="A220" s="16"/>
      <c r="B220" s="240"/>
      <c r="C220" s="1"/>
      <c r="D220" s="1"/>
      <c r="E220" s="240"/>
      <c r="G220"/>
    </row>
    <row r="221" spans="1:7">
      <c r="A221" s="16"/>
      <c r="B221" s="240"/>
      <c r="C221" s="1"/>
      <c r="D221" s="1"/>
      <c r="E221" s="240"/>
      <c r="G221"/>
    </row>
    <row r="222" spans="1:7">
      <c r="A222" s="16"/>
      <c r="B222" s="240"/>
      <c r="C222" s="1"/>
      <c r="D222" s="1"/>
      <c r="E222" s="240"/>
      <c r="G222"/>
    </row>
    <row r="223" spans="1:7">
      <c r="A223" s="16"/>
      <c r="B223" s="240"/>
      <c r="C223" s="1"/>
      <c r="D223" s="1"/>
      <c r="E223" s="240"/>
      <c r="G223"/>
    </row>
    <row r="224" spans="1:7">
      <c r="A224" s="16"/>
      <c r="B224" s="240"/>
      <c r="C224" s="1"/>
      <c r="D224" s="1"/>
      <c r="E224" s="240"/>
      <c r="G224"/>
    </row>
    <row r="225" spans="1:7">
      <c r="A225" s="16"/>
      <c r="B225" s="240"/>
      <c r="C225" s="1"/>
      <c r="D225" s="1"/>
      <c r="E225" s="240"/>
      <c r="G225"/>
    </row>
    <row r="226" spans="1:7">
      <c r="A226" s="16"/>
      <c r="B226" s="240"/>
      <c r="C226" s="1"/>
      <c r="D226" s="1"/>
      <c r="E226" s="240"/>
      <c r="G226"/>
    </row>
    <row r="227" spans="1:7">
      <c r="A227" s="16"/>
      <c r="B227" s="240"/>
      <c r="C227" s="1"/>
      <c r="D227" s="1"/>
      <c r="E227" s="240"/>
      <c r="G227"/>
    </row>
    <row r="228" spans="1:7">
      <c r="A228" s="16"/>
      <c r="B228" s="240"/>
      <c r="C228" s="1"/>
      <c r="D228" s="1"/>
      <c r="E228" s="240"/>
      <c r="G228"/>
    </row>
  </sheetData>
  <sheetProtection sheet="1" objects="1" scenarios="1"/>
  <mergeCells count="14">
    <mergeCell ref="A1:F1"/>
    <mergeCell ref="A2:F2"/>
    <mergeCell ref="H7:K12"/>
    <mergeCell ref="E4:F4"/>
    <mergeCell ref="B4:D4"/>
    <mergeCell ref="A66:A85"/>
    <mergeCell ref="A46:A65"/>
    <mergeCell ref="A26:A45"/>
    <mergeCell ref="A6:A25"/>
    <mergeCell ref="A166:A185"/>
    <mergeCell ref="A146:A165"/>
    <mergeCell ref="A126:A145"/>
    <mergeCell ref="A106:A125"/>
    <mergeCell ref="A86:A105"/>
  </mergeCells>
  <phoneticPr fontId="5" type="noConversion"/>
  <conditionalFormatting sqref="B6:B185">
    <cfRule type="duplicateValues" dxfId="16" priority="135"/>
  </conditionalFormatting>
  <conditionalFormatting sqref="E6:E185">
    <cfRule type="containsText" dxfId="15" priority="1" stopIfTrue="1" operator="containsText" text="BOYS">
      <formula>NOT(ISERROR(SEARCH("BOYS",E6)))</formula>
    </cfRule>
    <cfRule type="containsText" dxfId="14" priority="2" stopIfTrue="1" operator="containsText" text="GIRLS">
      <formula>NOT(ISERROR(SEARCH("GIRLS",E6)))</formula>
    </cfRule>
  </conditionalFormatting>
  <dataValidations count="2">
    <dataValidation type="list" allowBlank="1" showInputMessage="1" showErrorMessage="1" sqref="E6:E185" xr:uid="{F13ADCBF-A7EC-6148-870F-DFF2B0E09E35}">
      <formula1>"GIRLS, BOYS"</formula1>
    </dataValidation>
    <dataValidation type="list" allowBlank="1" showInputMessage="1" showErrorMessage="1" sqref="E6:E185" xr:uid="{0190AEB2-76C1-3342-9538-0B213C9E4A75}">
      <formula1>"Girls, Boys"</formula1>
    </dataValidation>
  </dataValidations>
  <pageMargins left="0.75" right="0.75" top="1" bottom="1" header="0.5" footer="0.5"/>
  <pageSetup paperSize="9" scale="66" fitToHeight="6" orientation="portrait" r:id="rId1"/>
  <headerFooter alignWithMargins="0"/>
  <rowBreaks count="4" manualBreakCount="4">
    <brk id="25" max="5" man="1"/>
    <brk id="65" max="5" man="1"/>
    <brk id="105" max="5" man="1"/>
    <brk id="145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C5C2-4775-1343-B9BE-9CD77800E3CB}">
  <sheetPr>
    <pageSetUpPr fitToPage="1"/>
  </sheetPr>
  <dimension ref="A1:P18"/>
  <sheetViews>
    <sheetView topLeftCell="A5" workbookViewId="0">
      <selection activeCell="E12" sqref="E12:G12"/>
    </sheetView>
  </sheetViews>
  <sheetFormatPr defaultColWidth="9.109375" defaultRowHeight="10.199999999999999"/>
  <cols>
    <col min="1" max="1" width="13.33203125" style="164" customWidth="1"/>
    <col min="2" max="3" width="15" style="165" customWidth="1"/>
    <col min="4" max="13" width="15" style="164" customWidth="1"/>
    <col min="14" max="37" width="13.33203125" style="164" customWidth="1"/>
    <col min="38" max="16384" width="9.109375" style="164"/>
  </cols>
  <sheetData>
    <row r="1" spans="1:16" s="163" customFormat="1" ht="28.2">
      <c r="A1" s="170" t="str">
        <f>'Read Me First'!A1</f>
        <v>Wessex Young Athletes Track and Field League 2026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6" s="163" customFormat="1" ht="20.399999999999999">
      <c r="A2" s="171" t="str">
        <f>TEXT('Read Me First'!C10, "DD MMMM YYYY") &amp; "    " &amp; (VLOOKUP('Read Me First'!F4,'Read Me First'!A22:D37,4,FALSE))</f>
        <v>28 June 2026    Camberley &amp; District AC @ Woking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6" ht="10.8" thickBot="1">
      <c r="P3" s="166"/>
    </row>
    <row r="4" spans="1:16" ht="28.05" customHeight="1" thickBot="1">
      <c r="A4" s="288" t="s">
        <v>113</v>
      </c>
      <c r="B4" s="474" t="s">
        <v>129</v>
      </c>
      <c r="C4" s="475"/>
      <c r="D4" s="475"/>
      <c r="E4" s="475"/>
      <c r="F4" s="475"/>
      <c r="G4" s="476"/>
      <c r="H4" s="474" t="s">
        <v>130</v>
      </c>
      <c r="I4" s="475"/>
      <c r="J4" s="475"/>
      <c r="K4" s="475"/>
      <c r="L4" s="475"/>
      <c r="M4" s="476"/>
    </row>
    <row r="5" spans="1:16" ht="28.05" customHeight="1">
      <c r="A5" s="289">
        <v>10.45</v>
      </c>
      <c r="B5" s="477" t="s">
        <v>131</v>
      </c>
      <c r="C5" s="478"/>
      <c r="D5" s="478"/>
      <c r="E5" s="479" t="str">
        <f>"U12 Boys Group 1 - " &amp; BlockAllocations!$H$6</f>
        <v>U12 Boys Group 1 - 26</v>
      </c>
      <c r="F5" s="480"/>
      <c r="G5" s="481"/>
      <c r="H5" s="443"/>
      <c r="I5" s="444"/>
      <c r="J5" s="444"/>
      <c r="K5" s="444"/>
      <c r="L5" s="444"/>
      <c r="M5" s="445"/>
    </row>
    <row r="6" spans="1:16" ht="28.05" customHeight="1">
      <c r="A6" s="289">
        <v>11.15</v>
      </c>
      <c r="B6" s="482" t="s">
        <v>131</v>
      </c>
      <c r="C6" s="460"/>
      <c r="D6" s="460"/>
      <c r="E6" s="460" t="str">
        <f>"U12 Boys Group 2 - " &amp; BlockAllocations!$H$7 &amp; IF(BlockAllocations!$H$8&gt;0, " &amp; Group 3 - " &amp; BlockAllocations!$H$8,"")</f>
        <v>U12 Boys Group 2 - 23</v>
      </c>
      <c r="F6" s="460"/>
      <c r="G6" s="461"/>
      <c r="H6" s="446"/>
      <c r="I6" s="447"/>
      <c r="J6" s="447"/>
      <c r="K6" s="447"/>
      <c r="L6" s="447"/>
      <c r="M6" s="448"/>
    </row>
    <row r="7" spans="1:16" ht="28.05" customHeight="1">
      <c r="A7" s="289">
        <v>11.45</v>
      </c>
      <c r="B7" s="449"/>
      <c r="C7" s="450"/>
      <c r="D7" s="450"/>
      <c r="E7" s="450"/>
      <c r="F7" s="450"/>
      <c r="G7" s="451"/>
      <c r="H7" s="455" t="s">
        <v>110</v>
      </c>
      <c r="I7" s="456"/>
      <c r="J7" s="457"/>
      <c r="K7" s="458" t="str">
        <f>"U12 Girls Group 1 - " &amp; BlockAllocations!$H$10</f>
        <v>U12 Girls Group 1 - 27</v>
      </c>
      <c r="L7" s="458"/>
      <c r="M7" s="459"/>
    </row>
    <row r="8" spans="1:16" ht="28.05" customHeight="1">
      <c r="A8" s="289">
        <v>12.15</v>
      </c>
      <c r="B8" s="486"/>
      <c r="C8" s="487"/>
      <c r="D8" s="487"/>
      <c r="E8" s="487"/>
      <c r="F8" s="487"/>
      <c r="G8" s="488"/>
      <c r="H8" s="455" t="s">
        <v>110</v>
      </c>
      <c r="I8" s="456"/>
      <c r="J8" s="457"/>
      <c r="K8" s="460" t="str">
        <f>"U12 Girls Group 2 - " &amp; BlockAllocations!$H$11 &amp; IF(BlockAllocations!$H$12&gt;0, " &amp; Group 3 - " &amp; BlockAllocations!$H$12,"")</f>
        <v>U12 Girls Group 2 - 22</v>
      </c>
      <c r="L8" s="460"/>
      <c r="M8" s="461"/>
    </row>
    <row r="9" spans="1:16" ht="28.05" customHeight="1">
      <c r="A9" s="289">
        <v>13.15</v>
      </c>
      <c r="B9" s="486"/>
      <c r="C9" s="487"/>
      <c r="D9" s="487"/>
      <c r="E9" s="487"/>
      <c r="F9" s="487"/>
      <c r="G9" s="488"/>
      <c r="H9" s="455" t="s">
        <v>110</v>
      </c>
      <c r="I9" s="456"/>
      <c r="J9" s="457"/>
      <c r="K9" s="483" t="str">
        <f>"U12 Boys Group 1 - " &amp; BlockAllocations!$H$6</f>
        <v>U12 Boys Group 1 - 26</v>
      </c>
      <c r="L9" s="484"/>
      <c r="M9" s="485"/>
    </row>
    <row r="10" spans="1:16" ht="28.05" customHeight="1">
      <c r="A10" s="289">
        <v>13.45</v>
      </c>
      <c r="B10" s="446"/>
      <c r="C10" s="447"/>
      <c r="D10" s="447"/>
      <c r="E10" s="447"/>
      <c r="F10" s="447"/>
      <c r="G10" s="448"/>
      <c r="H10" s="455" t="s">
        <v>110</v>
      </c>
      <c r="I10" s="456"/>
      <c r="J10" s="457"/>
      <c r="K10" s="460" t="str">
        <f>"U12 Boys Group 2 - " &amp; BlockAllocations!$H$7 &amp; IF(BlockAllocations!$H$8&gt;0, " &amp; Group 3 - " &amp; BlockAllocations!$H$8,"")</f>
        <v>U12 Boys Group 2 - 23</v>
      </c>
      <c r="L10" s="460"/>
      <c r="M10" s="461"/>
    </row>
    <row r="11" spans="1:16" ht="28.05" customHeight="1">
      <c r="A11" s="289">
        <v>15.3</v>
      </c>
      <c r="B11" s="482" t="s">
        <v>131</v>
      </c>
      <c r="C11" s="460"/>
      <c r="D11" s="460"/>
      <c r="E11" s="458" t="str">
        <f>"U12 Girls Group 1 - " &amp; BlockAllocations!$H$10</f>
        <v>U12 Girls Group 1 - 27</v>
      </c>
      <c r="F11" s="458"/>
      <c r="G11" s="459"/>
      <c r="H11" s="449"/>
      <c r="I11" s="450"/>
      <c r="J11" s="450"/>
      <c r="K11" s="450"/>
      <c r="L11" s="450"/>
      <c r="M11" s="451"/>
    </row>
    <row r="12" spans="1:16" ht="28.05" customHeight="1" thickBot="1">
      <c r="A12" s="290">
        <v>16</v>
      </c>
      <c r="B12" s="489" t="s">
        <v>131</v>
      </c>
      <c r="C12" s="441"/>
      <c r="D12" s="441"/>
      <c r="E12" s="441" t="str">
        <f>"U12 Girls Group 2 - " &amp; BlockAllocations!$H$11 &amp; IF(BlockAllocations!$H$12&gt;0, " &amp; Group 3 - " &amp; BlockAllocations!$H$12,"")</f>
        <v>U12 Girls Group 2 - 22</v>
      </c>
      <c r="F12" s="441"/>
      <c r="G12" s="442"/>
      <c r="H12" s="452"/>
      <c r="I12" s="453"/>
      <c r="J12" s="453"/>
      <c r="K12" s="453"/>
      <c r="L12" s="453"/>
      <c r="M12" s="454"/>
    </row>
    <row r="13" spans="1:16" ht="16.2" thickBot="1">
      <c r="A13" s="168"/>
      <c r="B13" s="169"/>
      <c r="C13" s="169"/>
      <c r="D13" s="168"/>
      <c r="E13" s="168"/>
      <c r="F13" s="168"/>
      <c r="G13" s="168"/>
      <c r="H13" s="168"/>
      <c r="I13" s="168"/>
      <c r="J13" s="168"/>
      <c r="K13" s="168"/>
      <c r="L13" s="168"/>
      <c r="M13" s="168"/>
    </row>
    <row r="14" spans="1:16" ht="28.05" customHeight="1" thickBot="1">
      <c r="A14" s="299" t="s">
        <v>113</v>
      </c>
      <c r="B14" s="295" t="s">
        <v>132</v>
      </c>
      <c r="C14" s="296"/>
      <c r="D14" s="296"/>
      <c r="E14" s="296"/>
      <c r="F14" s="296"/>
      <c r="G14" s="297"/>
      <c r="H14" s="298"/>
      <c r="I14" s="296"/>
      <c r="J14" s="296"/>
      <c r="K14" s="296"/>
      <c r="L14" s="296"/>
      <c r="M14" s="297"/>
      <c r="N14" s="168"/>
    </row>
    <row r="15" spans="1:16" s="167" customFormat="1" ht="28.95" customHeight="1">
      <c r="A15" s="300">
        <v>12.1</v>
      </c>
      <c r="B15" s="470" t="s">
        <v>85</v>
      </c>
      <c r="C15" s="471"/>
      <c r="D15" s="472"/>
      <c r="E15" s="473" t="s">
        <v>133</v>
      </c>
      <c r="F15" s="471"/>
      <c r="G15" s="472"/>
      <c r="H15" s="294" t="str">
        <f>"Number of athletes: " &amp; IFERROR(BlockAllocations!$H$6,0)+IFERROR(BlockAllocations!$H$7,0)+IFERROR(BlockAllocations!$H$8,0)</f>
        <v>Number of athletes: 49</v>
      </c>
      <c r="I15" s="294"/>
      <c r="J15" s="294"/>
      <c r="K15" s="294"/>
      <c r="L15" s="294" t="str">
        <f>"U12B - " &amp;  Data!$M$3</f>
        <v>U12B - 10.2</v>
      </c>
      <c r="M15" s="303"/>
    </row>
    <row r="16" spans="1:16" s="167" customFormat="1" ht="28.95" customHeight="1">
      <c r="A16" s="301">
        <v>13.4</v>
      </c>
      <c r="B16" s="466" t="s">
        <v>85</v>
      </c>
      <c r="C16" s="467"/>
      <c r="D16" s="468"/>
      <c r="E16" s="469" t="s">
        <v>134</v>
      </c>
      <c r="F16" s="467"/>
      <c r="G16" s="468"/>
      <c r="H16" s="293" t="str">
        <f>"Number of athletes: " &amp; IFERROR(BlockAllocations!$H$10,0)+IFERROR(BlockAllocations!$H$11,0)+IFERROR(BlockAllocations!$H$12,0)</f>
        <v>Number of athletes: 49</v>
      </c>
      <c r="I16" s="293"/>
      <c r="J16" s="293"/>
      <c r="K16" s="293"/>
      <c r="L16" s="293" t="str">
        <f>"U12G - " &amp;  Data!$M$10</f>
        <v>U12G - 10.4</v>
      </c>
      <c r="M16" s="304"/>
    </row>
    <row r="17" spans="1:13" s="167" customFormat="1" ht="28.95" customHeight="1">
      <c r="A17" s="301">
        <v>15</v>
      </c>
      <c r="B17" s="466" t="s">
        <v>95</v>
      </c>
      <c r="C17" s="467"/>
      <c r="D17" s="468"/>
      <c r="E17" s="469" t="s">
        <v>134</v>
      </c>
      <c r="F17" s="467"/>
      <c r="G17" s="468"/>
      <c r="H17" s="293" t="str">
        <f>"Number of athletes: " &amp;IFERROR(BlockAllocations!$H$10,0)+IFERROR(BlockAllocations!$H$11,0)+IFERROR(BlockAllocations!$H$12,0)</f>
        <v>Number of athletes: 49</v>
      </c>
      <c r="I17" s="293"/>
      <c r="J17" s="293"/>
      <c r="K17" s="293"/>
      <c r="L17" s="293" t="str">
        <f>"U12G - "&amp;TEXT(Data!$M$11,"m:ss.0")</f>
        <v>U12G - 1:45.7</v>
      </c>
      <c r="M17" s="304"/>
    </row>
    <row r="18" spans="1:13" s="167" customFormat="1" ht="28.95" customHeight="1" thickBot="1">
      <c r="A18" s="302">
        <v>15</v>
      </c>
      <c r="B18" s="462" t="s">
        <v>95</v>
      </c>
      <c r="C18" s="463"/>
      <c r="D18" s="464"/>
      <c r="E18" s="465" t="s">
        <v>133</v>
      </c>
      <c r="F18" s="463"/>
      <c r="G18" s="464"/>
      <c r="H18" s="305" t="str">
        <f>"Number of athletes: " &amp;IFERROR(BlockAllocations!$H$6,0)+IFERROR(BlockAllocations!$H$7,0)+IFERROR(BlockAllocations!$H$8,0)</f>
        <v>Number of athletes: 49</v>
      </c>
      <c r="I18" s="305"/>
      <c r="J18" s="305"/>
      <c r="K18" s="305"/>
      <c r="L18" s="305" t="str">
        <f>"U12B - "&amp;TEXT(Data!$M$4,"m:ss.0")</f>
        <v>U12B - 1:41.2</v>
      </c>
      <c r="M18" s="306"/>
    </row>
  </sheetData>
  <sheetProtection sheet="1" objects="1" scenarios="1"/>
  <mergeCells count="29">
    <mergeCell ref="B15:D15"/>
    <mergeCell ref="E15:G15"/>
    <mergeCell ref="B4:G4"/>
    <mergeCell ref="H4:M4"/>
    <mergeCell ref="B5:D5"/>
    <mergeCell ref="E5:G5"/>
    <mergeCell ref="B6:D6"/>
    <mergeCell ref="E6:G6"/>
    <mergeCell ref="H9:J9"/>
    <mergeCell ref="K9:M9"/>
    <mergeCell ref="H10:J10"/>
    <mergeCell ref="K10:M10"/>
    <mergeCell ref="B7:G10"/>
    <mergeCell ref="B11:D11"/>
    <mergeCell ref="E11:G11"/>
    <mergeCell ref="B12:D12"/>
    <mergeCell ref="B18:D18"/>
    <mergeCell ref="E18:G18"/>
    <mergeCell ref="B16:D16"/>
    <mergeCell ref="E16:G16"/>
    <mergeCell ref="B17:D17"/>
    <mergeCell ref="E17:G17"/>
    <mergeCell ref="E12:G12"/>
    <mergeCell ref="H5:M6"/>
    <mergeCell ref="H11:M12"/>
    <mergeCell ref="H7:J7"/>
    <mergeCell ref="H8:J8"/>
    <mergeCell ref="K7:M7"/>
    <mergeCell ref="K8:M8"/>
  </mergeCells>
  <pageMargins left="0.7" right="0.7" top="0.75" bottom="0.75" header="0.3" footer="0.3"/>
  <pageSetup paperSize="9" scale="6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0" tint="-0.249977111117893"/>
  </sheetPr>
  <dimension ref="A1:H480"/>
  <sheetViews>
    <sheetView view="pageBreakPreview" topLeftCell="A121" zoomScale="90" zoomScaleNormal="100" zoomScaleSheetLayoutView="100" workbookViewId="0">
      <selection activeCell="E5" sqref="E5"/>
    </sheetView>
  </sheetViews>
  <sheetFormatPr defaultColWidth="9.109375" defaultRowHeight="15"/>
  <cols>
    <col min="1" max="1" width="10.6640625" style="24" customWidth="1"/>
    <col min="2" max="2" width="45.109375" style="24" customWidth="1"/>
    <col min="3" max="3" width="28" style="24" customWidth="1"/>
    <col min="4" max="4" width="12" style="24" customWidth="1"/>
    <col min="5" max="8" width="20.33203125" style="24" customWidth="1"/>
    <col min="9" max="16384" width="9.109375" style="22"/>
  </cols>
  <sheetData>
    <row r="1" spans="1:8" ht="19.95" customHeight="1">
      <c r="A1" s="491" t="str">
        <f>'Read Me First'!A1:F18</f>
        <v>Wessex Young Athletes Track and Field League 2026</v>
      </c>
      <c r="B1" s="492"/>
      <c r="C1" s="492"/>
      <c r="D1" s="492"/>
      <c r="E1" s="492"/>
      <c r="F1" s="492"/>
      <c r="G1" s="492"/>
      <c r="H1" s="493"/>
    </row>
    <row r="2" spans="1:8" ht="18" customHeight="1">
      <c r="A2" s="60" t="s">
        <v>13</v>
      </c>
      <c r="B2" s="61">
        <f>'Read Me First'!$C$10</f>
        <v>46201</v>
      </c>
      <c r="C2" s="62">
        <v>0.44791666666666669</v>
      </c>
      <c r="D2" s="60" t="s">
        <v>70</v>
      </c>
      <c r="E2" s="494" t="str">
        <f>(VLOOKUP('Read Me First'!F4,'Read Me First'!A22:D37,4,FALSE))</f>
        <v>Camberley &amp; District AC @ Woking</v>
      </c>
      <c r="F2" s="495"/>
      <c r="G2" s="495"/>
      <c r="H2" s="496"/>
    </row>
    <row r="3" spans="1:8" ht="18" customHeight="1">
      <c r="A3" s="497" t="s">
        <v>135</v>
      </c>
      <c r="B3" s="497"/>
      <c r="C3" s="497"/>
      <c r="D3" s="497"/>
      <c r="E3" s="59">
        <v>1</v>
      </c>
      <c r="F3" s="59">
        <v>2</v>
      </c>
      <c r="G3" s="59">
        <v>3</v>
      </c>
      <c r="H3" s="59" t="s">
        <v>136</v>
      </c>
    </row>
    <row r="4" spans="1:8" ht="18" customHeight="1">
      <c r="A4" s="65"/>
      <c r="B4" s="65"/>
      <c r="C4" s="65"/>
      <c r="D4" s="65"/>
      <c r="E4" s="66"/>
      <c r="F4" s="66"/>
      <c r="G4" s="66"/>
      <c r="H4" s="66"/>
    </row>
    <row r="5" spans="1:8" s="23" customFormat="1" ht="19.95" customHeight="1">
      <c r="A5" s="67" cm="1">
        <f t="array" ref="A5:A30">IFERROR(_xlfn.TEXTSPLIT(IFERROR(_xlfn.TEXTJOIN(",",TRUE,_xlfn._xlws.FILTER(BlockAllocations!$F$3:$F$20,BlockAllocations!$E$3:$E$20=BlockAllocations!$G$6)),""),,",")+0, "!")</f>
        <v>11</v>
      </c>
      <c r="B5" s="68" t="str">
        <f>IF(ISNA(VLOOKUP(A5,Declarations!B$6:C$185,2,FALSE)),"",IF(VLOOKUP(A5,Declarations!B$6:C$185,2,FALSE)="","---",VLOOKUP(A5,Declarations!B$6:C$185,2,FALSE)))</f>
        <v>MATTHEW SCALES</v>
      </c>
      <c r="C5" s="68" t="str">
        <f>IF(ISNA(VLOOKUP(A5,Declarations!B$6:F$185,5,FALSE)),"",IF(VLOOKUP(A5,Declarations!B$6:F$185,5,FALSE)="","---",VLOOKUP(A5,Declarations!B$6:F$185,5,FALSE)))</f>
        <v>Camberley &amp; District AC</v>
      </c>
      <c r="D5" s="319" t="str">
        <f>IF(ISNA(VLOOKUP(A5,Declarations!B$6:F$185,4,FALSE)),"",IF(VLOOKUP(A5,Declarations!B$6:F$185,4,FALSE)="","---",VLOOKUP(A5,Declarations!B$6:F$185,4,FALSE)))</f>
        <v>BOYS</v>
      </c>
      <c r="E5" s="245" t="s">
        <v>137</v>
      </c>
      <c r="F5" s="245" t="s">
        <v>137</v>
      </c>
      <c r="G5" s="245" t="s">
        <v>137</v>
      </c>
      <c r="H5" s="320"/>
    </row>
    <row r="6" spans="1:8" s="23" customFormat="1" ht="19.95" customHeight="1">
      <c r="A6" s="67">
        <v>12</v>
      </c>
      <c r="B6" s="68" t="str">
        <f>IF(ISNA(VLOOKUP(A6,Declarations!B$6:C$185,2,FALSE)),"",IF(VLOOKUP(A6,Declarations!B$6:C$185,2,FALSE)="","---",VLOOKUP(A6,Declarations!B$6:C$185,2,FALSE)))</f>
        <v>OSCAR FROST</v>
      </c>
      <c r="C6" s="68" t="str">
        <f>IF(ISNA(VLOOKUP(A6,Declarations!B$6:F$185,5,FALSE)),"",IF(VLOOKUP(A6,Declarations!B$6:F$185,5,FALSE)="","---",VLOOKUP(A6,Declarations!B$6:F$185,5,FALSE)))</f>
        <v>Camberley &amp; District AC</v>
      </c>
      <c r="D6" s="319" t="str">
        <f>IF(ISNA(VLOOKUP(A6,Declarations!B$6:F$185,4,FALSE)),"",IF(VLOOKUP(A6,Declarations!B$6:F$185,4,FALSE)="","---",VLOOKUP(A6,Declarations!B$6:F$185,4,FALSE)))</f>
        <v>BOYS</v>
      </c>
      <c r="E6" s="245" t="s">
        <v>137</v>
      </c>
      <c r="F6" s="245" t="s">
        <v>137</v>
      </c>
      <c r="G6" s="245" t="s">
        <v>137</v>
      </c>
      <c r="H6" s="320"/>
    </row>
    <row r="7" spans="1:8" s="23" customFormat="1" ht="19.95" customHeight="1">
      <c r="A7" s="67">
        <v>13</v>
      </c>
      <c r="B7" s="68" t="str">
        <f>IF(ISNA(VLOOKUP(A7,Declarations!B$6:C$185,2,FALSE)),"",IF(VLOOKUP(A7,Declarations!B$6:C$185,2,FALSE)="","---",VLOOKUP(A7,Declarations!B$6:C$185,2,FALSE)))</f>
        <v>HARRY COLLINS</v>
      </c>
      <c r="C7" s="68" t="str">
        <f>IF(ISNA(VLOOKUP(A7,Declarations!B$6:F$185,5,FALSE)),"",IF(VLOOKUP(A7,Declarations!B$6:F$185,5,FALSE)="","---",VLOOKUP(A7,Declarations!B$6:F$185,5,FALSE)))</f>
        <v>Camberley &amp; District AC</v>
      </c>
      <c r="D7" s="319" t="str">
        <f>IF(ISNA(VLOOKUP(A7,Declarations!B$6:F$185,4,FALSE)),"",IF(VLOOKUP(A7,Declarations!B$6:F$185,4,FALSE)="","---",VLOOKUP(A7,Declarations!B$6:F$185,4,FALSE)))</f>
        <v>BOYS</v>
      </c>
      <c r="E7" s="245" t="s">
        <v>137</v>
      </c>
      <c r="F7" s="245" t="s">
        <v>137</v>
      </c>
      <c r="G7" s="245" t="s">
        <v>137</v>
      </c>
      <c r="H7" s="320"/>
    </row>
    <row r="8" spans="1:8" s="23" customFormat="1" ht="19.95" customHeight="1">
      <c r="A8" s="67">
        <v>14</v>
      </c>
      <c r="B8" s="68" t="str">
        <f>IF(ISNA(VLOOKUP(A8,Declarations!B$6:C$185,2,FALSE)),"",IF(VLOOKUP(A8,Declarations!B$6:C$185,2,FALSE)="","---",VLOOKUP(A8,Declarations!B$6:C$185,2,FALSE)))</f>
        <v>DANIEL BURDON</v>
      </c>
      <c r="C8" s="68" t="str">
        <f>IF(ISNA(VLOOKUP(A8,Declarations!B$6:F$185,5,FALSE)),"",IF(VLOOKUP(A8,Declarations!B$6:F$185,5,FALSE)="","---",VLOOKUP(A8,Declarations!B$6:F$185,5,FALSE)))</f>
        <v>Camberley &amp; District AC</v>
      </c>
      <c r="D8" s="319" t="str">
        <f>IF(ISNA(VLOOKUP(A8,Declarations!B$6:F$185,4,FALSE)),"",IF(VLOOKUP(A8,Declarations!B$6:F$185,4,FALSE)="","---",VLOOKUP(A8,Declarations!B$6:F$185,4,FALSE)))</f>
        <v>BOYS</v>
      </c>
      <c r="E8" s="245" t="s">
        <v>137</v>
      </c>
      <c r="F8" s="245" t="s">
        <v>137</v>
      </c>
      <c r="G8" s="245" t="s">
        <v>137</v>
      </c>
      <c r="H8" s="320"/>
    </row>
    <row r="9" spans="1:8" s="23" customFormat="1" ht="19.95" customHeight="1">
      <c r="A9" s="67">
        <v>15</v>
      </c>
      <c r="B9" s="68" t="str">
        <f>IF(ISNA(VLOOKUP(A9,Declarations!B$6:C$185,2,FALSE)),"",IF(VLOOKUP(A9,Declarations!B$6:C$185,2,FALSE)="","---",VLOOKUP(A9,Declarations!B$6:C$185,2,FALSE)))</f>
        <v>TOBI AKINLUYI</v>
      </c>
      <c r="C9" s="68" t="str">
        <f>IF(ISNA(VLOOKUP(A9,Declarations!B$6:F$185,5,FALSE)),"",IF(VLOOKUP(A9,Declarations!B$6:F$185,5,FALSE)="","---",VLOOKUP(A9,Declarations!B$6:F$185,5,FALSE)))</f>
        <v>Camberley &amp; District AC</v>
      </c>
      <c r="D9" s="319" t="str">
        <f>IF(ISNA(VLOOKUP(A9,Declarations!B$6:F$185,4,FALSE)),"",IF(VLOOKUP(A9,Declarations!B$6:F$185,4,FALSE)="","---",VLOOKUP(A9,Declarations!B$6:F$185,4,FALSE)))</f>
        <v>BOYS</v>
      </c>
      <c r="E9" s="245" t="s">
        <v>137</v>
      </c>
      <c r="F9" s="245" t="s">
        <v>137</v>
      </c>
      <c r="G9" s="245" t="s">
        <v>137</v>
      </c>
      <c r="H9" s="320"/>
    </row>
    <row r="10" spans="1:8" s="23" customFormat="1" ht="19.95" customHeight="1">
      <c r="A10" s="67">
        <v>16</v>
      </c>
      <c r="B10" s="68" t="str">
        <f>IF(ISNA(VLOOKUP(A10,Declarations!B$6:C$185,2,FALSE)),"",IF(VLOOKUP(A10,Declarations!B$6:C$185,2,FALSE)="","---",VLOOKUP(A10,Declarations!B$6:C$185,2,FALSE)))</f>
        <v>RAFI PAYNE</v>
      </c>
      <c r="C10" s="68" t="str">
        <f>IF(ISNA(VLOOKUP(A10,Declarations!B$6:F$185,5,FALSE)),"",IF(VLOOKUP(A10,Declarations!B$6:F$185,5,FALSE)="","---",VLOOKUP(A10,Declarations!B$6:F$185,5,FALSE)))</f>
        <v>Camberley &amp; District AC</v>
      </c>
      <c r="D10" s="319" t="str">
        <f>IF(ISNA(VLOOKUP(A10,Declarations!B$6:F$185,4,FALSE)),"",IF(VLOOKUP(A10,Declarations!B$6:F$185,4,FALSE)="","---",VLOOKUP(A10,Declarations!B$6:F$185,4,FALSE)))</f>
        <v>BOYS</v>
      </c>
      <c r="E10" s="245" t="s">
        <v>137</v>
      </c>
      <c r="F10" s="245" t="s">
        <v>137</v>
      </c>
      <c r="G10" s="245" t="s">
        <v>137</v>
      </c>
      <c r="H10" s="320"/>
    </row>
    <row r="11" spans="1:8" s="23" customFormat="1" ht="19.95" customHeight="1">
      <c r="A11" s="67">
        <v>17</v>
      </c>
      <c r="B11" s="68" t="str">
        <f>IF(ISNA(VLOOKUP(A11,Declarations!B$6:C$185,2,FALSE)),"",IF(VLOOKUP(A11,Declarations!B$6:C$185,2,FALSE)="","---",VLOOKUP(A11,Declarations!B$6:C$185,2,FALSE)))</f>
        <v>FELIX POWERS</v>
      </c>
      <c r="C11" s="68" t="str">
        <f>IF(ISNA(VLOOKUP(A11,Declarations!B$6:F$185,5,FALSE)),"",IF(VLOOKUP(A11,Declarations!B$6:F$185,5,FALSE)="","---",VLOOKUP(A11,Declarations!B$6:F$185,5,FALSE)))</f>
        <v>Camberley &amp; District AC</v>
      </c>
      <c r="D11" s="319" t="str">
        <f>IF(ISNA(VLOOKUP(A11,Declarations!B$6:F$185,4,FALSE)),"",IF(VLOOKUP(A11,Declarations!B$6:F$185,4,FALSE)="","---",VLOOKUP(A11,Declarations!B$6:F$185,4,FALSE)))</f>
        <v>BOYS</v>
      </c>
      <c r="E11" s="245" t="s">
        <v>137</v>
      </c>
      <c r="F11" s="245" t="s">
        <v>137</v>
      </c>
      <c r="G11" s="245" t="s">
        <v>137</v>
      </c>
      <c r="H11" s="320"/>
    </row>
    <row r="12" spans="1:8" s="23" customFormat="1" ht="19.95" customHeight="1">
      <c r="A12" s="67">
        <v>18</v>
      </c>
      <c r="B12" s="68" t="str">
        <f>IF(ISNA(VLOOKUP(A12,Declarations!B$6:C$185,2,FALSE)),"",IF(VLOOKUP(A12,Declarations!B$6:C$185,2,FALSE)="","---",VLOOKUP(A12,Declarations!B$6:C$185,2,FALSE)))</f>
        <v>CADEN LUCAS</v>
      </c>
      <c r="C12" s="68" t="str">
        <f>IF(ISNA(VLOOKUP(A12,Declarations!B$6:F$185,5,FALSE)),"",IF(VLOOKUP(A12,Declarations!B$6:F$185,5,FALSE)="","---",VLOOKUP(A12,Declarations!B$6:F$185,5,FALSE)))</f>
        <v>Camberley &amp; District AC</v>
      </c>
      <c r="D12" s="319" t="str">
        <f>IF(ISNA(VLOOKUP(A12,Declarations!B$6:F$185,4,FALSE)),"",IF(VLOOKUP(A12,Declarations!B$6:F$185,4,FALSE)="","---",VLOOKUP(A12,Declarations!B$6:F$185,4,FALSE)))</f>
        <v>BOYS</v>
      </c>
      <c r="E12" s="245" t="s">
        <v>137</v>
      </c>
      <c r="F12" s="245" t="s">
        <v>137</v>
      </c>
      <c r="G12" s="245" t="s">
        <v>137</v>
      </c>
      <c r="H12" s="320"/>
    </row>
    <row r="13" spans="1:8" s="23" customFormat="1" ht="19.95" customHeight="1">
      <c r="A13" s="67">
        <v>31</v>
      </c>
      <c r="B13" s="68" t="str">
        <f>IF(ISNA(VLOOKUP(A13,Declarations!B$6:C$185,2,FALSE)),"",IF(VLOOKUP(A13,Declarations!B$6:C$185,2,FALSE)="","---",VLOOKUP(A13,Declarations!B$6:C$185,2,FALSE)))</f>
        <v>OLI THOMPSON</v>
      </c>
      <c r="C13" s="68" t="str">
        <f>IF(ISNA(VLOOKUP(A13,Declarations!B$6:F$185,5,FALSE)),"",IF(VLOOKUP(A13,Declarations!B$6:F$185,5,FALSE)="","---",VLOOKUP(A13,Declarations!B$6:F$185,5,FALSE)))</f>
        <v>Woking AC</v>
      </c>
      <c r="D13" s="319" t="str">
        <f>IF(ISNA(VLOOKUP(A13,Declarations!B$6:F$185,4,FALSE)),"",IF(VLOOKUP(A13,Declarations!B$6:F$185,4,FALSE)="","---",VLOOKUP(A13,Declarations!B$6:F$185,4,FALSE)))</f>
        <v>BOYS</v>
      </c>
      <c r="E13" s="245" t="s">
        <v>137</v>
      </c>
      <c r="F13" s="245" t="s">
        <v>137</v>
      </c>
      <c r="G13" s="245" t="s">
        <v>137</v>
      </c>
      <c r="H13" s="320"/>
    </row>
    <row r="14" spans="1:8" s="23" customFormat="1" ht="19.95" customHeight="1">
      <c r="A14" s="67">
        <v>32</v>
      </c>
      <c r="B14" s="68" t="str">
        <f>IF(ISNA(VLOOKUP(A14,Declarations!B$6:C$185,2,FALSE)),"",IF(VLOOKUP(A14,Declarations!B$6:C$185,2,FALSE)="","---",VLOOKUP(A14,Declarations!B$6:C$185,2,FALSE)))</f>
        <v>ISAAC HUTCHISON</v>
      </c>
      <c r="C14" s="68" t="str">
        <f>IF(ISNA(VLOOKUP(A14,Declarations!B$6:F$185,5,FALSE)),"",IF(VLOOKUP(A14,Declarations!B$6:F$185,5,FALSE)="","---",VLOOKUP(A14,Declarations!B$6:F$185,5,FALSE)))</f>
        <v>Woking AC</v>
      </c>
      <c r="D14" s="319" t="str">
        <f>IF(ISNA(VLOOKUP(A14,Declarations!B$6:F$185,4,FALSE)),"",IF(VLOOKUP(A14,Declarations!B$6:F$185,4,FALSE)="","---",VLOOKUP(A14,Declarations!B$6:F$185,4,FALSE)))</f>
        <v>BOYS</v>
      </c>
      <c r="E14" s="245" t="s">
        <v>137</v>
      </c>
      <c r="F14" s="245" t="s">
        <v>137</v>
      </c>
      <c r="G14" s="245" t="s">
        <v>137</v>
      </c>
      <c r="H14" s="320"/>
    </row>
    <row r="15" spans="1:8" s="23" customFormat="1" ht="19.95" customHeight="1">
      <c r="A15" s="67">
        <v>33</v>
      </c>
      <c r="B15" s="68" t="str">
        <f>IF(ISNA(VLOOKUP(A15,Declarations!B$6:C$185,2,FALSE)),"",IF(VLOOKUP(A15,Declarations!B$6:C$185,2,FALSE)="","---",VLOOKUP(A15,Declarations!B$6:C$185,2,FALSE)))</f>
        <v>WILLIAM PEARCE</v>
      </c>
      <c r="C15" s="68" t="str">
        <f>IF(ISNA(VLOOKUP(A15,Declarations!B$6:F$185,5,FALSE)),"",IF(VLOOKUP(A15,Declarations!B$6:F$185,5,FALSE)="","---",VLOOKUP(A15,Declarations!B$6:F$185,5,FALSE)))</f>
        <v>Woking AC</v>
      </c>
      <c r="D15" s="319" t="str">
        <f>IF(ISNA(VLOOKUP(A15,Declarations!B$6:F$185,4,FALSE)),"",IF(VLOOKUP(A15,Declarations!B$6:F$185,4,FALSE)="","---",VLOOKUP(A15,Declarations!B$6:F$185,4,FALSE)))</f>
        <v>BOYS</v>
      </c>
      <c r="E15" s="245" t="s">
        <v>137</v>
      </c>
      <c r="F15" s="245" t="s">
        <v>137</v>
      </c>
      <c r="G15" s="245" t="s">
        <v>137</v>
      </c>
      <c r="H15" s="320"/>
    </row>
    <row r="16" spans="1:8" s="23" customFormat="1" ht="19.95" customHeight="1">
      <c r="A16" s="67">
        <v>34</v>
      </c>
      <c r="B16" s="68" t="str">
        <f>IF(ISNA(VLOOKUP(A16,Declarations!B$6:C$185,2,FALSE)),"",IF(VLOOKUP(A16,Declarations!B$6:C$185,2,FALSE)="","---",VLOOKUP(A16,Declarations!B$6:C$185,2,FALSE)))</f>
        <v>LOUIS MASON</v>
      </c>
      <c r="C16" s="68" t="str">
        <f>IF(ISNA(VLOOKUP(A16,Declarations!B$6:F$185,5,FALSE)),"",IF(VLOOKUP(A16,Declarations!B$6:F$185,5,FALSE)="","---",VLOOKUP(A16,Declarations!B$6:F$185,5,FALSE)))</f>
        <v>Woking AC</v>
      </c>
      <c r="D16" s="319" t="str">
        <f>IF(ISNA(VLOOKUP(A16,Declarations!B$6:F$185,4,FALSE)),"",IF(VLOOKUP(A16,Declarations!B$6:F$185,4,FALSE)="","---",VLOOKUP(A16,Declarations!B$6:F$185,4,FALSE)))</f>
        <v>BOYS</v>
      </c>
      <c r="E16" s="245" t="s">
        <v>137</v>
      </c>
      <c r="F16" s="245" t="s">
        <v>137</v>
      </c>
      <c r="G16" s="245" t="s">
        <v>137</v>
      </c>
      <c r="H16" s="320"/>
    </row>
    <row r="17" spans="1:8" s="23" customFormat="1" ht="19.95" customHeight="1">
      <c r="A17" s="67">
        <v>35</v>
      </c>
      <c r="B17" s="68" t="str">
        <f>IF(ISNA(VLOOKUP(A17,Declarations!B$6:C$185,2,FALSE)),"",IF(VLOOKUP(A17,Declarations!B$6:C$185,2,FALSE)="","---",VLOOKUP(A17,Declarations!B$6:C$185,2,FALSE)))</f>
        <v>MATTHIAS DE PAULA DENS</v>
      </c>
      <c r="C17" s="68" t="str">
        <f>IF(ISNA(VLOOKUP(A17,Declarations!B$6:F$185,5,FALSE)),"",IF(VLOOKUP(A17,Declarations!B$6:F$185,5,FALSE)="","---",VLOOKUP(A17,Declarations!B$6:F$185,5,FALSE)))</f>
        <v>Woking AC</v>
      </c>
      <c r="D17" s="319" t="str">
        <f>IF(ISNA(VLOOKUP(A17,Declarations!B$6:F$185,4,FALSE)),"",IF(VLOOKUP(A17,Declarations!B$6:F$185,4,FALSE)="","---",VLOOKUP(A17,Declarations!B$6:F$185,4,FALSE)))</f>
        <v>BOYS</v>
      </c>
      <c r="E17" s="245" t="s">
        <v>137</v>
      </c>
      <c r="F17" s="245" t="s">
        <v>137</v>
      </c>
      <c r="G17" s="245" t="s">
        <v>137</v>
      </c>
      <c r="H17" s="320"/>
    </row>
    <row r="18" spans="1:8" s="23" customFormat="1" ht="19.95" customHeight="1">
      <c r="A18" s="67">
        <v>36</v>
      </c>
      <c r="B18" s="68" t="str">
        <f>IF(ISNA(VLOOKUP(A18,Declarations!B$6:C$185,2,FALSE)),"",IF(VLOOKUP(A18,Declarations!B$6:C$185,2,FALSE)="","---",VLOOKUP(A18,Declarations!B$6:C$185,2,FALSE)))</f>
        <v>KAI TEGG</v>
      </c>
      <c r="C18" s="68" t="str">
        <f>IF(ISNA(VLOOKUP(A18,Declarations!B$6:F$185,5,FALSE)),"",IF(VLOOKUP(A18,Declarations!B$6:F$185,5,FALSE)="","---",VLOOKUP(A18,Declarations!B$6:F$185,5,FALSE)))</f>
        <v>Woking AC</v>
      </c>
      <c r="D18" s="319" t="str">
        <f>IF(ISNA(VLOOKUP(A18,Declarations!B$6:F$185,4,FALSE)),"",IF(VLOOKUP(A18,Declarations!B$6:F$185,4,FALSE)="","---",VLOOKUP(A18,Declarations!B$6:F$185,4,FALSE)))</f>
        <v>BOYS</v>
      </c>
      <c r="E18" s="245" t="s">
        <v>137</v>
      </c>
      <c r="F18" s="245" t="s">
        <v>137</v>
      </c>
      <c r="G18" s="245" t="s">
        <v>137</v>
      </c>
      <c r="H18" s="320"/>
    </row>
    <row r="19" spans="1:8" s="23" customFormat="1" ht="19.95" customHeight="1">
      <c r="A19" s="67">
        <v>37</v>
      </c>
      <c r="B19" s="68" t="str">
        <f>IF(ISNA(VLOOKUP(A19,Declarations!B$6:C$185,2,FALSE)),"",IF(VLOOKUP(A19,Declarations!B$6:C$185,2,FALSE)="","---",VLOOKUP(A19,Declarations!B$6:C$185,2,FALSE)))</f>
        <v>ADAM PRICE</v>
      </c>
      <c r="C19" s="68" t="str">
        <f>IF(ISNA(VLOOKUP(A19,Declarations!B$6:F$185,5,FALSE)),"",IF(VLOOKUP(A19,Declarations!B$6:F$185,5,FALSE)="","---",VLOOKUP(A19,Declarations!B$6:F$185,5,FALSE)))</f>
        <v>Woking AC</v>
      </c>
      <c r="D19" s="319" t="str">
        <f>IF(ISNA(VLOOKUP(A19,Declarations!B$6:F$185,4,FALSE)),"",IF(VLOOKUP(A19,Declarations!B$6:F$185,4,FALSE)="","---",VLOOKUP(A19,Declarations!B$6:F$185,4,FALSE)))</f>
        <v>BOYS</v>
      </c>
      <c r="E19" s="245" t="s">
        <v>137</v>
      </c>
      <c r="F19" s="245" t="s">
        <v>137</v>
      </c>
      <c r="G19" s="245" t="s">
        <v>137</v>
      </c>
      <c r="H19" s="320"/>
    </row>
    <row r="20" spans="1:8" s="23" customFormat="1" ht="19.95" customHeight="1">
      <c r="A20" s="67">
        <v>38</v>
      </c>
      <c r="B20" s="68" t="str">
        <f>IF(ISNA(VLOOKUP(A20,Declarations!B$6:C$185,2,FALSE)),"",IF(VLOOKUP(A20,Declarations!B$6:C$185,2,FALSE)="","---",VLOOKUP(A20,Declarations!B$6:C$185,2,FALSE)))</f>
        <v>MATTHEW LEWIS</v>
      </c>
      <c r="C20" s="68" t="str">
        <f>IF(ISNA(VLOOKUP(A20,Declarations!B$6:F$185,5,FALSE)),"",IF(VLOOKUP(A20,Declarations!B$6:F$185,5,FALSE)="","---",VLOOKUP(A20,Declarations!B$6:F$185,5,FALSE)))</f>
        <v>Woking AC</v>
      </c>
      <c r="D20" s="319" t="str">
        <f>IF(ISNA(VLOOKUP(A20,Declarations!B$6:F$185,4,FALSE)),"",IF(VLOOKUP(A20,Declarations!B$6:F$185,4,FALSE)="","---",VLOOKUP(A20,Declarations!B$6:F$185,4,FALSE)))</f>
        <v>BOYS</v>
      </c>
      <c r="E20" s="245" t="s">
        <v>137</v>
      </c>
      <c r="F20" s="245" t="s">
        <v>137</v>
      </c>
      <c r="G20" s="245" t="s">
        <v>137</v>
      </c>
      <c r="H20" s="320"/>
    </row>
    <row r="21" spans="1:8" s="23" customFormat="1" ht="19.95" customHeight="1">
      <c r="A21" s="67">
        <v>39</v>
      </c>
      <c r="B21" s="68" t="str">
        <f>IF(ISNA(VLOOKUP(A21,Declarations!B$6:C$185,2,FALSE)),"",IF(VLOOKUP(A21,Declarations!B$6:C$185,2,FALSE)="","---",VLOOKUP(A21,Declarations!B$6:C$185,2,FALSE)))</f>
        <v>FREDDIE SMITH</v>
      </c>
      <c r="C21" s="68" t="str">
        <f>IF(ISNA(VLOOKUP(A21,Declarations!B$6:F$185,5,FALSE)),"",IF(VLOOKUP(A21,Declarations!B$6:F$185,5,FALSE)="","---",VLOOKUP(A21,Declarations!B$6:F$185,5,FALSE)))</f>
        <v>Woking AC</v>
      </c>
      <c r="D21" s="319" t="str">
        <f>IF(ISNA(VLOOKUP(A21,Declarations!B$6:F$185,4,FALSE)),"",IF(VLOOKUP(A21,Declarations!B$6:F$185,4,FALSE)="","---",VLOOKUP(A21,Declarations!B$6:F$185,4,FALSE)))</f>
        <v>BOYS</v>
      </c>
      <c r="E21" s="245" t="s">
        <v>137</v>
      </c>
      <c r="F21" s="245" t="s">
        <v>137</v>
      </c>
      <c r="G21" s="245" t="s">
        <v>137</v>
      </c>
      <c r="H21" s="320"/>
    </row>
    <row r="22" spans="1:8" s="23" customFormat="1" ht="19.95" customHeight="1">
      <c r="A22" s="67">
        <v>40</v>
      </c>
      <c r="B22" s="68" t="str">
        <f>IF(ISNA(VLOOKUP(A22,Declarations!B$6:C$185,2,FALSE)),"",IF(VLOOKUP(A22,Declarations!B$6:C$185,2,FALSE)="","---",VLOOKUP(A22,Declarations!B$6:C$185,2,FALSE)))</f>
        <v>OWEN BRAYBOOKE</v>
      </c>
      <c r="C22" s="68" t="str">
        <f>IF(ISNA(VLOOKUP(A22,Declarations!B$6:F$185,5,FALSE)),"",IF(VLOOKUP(A22,Declarations!B$6:F$185,5,FALSE)="","---",VLOOKUP(A22,Declarations!B$6:F$185,5,FALSE)))</f>
        <v>Woking AC</v>
      </c>
      <c r="D22" s="319" t="str">
        <f>IF(ISNA(VLOOKUP(A22,Declarations!B$6:F$185,4,FALSE)),"",IF(VLOOKUP(A22,Declarations!B$6:F$185,4,FALSE)="","---",VLOOKUP(A22,Declarations!B$6:F$185,4,FALSE)))</f>
        <v>BOYS</v>
      </c>
      <c r="E22" s="245" t="s">
        <v>137</v>
      </c>
      <c r="F22" s="245" t="s">
        <v>137</v>
      </c>
      <c r="G22" s="245" t="s">
        <v>137</v>
      </c>
      <c r="H22" s="320"/>
    </row>
    <row r="23" spans="1:8" s="23" customFormat="1" ht="19.95" customHeight="1">
      <c r="A23" s="67">
        <v>51</v>
      </c>
      <c r="B23" s="68" t="str">
        <f>IF(ISNA(VLOOKUP(A23,Declarations!B$6:C$185,2,FALSE)),"",IF(VLOOKUP(A23,Declarations!B$6:C$185,2,FALSE)="","---",VLOOKUP(A23,Declarations!B$6:C$185,2,FALSE)))</f>
        <v>OSCAR CARTWRIGHT</v>
      </c>
      <c r="C23" s="68" t="str">
        <f>IF(ISNA(VLOOKUP(A23,Declarations!B$6:F$185,5,FALSE)),"",IF(VLOOKUP(A23,Declarations!B$6:F$185,5,FALSE)="","---",VLOOKUP(A23,Declarations!B$6:F$185,5,FALSE)))</f>
        <v>Poole Runners</v>
      </c>
      <c r="D23" s="319" t="str">
        <f>IF(ISNA(VLOOKUP(A23,Declarations!B$6:F$185,4,FALSE)),"",IF(VLOOKUP(A23,Declarations!B$6:F$185,4,FALSE)="","---",VLOOKUP(A23,Declarations!B$6:F$185,4,FALSE)))</f>
        <v>BOYS</v>
      </c>
      <c r="E23" s="245" t="s">
        <v>137</v>
      </c>
      <c r="F23" s="245" t="s">
        <v>137</v>
      </c>
      <c r="G23" s="245" t="s">
        <v>137</v>
      </c>
      <c r="H23" s="320"/>
    </row>
    <row r="24" spans="1:8" s="23" customFormat="1" ht="19.95" customHeight="1">
      <c r="A24" s="67">
        <v>52</v>
      </c>
      <c r="B24" s="68" t="str">
        <f>IF(ISNA(VLOOKUP(A24,Declarations!B$6:C$185,2,FALSE)),"",IF(VLOOKUP(A24,Declarations!B$6:C$185,2,FALSE)="","---",VLOOKUP(A24,Declarations!B$6:C$185,2,FALSE)))</f>
        <v>MARLOWE PEACH</v>
      </c>
      <c r="C24" s="68" t="str">
        <f>IF(ISNA(VLOOKUP(A24,Declarations!B$6:F$185,5,FALSE)),"",IF(VLOOKUP(A24,Declarations!B$6:F$185,5,FALSE)="","---",VLOOKUP(A24,Declarations!B$6:F$185,5,FALSE)))</f>
        <v>Poole Runners</v>
      </c>
      <c r="D24" s="319" t="str">
        <f>IF(ISNA(VLOOKUP(A24,Declarations!B$6:F$185,4,FALSE)),"",IF(VLOOKUP(A24,Declarations!B$6:F$185,4,FALSE)="","---",VLOOKUP(A24,Declarations!B$6:F$185,4,FALSE)))</f>
        <v>BOYS</v>
      </c>
      <c r="E24" s="245" t="s">
        <v>137</v>
      </c>
      <c r="F24" s="245" t="s">
        <v>137</v>
      </c>
      <c r="G24" s="245" t="s">
        <v>137</v>
      </c>
      <c r="H24" s="320"/>
    </row>
    <row r="25" spans="1:8" s="23" customFormat="1" ht="19.95" customHeight="1">
      <c r="A25" s="67">
        <v>53</v>
      </c>
      <c r="B25" s="68" t="str">
        <f>IF(ISNA(VLOOKUP(A25,Declarations!B$6:C$185,2,FALSE)),"",IF(VLOOKUP(A25,Declarations!B$6:C$185,2,FALSE)="","---",VLOOKUP(A25,Declarations!B$6:C$185,2,FALSE)))</f>
        <v>OAKLEY SHEAN-STEVENS</v>
      </c>
      <c r="C25" s="68" t="str">
        <f>IF(ISNA(VLOOKUP(A25,Declarations!B$6:F$185,5,FALSE)),"",IF(VLOOKUP(A25,Declarations!B$6:F$185,5,FALSE)="","---",VLOOKUP(A25,Declarations!B$6:F$185,5,FALSE)))</f>
        <v>Poole Runners</v>
      </c>
      <c r="D25" s="319" t="str">
        <f>IF(ISNA(VLOOKUP(A25,Declarations!B$6:F$185,4,FALSE)),"",IF(VLOOKUP(A25,Declarations!B$6:F$185,4,FALSE)="","---",VLOOKUP(A25,Declarations!B$6:F$185,4,FALSE)))</f>
        <v>BOYS</v>
      </c>
      <c r="E25" s="245" t="s">
        <v>137</v>
      </c>
      <c r="F25" s="245" t="s">
        <v>137</v>
      </c>
      <c r="G25" s="245" t="s">
        <v>137</v>
      </c>
      <c r="H25" s="320"/>
    </row>
    <row r="26" spans="1:8" s="23" customFormat="1" ht="19.95" customHeight="1">
      <c r="A26" s="67">
        <v>54</v>
      </c>
      <c r="B26" s="68" t="str">
        <f>IF(ISNA(VLOOKUP(A26,Declarations!B$6:C$185,2,FALSE)),"",IF(VLOOKUP(A26,Declarations!B$6:C$185,2,FALSE)="","---",VLOOKUP(A26,Declarations!B$6:C$185,2,FALSE)))</f>
        <v>FERGUS STANNING</v>
      </c>
      <c r="C26" s="68" t="str">
        <f>IF(ISNA(VLOOKUP(A26,Declarations!B$6:F$185,5,FALSE)),"",IF(VLOOKUP(A26,Declarations!B$6:F$185,5,FALSE)="","---",VLOOKUP(A26,Declarations!B$6:F$185,5,FALSE)))</f>
        <v>Poole Runners</v>
      </c>
      <c r="D26" s="319" t="str">
        <f>IF(ISNA(VLOOKUP(A26,Declarations!B$6:F$185,4,FALSE)),"",IF(VLOOKUP(A26,Declarations!B$6:F$185,4,FALSE)="","---",VLOOKUP(A26,Declarations!B$6:F$185,4,FALSE)))</f>
        <v>BOYS</v>
      </c>
      <c r="E26" s="245" t="s">
        <v>137</v>
      </c>
      <c r="F26" s="245" t="s">
        <v>137</v>
      </c>
      <c r="G26" s="245" t="s">
        <v>137</v>
      </c>
      <c r="H26" s="320"/>
    </row>
    <row r="27" spans="1:8" s="23" customFormat="1" ht="19.95" customHeight="1">
      <c r="A27" s="67">
        <v>55</v>
      </c>
      <c r="B27" s="68" t="str">
        <f>IF(ISNA(VLOOKUP(A27,Declarations!B$6:C$185,2,FALSE)),"",IF(VLOOKUP(A27,Declarations!B$6:C$185,2,FALSE)="","---",VLOOKUP(A27,Declarations!B$6:C$185,2,FALSE)))</f>
        <v>BERTIE LEIGH</v>
      </c>
      <c r="C27" s="68" t="str">
        <f>IF(ISNA(VLOOKUP(A27,Declarations!B$6:F$185,5,FALSE)),"",IF(VLOOKUP(A27,Declarations!B$6:F$185,5,FALSE)="","---",VLOOKUP(A27,Declarations!B$6:F$185,5,FALSE)))</f>
        <v>Poole Runners</v>
      </c>
      <c r="D27" s="319" t="str">
        <f>IF(ISNA(VLOOKUP(A27,Declarations!B$6:F$185,4,FALSE)),"",IF(VLOOKUP(A27,Declarations!B$6:F$185,4,FALSE)="","---",VLOOKUP(A27,Declarations!B$6:F$185,4,FALSE)))</f>
        <v>BOYS</v>
      </c>
      <c r="E27" s="245" t="s">
        <v>137</v>
      </c>
      <c r="F27" s="245" t="s">
        <v>137</v>
      </c>
      <c r="G27" s="245" t="s">
        <v>137</v>
      </c>
      <c r="H27" s="320"/>
    </row>
    <row r="28" spans="1:8" s="23" customFormat="1" ht="19.95" customHeight="1">
      <c r="A28" s="67">
        <v>56</v>
      </c>
      <c r="B28" s="68" t="str">
        <f>IF(ISNA(VLOOKUP(A28,Declarations!B$6:C$185,2,FALSE)),"",IF(VLOOKUP(A28,Declarations!B$6:C$185,2,FALSE)="","---",VLOOKUP(A28,Declarations!B$6:C$185,2,FALSE)))</f>
        <v>LEO AMEY</v>
      </c>
      <c r="C28" s="68" t="str">
        <f>IF(ISNA(VLOOKUP(A28,Declarations!B$6:F$185,5,FALSE)),"",IF(VLOOKUP(A28,Declarations!B$6:F$185,5,FALSE)="","---",VLOOKUP(A28,Declarations!B$6:F$185,5,FALSE)))</f>
        <v>Poole Runners</v>
      </c>
      <c r="D28" s="319" t="str">
        <f>IF(ISNA(VLOOKUP(A28,Declarations!B$6:F$185,4,FALSE)),"",IF(VLOOKUP(A28,Declarations!B$6:F$185,4,FALSE)="","---",VLOOKUP(A28,Declarations!B$6:F$185,4,FALSE)))</f>
        <v>BOYS</v>
      </c>
      <c r="E28" s="245" t="s">
        <v>137</v>
      </c>
      <c r="F28" s="245" t="s">
        <v>137</v>
      </c>
      <c r="G28" s="245" t="s">
        <v>137</v>
      </c>
      <c r="H28" s="320"/>
    </row>
    <row r="29" spans="1:8" s="23" customFormat="1" ht="19.95" customHeight="1">
      <c r="A29" s="67">
        <v>57</v>
      </c>
      <c r="B29" s="68" t="str">
        <f>IF(ISNA(VLOOKUP(A29,Declarations!B$6:C$185,2,FALSE)),"",IF(VLOOKUP(A29,Declarations!B$6:C$185,2,FALSE)="","---",VLOOKUP(A29,Declarations!B$6:C$185,2,FALSE)))</f>
        <v>SAM SUCKLING</v>
      </c>
      <c r="C29" s="68" t="str">
        <f>IF(ISNA(VLOOKUP(A29,Declarations!B$6:F$185,5,FALSE)),"",IF(VLOOKUP(A29,Declarations!B$6:F$185,5,FALSE)="","---",VLOOKUP(A29,Declarations!B$6:F$185,5,FALSE)))</f>
        <v>Poole Runners</v>
      </c>
      <c r="D29" s="319" t="str">
        <f>IF(ISNA(VLOOKUP(A29,Declarations!B$6:F$185,4,FALSE)),"",IF(VLOOKUP(A29,Declarations!B$6:F$185,4,FALSE)="","---",VLOOKUP(A29,Declarations!B$6:F$185,4,FALSE)))</f>
        <v>BOYS</v>
      </c>
      <c r="E29" s="245" t="s">
        <v>137</v>
      </c>
      <c r="F29" s="245" t="s">
        <v>137</v>
      </c>
      <c r="G29" s="245" t="s">
        <v>137</v>
      </c>
      <c r="H29" s="320"/>
    </row>
    <row r="30" spans="1:8" s="23" customFormat="1" ht="19.95" customHeight="1">
      <c r="A30" s="67">
        <v>58</v>
      </c>
      <c r="B30" s="68" t="str">
        <f>IF(ISNA(VLOOKUP(A30,Declarations!B$6:C$185,2,FALSE)),"",IF(VLOOKUP(A30,Declarations!B$6:C$185,2,FALSE)="","---",VLOOKUP(A30,Declarations!B$6:C$185,2,FALSE)))</f>
        <v>FINLAY KENYON</v>
      </c>
      <c r="C30" s="68" t="str">
        <f>IF(ISNA(VLOOKUP(A30,Declarations!B$6:F$185,5,FALSE)),"",IF(VLOOKUP(A30,Declarations!B$6:F$185,5,FALSE)="","---",VLOOKUP(A30,Declarations!B$6:F$185,5,FALSE)))</f>
        <v>Poole Runners</v>
      </c>
      <c r="D30" s="319" t="str">
        <f>IF(ISNA(VLOOKUP(A30,Declarations!B$6:F$185,4,FALSE)),"",IF(VLOOKUP(A30,Declarations!B$6:F$185,4,FALSE)="","---",VLOOKUP(A30,Declarations!B$6:F$185,4,FALSE)))</f>
        <v>BOYS</v>
      </c>
      <c r="E30" s="245" t="s">
        <v>137</v>
      </c>
      <c r="F30" s="245" t="s">
        <v>137</v>
      </c>
      <c r="G30" s="245" t="s">
        <v>137</v>
      </c>
      <c r="H30" s="320"/>
    </row>
    <row r="31" spans="1:8" s="23" customFormat="1" ht="19.95" customHeight="1">
      <c r="A31" s="67"/>
      <c r="B31" s="68" t="str">
        <f>IF(ISNA(VLOOKUP(A31,Declarations!B$6:C$185,2,FALSE)),"",IF(VLOOKUP(A31,Declarations!B$6:C$185,2,FALSE)="","---",VLOOKUP(A31,Declarations!B$6:C$185,2,FALSE)))</f>
        <v/>
      </c>
      <c r="C31" s="68" t="str">
        <f>IF(ISNA(VLOOKUP(A31,Declarations!B$6:F$185,5,FALSE)),"",IF(VLOOKUP(A31,Declarations!B$6:F$185,5,FALSE)="","---",VLOOKUP(A31,Declarations!B$6:F$185,5,FALSE)))</f>
        <v/>
      </c>
      <c r="D31" s="319" t="str">
        <f>IF(ISNA(VLOOKUP(A31,Declarations!B$6:F$185,4,FALSE)),"",IF(VLOOKUP(A31,Declarations!B$6:F$185,4,FALSE)="","---",VLOOKUP(A31,Declarations!B$6:F$185,4,FALSE)))</f>
        <v/>
      </c>
      <c r="E31" s="245" t="s">
        <v>137</v>
      </c>
      <c r="F31" s="245" t="s">
        <v>137</v>
      </c>
      <c r="G31" s="245" t="s">
        <v>137</v>
      </c>
      <c r="H31" s="320"/>
    </row>
    <row r="32" spans="1:8" s="23" customFormat="1" ht="19.95" customHeight="1">
      <c r="A32" s="67"/>
      <c r="B32" s="68" t="str">
        <f>IF(ISNA(VLOOKUP(A32,Declarations!B$6:C$185,2,FALSE)),"",IF(VLOOKUP(A32,Declarations!B$6:C$185,2,FALSE)="","---",VLOOKUP(A32,Declarations!B$6:C$185,2,FALSE)))</f>
        <v/>
      </c>
      <c r="C32" s="68" t="str">
        <f>IF(ISNA(VLOOKUP(A32,Declarations!B$6:F$185,5,FALSE)),"",IF(VLOOKUP(A32,Declarations!B$6:F$185,5,FALSE)="","---",VLOOKUP(A32,Declarations!B$6:F$185,5,FALSE)))</f>
        <v/>
      </c>
      <c r="D32" s="319" t="str">
        <f>IF(ISNA(VLOOKUP(A32,Declarations!B$6:F$185,4,FALSE)),"",IF(VLOOKUP(A32,Declarations!B$6:F$185,4,FALSE)="","---",VLOOKUP(A32,Declarations!B$6:F$185,4,FALSE)))</f>
        <v/>
      </c>
      <c r="E32" s="245" t="s">
        <v>137</v>
      </c>
      <c r="F32" s="245" t="s">
        <v>137</v>
      </c>
      <c r="G32" s="245" t="s">
        <v>137</v>
      </c>
      <c r="H32" s="320"/>
    </row>
    <row r="33" spans="1:8" s="23" customFormat="1" ht="19.95" customHeight="1">
      <c r="A33" s="67"/>
      <c r="B33" s="68" t="str">
        <f>IF(ISNA(VLOOKUP(A33,Declarations!B$6:C$185,2,FALSE)),"",IF(VLOOKUP(A33,Declarations!B$6:C$185,2,FALSE)="","---",VLOOKUP(A33,Declarations!B$6:C$185,2,FALSE)))</f>
        <v/>
      </c>
      <c r="C33" s="68" t="str">
        <f>IF(ISNA(VLOOKUP(A33,Declarations!B$6:F$185,5,FALSE)),"",IF(VLOOKUP(A33,Declarations!B$6:F$185,5,FALSE)="","---",VLOOKUP(A33,Declarations!B$6:F$185,5,FALSE)))</f>
        <v/>
      </c>
      <c r="D33" s="319" t="str">
        <f>IF(ISNA(VLOOKUP(A33,Declarations!B$6:F$185,4,FALSE)),"",IF(VLOOKUP(A33,Declarations!B$6:F$185,4,FALSE)="","---",VLOOKUP(A33,Declarations!B$6:F$185,4,FALSE)))</f>
        <v/>
      </c>
      <c r="E33" s="245" t="s">
        <v>137</v>
      </c>
      <c r="F33" s="245" t="s">
        <v>137</v>
      </c>
      <c r="G33" s="245" t="s">
        <v>137</v>
      </c>
      <c r="H33" s="320"/>
    </row>
    <row r="34" spans="1:8" s="23" customFormat="1" ht="19.95" customHeight="1">
      <c r="A34" s="67"/>
      <c r="B34" s="68" t="str">
        <f>IF(ISNA(VLOOKUP(A34,Declarations!B$6:C$185,2,FALSE)),"",IF(VLOOKUP(A34,Declarations!B$6:C$185,2,FALSE)="","---",VLOOKUP(A34,Declarations!B$6:C$185,2,FALSE)))</f>
        <v/>
      </c>
      <c r="C34" s="68" t="str">
        <f>IF(ISNA(VLOOKUP(A34,Declarations!B$6:F$185,5,FALSE)),"",IF(VLOOKUP(A34,Declarations!B$6:F$185,5,FALSE)="","---",VLOOKUP(A34,Declarations!B$6:F$185,5,FALSE)))</f>
        <v/>
      </c>
      <c r="D34" s="319" t="str">
        <f>IF(ISNA(VLOOKUP(A34,Declarations!B$6:F$185,4,FALSE)),"",IF(VLOOKUP(A34,Declarations!B$6:F$185,4,FALSE)="","---",VLOOKUP(A34,Declarations!B$6:F$185,4,FALSE)))</f>
        <v/>
      </c>
      <c r="E34" s="245" t="s">
        <v>137</v>
      </c>
      <c r="F34" s="245" t="s">
        <v>137</v>
      </c>
      <c r="G34" s="245" t="s">
        <v>137</v>
      </c>
      <c r="H34" s="320"/>
    </row>
    <row r="35" spans="1:8" ht="16.05" customHeight="1">
      <c r="A35" s="69"/>
      <c r="B35" s="70"/>
      <c r="C35" s="70"/>
      <c r="D35" s="70"/>
      <c r="E35" s="71"/>
      <c r="F35" s="71"/>
      <c r="G35" s="71"/>
      <c r="H35" s="71"/>
    </row>
    <row r="36" spans="1:8" ht="16.05" customHeight="1">
      <c r="A36" s="69"/>
      <c r="B36" s="70"/>
      <c r="C36" s="70"/>
      <c r="D36" s="70"/>
      <c r="E36" s="498" t="s">
        <v>138</v>
      </c>
      <c r="F36" s="498"/>
      <c r="G36" s="490" t="s">
        <v>139</v>
      </c>
      <c r="H36" s="490"/>
    </row>
    <row r="37" spans="1:8" ht="16.05" customHeight="1">
      <c r="A37" s="69"/>
      <c r="B37" s="499" t="s">
        <v>140</v>
      </c>
      <c r="C37" s="500"/>
      <c r="D37" s="70"/>
      <c r="E37" s="490"/>
      <c r="F37" s="490"/>
      <c r="G37" s="490"/>
      <c r="H37" s="490"/>
    </row>
    <row r="38" spans="1:8" ht="16.05" customHeight="1">
      <c r="A38" s="69"/>
      <c r="B38" s="501"/>
      <c r="C38" s="502"/>
      <c r="D38" s="70"/>
      <c r="E38" s="490"/>
      <c r="F38" s="490"/>
      <c r="G38" s="490"/>
      <c r="H38" s="490"/>
    </row>
    <row r="39" spans="1:8" ht="16.05" customHeight="1">
      <c r="A39" s="69"/>
      <c r="B39" s="70"/>
      <c r="C39" s="70"/>
      <c r="D39" s="70"/>
      <c r="E39" s="490"/>
      <c r="F39" s="490"/>
      <c r="G39" s="490"/>
      <c r="H39" s="490"/>
    </row>
    <row r="40" spans="1:8" ht="7.95" customHeight="1">
      <c r="A40" s="69"/>
      <c r="B40" s="70"/>
      <c r="C40" s="70"/>
      <c r="D40" s="70"/>
      <c r="E40" s="93"/>
      <c r="F40" s="93"/>
      <c r="G40" s="93"/>
      <c r="H40" s="93"/>
    </row>
    <row r="41" spans="1:8" ht="19.95" customHeight="1">
      <c r="A41" s="491" t="str">
        <f>'Read Me First'!A1:F1</f>
        <v>Wessex Young Athletes Track and Field League 2026</v>
      </c>
      <c r="B41" s="492"/>
      <c r="C41" s="492"/>
      <c r="D41" s="492"/>
      <c r="E41" s="492"/>
      <c r="F41" s="492"/>
      <c r="G41" s="492"/>
      <c r="H41" s="493"/>
    </row>
    <row r="42" spans="1:8" ht="18" customHeight="1">
      <c r="A42" s="60" t="s">
        <v>13</v>
      </c>
      <c r="B42" s="61">
        <f>'Read Me First'!$C$10</f>
        <v>46201</v>
      </c>
      <c r="C42" s="92">
        <v>0.46875</v>
      </c>
      <c r="D42" s="60" t="s">
        <v>70</v>
      </c>
      <c r="E42" s="494" t="str">
        <f>$E$2</f>
        <v>Camberley &amp; District AC @ Woking</v>
      </c>
      <c r="F42" s="495"/>
      <c r="G42" s="495"/>
      <c r="H42" s="496"/>
    </row>
    <row r="43" spans="1:8" ht="18" customHeight="1">
      <c r="A43" s="497" t="s">
        <v>141</v>
      </c>
      <c r="B43" s="497"/>
      <c r="C43" s="497"/>
      <c r="D43" s="497"/>
      <c r="E43" s="59">
        <v>1</v>
      </c>
      <c r="F43" s="59">
        <v>2</v>
      </c>
      <c r="G43" s="59">
        <v>3</v>
      </c>
      <c r="H43" s="59" t="s">
        <v>136</v>
      </c>
    </row>
    <row r="44" spans="1:8" ht="18" customHeight="1">
      <c r="A44" s="65"/>
      <c r="B44" s="65"/>
      <c r="C44" s="65"/>
      <c r="D44" s="65"/>
      <c r="E44" s="66"/>
      <c r="F44" s="66"/>
      <c r="G44" s="66"/>
      <c r="H44" s="66"/>
    </row>
    <row r="45" spans="1:8" ht="19.95" customHeight="1">
      <c r="A45" s="67" cm="1">
        <f t="array" ref="A45:A67">IFERROR(_xlfn.TEXTSPLIT(IFERROR(_xlfn.TEXTJOIN(",",TRUE,_xlfn._xlws.FILTER(BlockAllocations!$F$3:$F$20,BlockAllocations!$E$3:$E$20=BlockAllocations!$G$7)),""),,",")+0,"!")</f>
        <v>71</v>
      </c>
      <c r="B45" s="68" t="str">
        <f>IF(ISNA(VLOOKUP(A45,Declarations!B$6:C$185,2,FALSE)),"",IF(VLOOKUP(A45,Declarations!B$6:C$185,2,FALSE)="","---",VLOOKUP(A45,Declarations!B$6:C$185,2,FALSE)))</f>
        <v>JESSE MCDONNELL</v>
      </c>
      <c r="C45" s="68" t="str">
        <f>IF(ISNA(VLOOKUP(A45,Declarations!B$6:F$185,5,FALSE)),"",IF(VLOOKUP(A45,Declarations!B$6:F$185,5,FALSE)="","---",VLOOKUP(A45,Declarations!B$6:F$185,5,FALSE)))</f>
        <v>Fleet &amp; Crookham AC</v>
      </c>
      <c r="D45" s="319" t="str">
        <f>IF(ISNA(VLOOKUP(A45,Declarations!B$6:F$185,4,FALSE)),"",IF(VLOOKUP(A45,Declarations!B$6:F$185,4,FALSE)="","---",VLOOKUP(A45,Declarations!B$6:F$185,4,FALSE)))</f>
        <v>BOYS</v>
      </c>
      <c r="E45" s="245" t="s">
        <v>137</v>
      </c>
      <c r="F45" s="245" t="s">
        <v>137</v>
      </c>
      <c r="G45" s="245" t="s">
        <v>137</v>
      </c>
      <c r="H45" s="320"/>
    </row>
    <row r="46" spans="1:8" ht="19.95" customHeight="1">
      <c r="A46" s="67">
        <v>72</v>
      </c>
      <c r="B46" s="68" t="str">
        <f>IF(ISNA(VLOOKUP(A46,Declarations!B$6:C$185,2,FALSE)),"",IF(VLOOKUP(A46,Declarations!B$6:C$185,2,FALSE)="","---",VLOOKUP(A46,Declarations!B$6:C$185,2,FALSE)))</f>
        <v>LEVI KIRWAN</v>
      </c>
      <c r="C46" s="68" t="str">
        <f>IF(ISNA(VLOOKUP(A46,Declarations!B$6:F$185,5,FALSE)),"",IF(VLOOKUP(A46,Declarations!B$6:F$185,5,FALSE)="","---",VLOOKUP(A46,Declarations!B$6:F$185,5,FALSE)))</f>
        <v>Fleet &amp; Crookham AC</v>
      </c>
      <c r="D46" s="319" t="str">
        <f>IF(ISNA(VLOOKUP(A46,Declarations!B$6:F$185,4,FALSE)),"",IF(VLOOKUP(A46,Declarations!B$6:F$185,4,FALSE)="","---",VLOOKUP(A46,Declarations!B$6:F$185,4,FALSE)))</f>
        <v>BOYS</v>
      </c>
      <c r="E46" s="245" t="s">
        <v>137</v>
      </c>
      <c r="F46" s="245" t="s">
        <v>137</v>
      </c>
      <c r="G46" s="245" t="s">
        <v>137</v>
      </c>
      <c r="H46" s="320"/>
    </row>
    <row r="47" spans="1:8" ht="19.95" customHeight="1">
      <c r="A47" s="67">
        <v>73</v>
      </c>
      <c r="B47" s="68" t="str">
        <f>IF(ISNA(VLOOKUP(A47,Declarations!B$6:C$185,2,FALSE)),"",IF(VLOOKUP(A47,Declarations!B$6:C$185,2,FALSE)="","---",VLOOKUP(A47,Declarations!B$6:C$185,2,FALSE)))</f>
        <v>CHARLIE BLACKWELL</v>
      </c>
      <c r="C47" s="68" t="str">
        <f>IF(ISNA(VLOOKUP(A47,Declarations!B$6:F$185,5,FALSE)),"",IF(VLOOKUP(A47,Declarations!B$6:F$185,5,FALSE)="","---",VLOOKUP(A47,Declarations!B$6:F$185,5,FALSE)))</f>
        <v>Fleet &amp; Crookham AC</v>
      </c>
      <c r="D47" s="319" t="str">
        <f>IF(ISNA(VLOOKUP(A47,Declarations!B$6:F$185,4,FALSE)),"",IF(VLOOKUP(A47,Declarations!B$6:F$185,4,FALSE)="","---",VLOOKUP(A47,Declarations!B$6:F$185,4,FALSE)))</f>
        <v>BOYS</v>
      </c>
      <c r="E47" s="245" t="s">
        <v>137</v>
      </c>
      <c r="F47" s="245" t="s">
        <v>137</v>
      </c>
      <c r="G47" s="245" t="s">
        <v>137</v>
      </c>
      <c r="H47" s="320"/>
    </row>
    <row r="48" spans="1:8" ht="19.95" customHeight="1">
      <c r="A48" s="67">
        <v>74</v>
      </c>
      <c r="B48" s="68" t="str">
        <f>IF(ISNA(VLOOKUP(A48,Declarations!B$6:C$185,2,FALSE)),"",IF(VLOOKUP(A48,Declarations!B$6:C$185,2,FALSE)="","---",VLOOKUP(A48,Declarations!B$6:C$185,2,FALSE)))</f>
        <v>THOMAS MOORE</v>
      </c>
      <c r="C48" s="68" t="str">
        <f>IF(ISNA(VLOOKUP(A48,Declarations!B$6:F$185,5,FALSE)),"",IF(VLOOKUP(A48,Declarations!B$6:F$185,5,FALSE)="","---",VLOOKUP(A48,Declarations!B$6:F$185,5,FALSE)))</f>
        <v>Fleet &amp; Crookham AC</v>
      </c>
      <c r="D48" s="319" t="str">
        <f>IF(ISNA(VLOOKUP(A48,Declarations!B$6:F$185,4,FALSE)),"",IF(VLOOKUP(A48,Declarations!B$6:F$185,4,FALSE)="","---",VLOOKUP(A48,Declarations!B$6:F$185,4,FALSE)))</f>
        <v>BOYS</v>
      </c>
      <c r="E48" s="245" t="s">
        <v>137</v>
      </c>
      <c r="F48" s="245" t="s">
        <v>137</v>
      </c>
      <c r="G48" s="245" t="s">
        <v>137</v>
      </c>
      <c r="H48" s="320"/>
    </row>
    <row r="49" spans="1:8" ht="19.95" customHeight="1">
      <c r="A49" s="67">
        <v>75</v>
      </c>
      <c r="B49" s="68" t="str">
        <f>IF(ISNA(VLOOKUP(A49,Declarations!B$6:C$185,2,FALSE)),"",IF(VLOOKUP(A49,Declarations!B$6:C$185,2,FALSE)="","---",VLOOKUP(A49,Declarations!B$6:C$185,2,FALSE)))</f>
        <v>MURRAY VOADEN</v>
      </c>
      <c r="C49" s="68" t="str">
        <f>IF(ISNA(VLOOKUP(A49,Declarations!B$6:F$185,5,FALSE)),"",IF(VLOOKUP(A49,Declarations!B$6:F$185,5,FALSE)="","---",VLOOKUP(A49,Declarations!B$6:F$185,5,FALSE)))</f>
        <v>Fleet &amp; Crookham AC</v>
      </c>
      <c r="D49" s="319" t="str">
        <f>IF(ISNA(VLOOKUP(A49,Declarations!B$6:F$185,4,FALSE)),"",IF(VLOOKUP(A49,Declarations!B$6:F$185,4,FALSE)="","---",VLOOKUP(A49,Declarations!B$6:F$185,4,FALSE)))</f>
        <v>BOYS</v>
      </c>
      <c r="E49" s="245" t="s">
        <v>137</v>
      </c>
      <c r="F49" s="245" t="s">
        <v>137</v>
      </c>
      <c r="G49" s="245" t="s">
        <v>137</v>
      </c>
      <c r="H49" s="320"/>
    </row>
    <row r="50" spans="1:8" ht="19.95" customHeight="1">
      <c r="A50" s="67">
        <v>76</v>
      </c>
      <c r="B50" s="68" t="str">
        <f>IF(ISNA(VLOOKUP(A50,Declarations!B$6:C$185,2,FALSE)),"",IF(VLOOKUP(A50,Declarations!B$6:C$185,2,FALSE)="","---",VLOOKUP(A50,Declarations!B$6:C$185,2,FALSE)))</f>
        <v>DYLAN MARLEY</v>
      </c>
      <c r="C50" s="68" t="str">
        <f>IF(ISNA(VLOOKUP(A50,Declarations!B$6:F$185,5,FALSE)),"",IF(VLOOKUP(A50,Declarations!B$6:F$185,5,FALSE)="","---",VLOOKUP(A50,Declarations!B$6:F$185,5,FALSE)))</f>
        <v>Fleet &amp; Crookham AC</v>
      </c>
      <c r="D50" s="319" t="str">
        <f>IF(ISNA(VLOOKUP(A50,Declarations!B$6:F$185,4,FALSE)),"",IF(VLOOKUP(A50,Declarations!B$6:F$185,4,FALSE)="","---",VLOOKUP(A50,Declarations!B$6:F$185,4,FALSE)))</f>
        <v>BOYS</v>
      </c>
      <c r="E50" s="245" t="s">
        <v>137</v>
      </c>
      <c r="F50" s="245" t="s">
        <v>137</v>
      </c>
      <c r="G50" s="245" t="s">
        <v>137</v>
      </c>
      <c r="H50" s="320"/>
    </row>
    <row r="51" spans="1:8" ht="19.95" customHeight="1">
      <c r="A51" s="67">
        <v>91</v>
      </c>
      <c r="B51" s="68" t="str">
        <f>IF(ISNA(VLOOKUP(A51,Declarations!B$6:C$185,2,FALSE)),"",IF(VLOOKUP(A51,Declarations!B$6:C$185,2,FALSE)="","---",VLOOKUP(A51,Declarations!B$6:C$185,2,FALSE)))</f>
        <v>NOAH BARKER</v>
      </c>
      <c r="C51" s="68" t="str">
        <f>IF(ISNA(VLOOKUP(A51,Declarations!B$6:F$185,5,FALSE)),"",IF(VLOOKUP(A51,Declarations!B$6:F$185,5,FALSE)="","---",VLOOKUP(A51,Declarations!B$6:F$185,5,FALSE)))</f>
        <v>Waverley Athletics Club</v>
      </c>
      <c r="D51" s="319" t="str">
        <f>IF(ISNA(VLOOKUP(A51,Declarations!B$6:F$185,4,FALSE)),"",IF(VLOOKUP(A51,Declarations!B$6:F$185,4,FALSE)="","---",VLOOKUP(A51,Declarations!B$6:F$185,4,FALSE)))</f>
        <v>BOYS</v>
      </c>
      <c r="E51" s="245" t="s">
        <v>137</v>
      </c>
      <c r="F51" s="245" t="s">
        <v>137</v>
      </c>
      <c r="G51" s="245" t="s">
        <v>137</v>
      </c>
      <c r="H51" s="320"/>
    </row>
    <row r="52" spans="1:8" ht="19.95" customHeight="1">
      <c r="A52" s="67">
        <v>92</v>
      </c>
      <c r="B52" s="68" t="str">
        <f>IF(ISNA(VLOOKUP(A52,Declarations!B$6:C$185,2,FALSE)),"",IF(VLOOKUP(A52,Declarations!B$6:C$185,2,FALSE)="","---",VLOOKUP(A52,Declarations!B$6:C$185,2,FALSE)))</f>
        <v>BLAKE BARNES</v>
      </c>
      <c r="C52" s="68" t="str">
        <f>IF(ISNA(VLOOKUP(A52,Declarations!B$6:F$185,5,FALSE)),"",IF(VLOOKUP(A52,Declarations!B$6:F$185,5,FALSE)="","---",VLOOKUP(A52,Declarations!B$6:F$185,5,FALSE)))</f>
        <v>Waverley Athletics Club</v>
      </c>
      <c r="D52" s="319" t="str">
        <f>IF(ISNA(VLOOKUP(A52,Declarations!B$6:F$185,4,FALSE)),"",IF(VLOOKUP(A52,Declarations!B$6:F$185,4,FALSE)="","---",VLOOKUP(A52,Declarations!B$6:F$185,4,FALSE)))</f>
        <v>BOYS</v>
      </c>
      <c r="E52" s="245" t="s">
        <v>137</v>
      </c>
      <c r="F52" s="245" t="s">
        <v>137</v>
      </c>
      <c r="G52" s="245" t="s">
        <v>137</v>
      </c>
      <c r="H52" s="320"/>
    </row>
    <row r="53" spans="1:8" ht="19.95" customHeight="1">
      <c r="A53" s="67">
        <v>93</v>
      </c>
      <c r="B53" s="68" t="str">
        <f>IF(ISNA(VLOOKUP(A53,Declarations!B$6:C$185,2,FALSE)),"",IF(VLOOKUP(A53,Declarations!B$6:C$185,2,FALSE)="","---",VLOOKUP(A53,Declarations!B$6:C$185,2,FALSE)))</f>
        <v>BEN QUICK</v>
      </c>
      <c r="C53" s="68" t="str">
        <f>IF(ISNA(VLOOKUP(A53,Declarations!B$6:F$185,5,FALSE)),"",IF(VLOOKUP(A53,Declarations!B$6:F$185,5,FALSE)="","---",VLOOKUP(A53,Declarations!B$6:F$185,5,FALSE)))</f>
        <v>Waverley Athletics Club</v>
      </c>
      <c r="D53" s="319" t="str">
        <f>IF(ISNA(VLOOKUP(A53,Declarations!B$6:F$185,4,FALSE)),"",IF(VLOOKUP(A53,Declarations!B$6:F$185,4,FALSE)="","---",VLOOKUP(A53,Declarations!B$6:F$185,4,FALSE)))</f>
        <v>BOYS</v>
      </c>
      <c r="E53" s="245" t="s">
        <v>137</v>
      </c>
      <c r="F53" s="245" t="s">
        <v>137</v>
      </c>
      <c r="G53" s="245" t="s">
        <v>137</v>
      </c>
      <c r="H53" s="320"/>
    </row>
    <row r="54" spans="1:8" ht="19.95" customHeight="1">
      <c r="A54" s="67">
        <v>94</v>
      </c>
      <c r="B54" s="68" t="str">
        <f>IF(ISNA(VLOOKUP(A54,Declarations!B$6:C$185,2,FALSE)),"",IF(VLOOKUP(A54,Declarations!B$6:C$185,2,FALSE)="","---",VLOOKUP(A54,Declarations!B$6:C$185,2,FALSE)))</f>
        <v>DANIEL BURKE</v>
      </c>
      <c r="C54" s="68" t="str">
        <f>IF(ISNA(VLOOKUP(A54,Declarations!B$6:F$185,5,FALSE)),"",IF(VLOOKUP(A54,Declarations!B$6:F$185,5,FALSE)="","---",VLOOKUP(A54,Declarations!B$6:F$185,5,FALSE)))</f>
        <v>Waverley Athletics Club</v>
      </c>
      <c r="D54" s="319" t="str">
        <f>IF(ISNA(VLOOKUP(A54,Declarations!B$6:F$185,4,FALSE)),"",IF(VLOOKUP(A54,Declarations!B$6:F$185,4,FALSE)="","---",VLOOKUP(A54,Declarations!B$6:F$185,4,FALSE)))</f>
        <v>BOYS</v>
      </c>
      <c r="E54" s="245" t="s">
        <v>137</v>
      </c>
      <c r="F54" s="245" t="s">
        <v>137</v>
      </c>
      <c r="G54" s="245" t="s">
        <v>137</v>
      </c>
      <c r="H54" s="320"/>
    </row>
    <row r="55" spans="1:8" ht="19.95" customHeight="1">
      <c r="A55" s="67">
        <v>95</v>
      </c>
      <c r="B55" s="68" t="str">
        <f>IF(ISNA(VLOOKUP(A55,Declarations!B$6:C$185,2,FALSE)),"",IF(VLOOKUP(A55,Declarations!B$6:C$185,2,FALSE)="","---",VLOOKUP(A55,Declarations!B$6:C$185,2,FALSE)))</f>
        <v>LEONARDO OLALEMI</v>
      </c>
      <c r="C55" s="68" t="str">
        <f>IF(ISNA(VLOOKUP(A55,Declarations!B$6:F$185,5,FALSE)),"",IF(VLOOKUP(A55,Declarations!B$6:F$185,5,FALSE)="","---",VLOOKUP(A55,Declarations!B$6:F$185,5,FALSE)))</f>
        <v>Waverley Athletics Club</v>
      </c>
      <c r="D55" s="319" t="str">
        <f>IF(ISNA(VLOOKUP(A55,Declarations!B$6:F$185,4,FALSE)),"",IF(VLOOKUP(A55,Declarations!B$6:F$185,4,FALSE)="","---",VLOOKUP(A55,Declarations!B$6:F$185,4,FALSE)))</f>
        <v>BOYS</v>
      </c>
      <c r="E55" s="245" t="s">
        <v>137</v>
      </c>
      <c r="F55" s="245" t="s">
        <v>137</v>
      </c>
      <c r="G55" s="245" t="s">
        <v>137</v>
      </c>
      <c r="H55" s="320"/>
    </row>
    <row r="56" spans="1:8" ht="19.95" customHeight="1">
      <c r="A56" s="67">
        <v>96</v>
      </c>
      <c r="B56" s="68" t="str">
        <f>IF(ISNA(VLOOKUP(A56,Declarations!B$6:C$185,2,FALSE)),"",IF(VLOOKUP(A56,Declarations!B$6:C$185,2,FALSE)="","---",VLOOKUP(A56,Declarations!B$6:C$185,2,FALSE)))</f>
        <v>TADHG WATSON</v>
      </c>
      <c r="C56" s="68" t="str">
        <f>IF(ISNA(VLOOKUP(A56,Declarations!B$6:F$185,5,FALSE)),"",IF(VLOOKUP(A56,Declarations!B$6:F$185,5,FALSE)="","---",VLOOKUP(A56,Declarations!B$6:F$185,5,FALSE)))</f>
        <v>Waverley Athletics Club</v>
      </c>
      <c r="D56" s="319" t="str">
        <f>IF(ISNA(VLOOKUP(A56,Declarations!B$6:F$185,4,FALSE)),"",IF(VLOOKUP(A56,Declarations!B$6:F$185,4,FALSE)="","---",VLOOKUP(A56,Declarations!B$6:F$185,4,FALSE)))</f>
        <v>BOYS</v>
      </c>
      <c r="E56" s="245" t="s">
        <v>137</v>
      </c>
      <c r="F56" s="245" t="s">
        <v>137</v>
      </c>
      <c r="G56" s="245" t="s">
        <v>137</v>
      </c>
      <c r="H56" s="320"/>
    </row>
    <row r="57" spans="1:8" ht="19.95" customHeight="1">
      <c r="A57" s="67">
        <v>97</v>
      </c>
      <c r="B57" s="68" t="str">
        <f>IF(ISNA(VLOOKUP(A57,Declarations!B$6:C$185,2,FALSE)),"",IF(VLOOKUP(A57,Declarations!B$6:C$185,2,FALSE)="","---",VLOOKUP(A57,Declarations!B$6:C$185,2,FALSE)))</f>
        <v>STAN CLIPSHAM</v>
      </c>
      <c r="C57" s="68" t="str">
        <f>IF(ISNA(VLOOKUP(A57,Declarations!B$6:F$185,5,FALSE)),"",IF(VLOOKUP(A57,Declarations!B$6:F$185,5,FALSE)="","---",VLOOKUP(A57,Declarations!B$6:F$185,5,FALSE)))</f>
        <v>Waverley Athletics Club</v>
      </c>
      <c r="D57" s="319" t="str">
        <f>IF(ISNA(VLOOKUP(A57,Declarations!B$6:F$185,4,FALSE)),"",IF(VLOOKUP(A57,Declarations!B$6:F$185,4,FALSE)="","---",VLOOKUP(A57,Declarations!B$6:F$185,4,FALSE)))</f>
        <v>BOYS</v>
      </c>
      <c r="E57" s="245" t="s">
        <v>137</v>
      </c>
      <c r="F57" s="245" t="s">
        <v>137</v>
      </c>
      <c r="G57" s="245" t="s">
        <v>137</v>
      </c>
      <c r="H57" s="320"/>
    </row>
    <row r="58" spans="1:8" ht="19.95" customHeight="1">
      <c r="A58" s="67">
        <v>111</v>
      </c>
      <c r="B58" s="68" t="str">
        <f>IF(ISNA(VLOOKUP(A58,Declarations!B$6:C$185,2,FALSE)),"",IF(VLOOKUP(A58,Declarations!B$6:C$185,2,FALSE)="","---",VLOOKUP(A58,Declarations!B$6:C$185,2,FALSE)))</f>
        <v>JENSON PROUT</v>
      </c>
      <c r="C58" s="68" t="str">
        <f>IF(ISNA(VLOOKUP(A58,Declarations!B$6:F$185,5,FALSE)),"",IF(VLOOKUP(A58,Declarations!B$6:F$185,5,FALSE)="","---",VLOOKUP(A58,Declarations!B$6:F$185,5,FALSE)))</f>
        <v>Basingstoke &amp; Mid Hants AC</v>
      </c>
      <c r="D58" s="319" t="str">
        <f>IF(ISNA(VLOOKUP(A58,Declarations!B$6:F$185,4,FALSE)),"",IF(VLOOKUP(A58,Declarations!B$6:F$185,4,FALSE)="","---",VLOOKUP(A58,Declarations!B$6:F$185,4,FALSE)))</f>
        <v>BOYS</v>
      </c>
      <c r="E58" s="245" t="s">
        <v>137</v>
      </c>
      <c r="F58" s="245" t="s">
        <v>137</v>
      </c>
      <c r="G58" s="245" t="s">
        <v>137</v>
      </c>
      <c r="H58" s="320"/>
    </row>
    <row r="59" spans="1:8" ht="19.95" customHeight="1">
      <c r="A59" s="67">
        <v>112</v>
      </c>
      <c r="B59" s="68" t="str">
        <f>IF(ISNA(VLOOKUP(A59,Declarations!B$6:C$185,2,FALSE)),"",IF(VLOOKUP(A59,Declarations!B$6:C$185,2,FALSE)="","---",VLOOKUP(A59,Declarations!B$6:C$185,2,FALSE)))</f>
        <v>NOAH GRAHAM</v>
      </c>
      <c r="C59" s="68" t="str">
        <f>IF(ISNA(VLOOKUP(A59,Declarations!B$6:F$185,5,FALSE)),"",IF(VLOOKUP(A59,Declarations!B$6:F$185,5,FALSE)="","---",VLOOKUP(A59,Declarations!B$6:F$185,5,FALSE)))</f>
        <v>Basingstoke &amp; Mid Hants AC</v>
      </c>
      <c r="D59" s="319" t="str">
        <f>IF(ISNA(VLOOKUP(A59,Declarations!B$6:F$185,4,FALSE)),"",IF(VLOOKUP(A59,Declarations!B$6:F$185,4,FALSE)="","---",VLOOKUP(A59,Declarations!B$6:F$185,4,FALSE)))</f>
        <v>BOYS</v>
      </c>
      <c r="E59" s="245" t="s">
        <v>137</v>
      </c>
      <c r="F59" s="245" t="s">
        <v>137</v>
      </c>
      <c r="G59" s="245" t="s">
        <v>137</v>
      </c>
      <c r="H59" s="320"/>
    </row>
    <row r="60" spans="1:8" ht="19.95" customHeight="1">
      <c r="A60" s="67">
        <v>113</v>
      </c>
      <c r="B60" s="68" t="str">
        <f>IF(ISNA(VLOOKUP(A60,Declarations!B$6:C$185,2,FALSE)),"",IF(VLOOKUP(A60,Declarations!B$6:C$185,2,FALSE)="","---",VLOOKUP(A60,Declarations!B$6:C$185,2,FALSE)))</f>
        <v>ROME ALEXANDER SOLOMAN</v>
      </c>
      <c r="C60" s="68" t="str">
        <f>IF(ISNA(VLOOKUP(A60,Declarations!B$6:F$185,5,FALSE)),"",IF(VLOOKUP(A60,Declarations!B$6:F$185,5,FALSE)="","---",VLOOKUP(A60,Declarations!B$6:F$185,5,FALSE)))</f>
        <v>Basingstoke &amp; Mid Hants AC</v>
      </c>
      <c r="D60" s="319" t="str">
        <f>IF(ISNA(VLOOKUP(A60,Declarations!B$6:F$185,4,FALSE)),"",IF(VLOOKUP(A60,Declarations!B$6:F$185,4,FALSE)="","---",VLOOKUP(A60,Declarations!B$6:F$185,4,FALSE)))</f>
        <v>BOYS</v>
      </c>
      <c r="E60" s="245" t="s">
        <v>137</v>
      </c>
      <c r="F60" s="245" t="s">
        <v>137</v>
      </c>
      <c r="G60" s="245" t="s">
        <v>137</v>
      </c>
      <c r="H60" s="320"/>
    </row>
    <row r="61" spans="1:8" ht="19.95" customHeight="1">
      <c r="A61" s="67">
        <v>114</v>
      </c>
      <c r="B61" s="68" t="str">
        <f>IF(ISNA(VLOOKUP(A61,Declarations!B$6:C$185,2,FALSE)),"",IF(VLOOKUP(A61,Declarations!B$6:C$185,2,FALSE)="","---",VLOOKUP(A61,Declarations!B$6:C$185,2,FALSE)))</f>
        <v>ISAAC STEWART</v>
      </c>
      <c r="C61" s="68" t="str">
        <f>IF(ISNA(VLOOKUP(A61,Declarations!B$6:F$185,5,FALSE)),"",IF(VLOOKUP(A61,Declarations!B$6:F$185,5,FALSE)="","---",VLOOKUP(A61,Declarations!B$6:F$185,5,FALSE)))</f>
        <v>Basingstoke &amp; Mid Hants AC</v>
      </c>
      <c r="D61" s="319" t="str">
        <f>IF(ISNA(VLOOKUP(A61,Declarations!B$6:F$185,4,FALSE)),"",IF(VLOOKUP(A61,Declarations!B$6:F$185,4,FALSE)="","---",VLOOKUP(A61,Declarations!B$6:F$185,4,FALSE)))</f>
        <v>BOYS</v>
      </c>
      <c r="E61" s="245" t="s">
        <v>137</v>
      </c>
      <c r="F61" s="245" t="s">
        <v>137</v>
      </c>
      <c r="G61" s="245" t="s">
        <v>137</v>
      </c>
      <c r="H61" s="320"/>
    </row>
    <row r="62" spans="1:8" ht="19.95" customHeight="1">
      <c r="A62" s="67">
        <v>115</v>
      </c>
      <c r="B62" s="68" t="str">
        <f>IF(ISNA(VLOOKUP(A62,Declarations!B$6:C$185,2,FALSE)),"",IF(VLOOKUP(A62,Declarations!B$6:C$185,2,FALSE)="","---",VLOOKUP(A62,Declarations!B$6:C$185,2,FALSE)))</f>
        <v>ELLIOTT LEAVEY</v>
      </c>
      <c r="C62" s="68" t="str">
        <f>IF(ISNA(VLOOKUP(A62,Declarations!B$6:F$185,5,FALSE)),"",IF(VLOOKUP(A62,Declarations!B$6:F$185,5,FALSE)="","---",VLOOKUP(A62,Declarations!B$6:F$185,5,FALSE)))</f>
        <v>Basingstoke &amp; Mid Hants AC</v>
      </c>
      <c r="D62" s="319" t="str">
        <f>IF(ISNA(VLOOKUP(A62,Declarations!B$6:F$185,4,FALSE)),"",IF(VLOOKUP(A62,Declarations!B$6:F$185,4,FALSE)="","---",VLOOKUP(A62,Declarations!B$6:F$185,4,FALSE)))</f>
        <v>BOYS</v>
      </c>
      <c r="E62" s="245" t="s">
        <v>137</v>
      </c>
      <c r="F62" s="245" t="s">
        <v>137</v>
      </c>
      <c r="G62" s="245" t="s">
        <v>137</v>
      </c>
      <c r="H62" s="320"/>
    </row>
    <row r="63" spans="1:8" ht="19.95" customHeight="1">
      <c r="A63" s="67">
        <v>116</v>
      </c>
      <c r="B63" s="68" t="str">
        <f>IF(ISNA(VLOOKUP(A63,Declarations!B$6:C$185,2,FALSE)),"",IF(VLOOKUP(A63,Declarations!B$6:C$185,2,FALSE)="","---",VLOOKUP(A63,Declarations!B$6:C$185,2,FALSE)))</f>
        <v>MYLES GODDARD</v>
      </c>
      <c r="C63" s="68" t="str">
        <f>IF(ISNA(VLOOKUP(A63,Declarations!B$6:F$185,5,FALSE)),"",IF(VLOOKUP(A63,Declarations!B$6:F$185,5,FALSE)="","---",VLOOKUP(A63,Declarations!B$6:F$185,5,FALSE)))</f>
        <v>Basingstoke &amp; Mid Hants AC</v>
      </c>
      <c r="D63" s="319" t="str">
        <f>IF(ISNA(VLOOKUP(A63,Declarations!B$6:F$185,4,FALSE)),"",IF(VLOOKUP(A63,Declarations!B$6:F$185,4,FALSE)="","---",VLOOKUP(A63,Declarations!B$6:F$185,4,FALSE)))</f>
        <v>BOYS</v>
      </c>
      <c r="E63" s="245" t="s">
        <v>137</v>
      </c>
      <c r="F63" s="245" t="s">
        <v>137</v>
      </c>
      <c r="G63" s="245" t="s">
        <v>137</v>
      </c>
      <c r="H63" s="320"/>
    </row>
    <row r="64" spans="1:8" ht="19.95" customHeight="1">
      <c r="A64" s="67">
        <v>117</v>
      </c>
      <c r="B64" s="68" t="str">
        <f>IF(ISNA(VLOOKUP(A64,Declarations!B$6:C$185,2,FALSE)),"",IF(VLOOKUP(A64,Declarations!B$6:C$185,2,FALSE)="","---",VLOOKUP(A64,Declarations!B$6:C$185,2,FALSE)))</f>
        <v>JAY GOVIND</v>
      </c>
      <c r="C64" s="68" t="str">
        <f>IF(ISNA(VLOOKUP(A64,Declarations!B$6:F$185,5,FALSE)),"",IF(VLOOKUP(A64,Declarations!B$6:F$185,5,FALSE)="","---",VLOOKUP(A64,Declarations!B$6:F$185,5,FALSE)))</f>
        <v>Basingstoke &amp; Mid Hants AC</v>
      </c>
      <c r="D64" s="319" t="str">
        <f>IF(ISNA(VLOOKUP(A64,Declarations!B$6:F$185,4,FALSE)),"",IF(VLOOKUP(A64,Declarations!B$6:F$185,4,FALSE)="","---",VLOOKUP(A64,Declarations!B$6:F$185,4,FALSE)))</f>
        <v>BOYS</v>
      </c>
      <c r="E64" s="245" t="s">
        <v>137</v>
      </c>
      <c r="F64" s="245" t="s">
        <v>137</v>
      </c>
      <c r="G64" s="245" t="s">
        <v>137</v>
      </c>
      <c r="H64" s="320"/>
    </row>
    <row r="65" spans="1:8" ht="19.95" customHeight="1">
      <c r="A65" s="67">
        <v>118</v>
      </c>
      <c r="B65" s="68" t="str">
        <f>IF(ISNA(VLOOKUP(A65,Declarations!B$6:C$185,2,FALSE)),"",IF(VLOOKUP(A65,Declarations!B$6:C$185,2,FALSE)="","---",VLOOKUP(A65,Declarations!B$6:C$185,2,FALSE)))</f>
        <v>TOBY POWELL</v>
      </c>
      <c r="C65" s="68" t="str">
        <f>IF(ISNA(VLOOKUP(A65,Declarations!B$6:F$185,5,FALSE)),"",IF(VLOOKUP(A65,Declarations!B$6:F$185,5,FALSE)="","---",VLOOKUP(A65,Declarations!B$6:F$185,5,FALSE)))</f>
        <v>Basingstoke &amp; Mid Hants AC</v>
      </c>
      <c r="D65" s="319" t="str">
        <f>IF(ISNA(VLOOKUP(A65,Declarations!B$6:F$185,4,FALSE)),"",IF(VLOOKUP(A65,Declarations!B$6:F$185,4,FALSE)="","---",VLOOKUP(A65,Declarations!B$6:F$185,4,FALSE)))</f>
        <v>BOYS</v>
      </c>
      <c r="E65" s="245" t="s">
        <v>137</v>
      </c>
      <c r="F65" s="245" t="s">
        <v>137</v>
      </c>
      <c r="G65" s="245" t="s">
        <v>137</v>
      </c>
      <c r="H65" s="320"/>
    </row>
    <row r="66" spans="1:8" ht="19.95" customHeight="1">
      <c r="A66" s="67">
        <v>119</v>
      </c>
      <c r="B66" s="68" t="str">
        <f>IF(ISNA(VLOOKUP(A66,Declarations!B$6:C$185,2,FALSE)),"",IF(VLOOKUP(A66,Declarations!B$6:C$185,2,FALSE)="","---",VLOOKUP(A66,Declarations!B$6:C$185,2,FALSE)))</f>
        <v>ALEX WILKINSON</v>
      </c>
      <c r="C66" s="68" t="str">
        <f>IF(ISNA(VLOOKUP(A66,Declarations!B$6:F$185,5,FALSE)),"",IF(VLOOKUP(A66,Declarations!B$6:F$185,5,FALSE)="","---",VLOOKUP(A66,Declarations!B$6:F$185,5,FALSE)))</f>
        <v>Basingstoke &amp; Mid Hants AC</v>
      </c>
      <c r="D66" s="319" t="str">
        <f>IF(ISNA(VLOOKUP(A66,Declarations!B$6:F$185,4,FALSE)),"",IF(VLOOKUP(A66,Declarations!B$6:F$185,4,FALSE)="","---",VLOOKUP(A66,Declarations!B$6:F$185,4,FALSE)))</f>
        <v>BOYS</v>
      </c>
      <c r="E66" s="245" t="s">
        <v>137</v>
      </c>
      <c r="F66" s="245" t="s">
        <v>137</v>
      </c>
      <c r="G66" s="245" t="s">
        <v>137</v>
      </c>
      <c r="H66" s="320"/>
    </row>
    <row r="67" spans="1:8" ht="19.95" customHeight="1">
      <c r="A67" s="67">
        <v>120</v>
      </c>
      <c r="B67" s="68" t="str">
        <f>IF(ISNA(VLOOKUP(A67,Declarations!B$6:C$185,2,FALSE)),"",IF(VLOOKUP(A67,Declarations!B$6:C$185,2,FALSE)="","---",VLOOKUP(A67,Declarations!B$6:C$185,2,FALSE)))</f>
        <v>ETHAN WEIGHT</v>
      </c>
      <c r="C67" s="68" t="str">
        <f>IF(ISNA(VLOOKUP(A67,Declarations!B$6:F$185,5,FALSE)),"",IF(VLOOKUP(A67,Declarations!B$6:F$185,5,FALSE)="","---",VLOOKUP(A67,Declarations!B$6:F$185,5,FALSE)))</f>
        <v>Basingstoke &amp; Mid Hants AC</v>
      </c>
      <c r="D67" s="319" t="str">
        <f>IF(ISNA(VLOOKUP(A67,Declarations!B$6:F$185,4,FALSE)),"",IF(VLOOKUP(A67,Declarations!B$6:F$185,4,FALSE)="","---",VLOOKUP(A67,Declarations!B$6:F$185,4,FALSE)))</f>
        <v>BOYS</v>
      </c>
      <c r="E67" s="245" t="s">
        <v>137</v>
      </c>
      <c r="F67" s="245" t="s">
        <v>137</v>
      </c>
      <c r="G67" s="245" t="s">
        <v>137</v>
      </c>
      <c r="H67" s="320"/>
    </row>
    <row r="68" spans="1:8" ht="19.95" customHeight="1">
      <c r="A68" s="67"/>
      <c r="B68" s="68" t="str">
        <f>IF(ISNA(VLOOKUP(A68,Declarations!B$6:C$185,2,FALSE)),"",IF(VLOOKUP(A68,Declarations!B$6:C$185,2,FALSE)="","---",VLOOKUP(A68,Declarations!B$6:C$185,2,FALSE)))</f>
        <v/>
      </c>
      <c r="C68" s="68" t="str">
        <f>IF(ISNA(VLOOKUP(A68,Declarations!B$6:F$185,5,FALSE)),"",IF(VLOOKUP(A68,Declarations!B$6:F$185,5,FALSE)="","---",VLOOKUP(A68,Declarations!B$6:F$185,5,FALSE)))</f>
        <v/>
      </c>
      <c r="D68" s="319" t="str">
        <f>IF(ISNA(VLOOKUP(A68,Declarations!B$6:F$185,4,FALSE)),"",IF(VLOOKUP(A68,Declarations!B$6:F$185,4,FALSE)="","---",VLOOKUP(A68,Declarations!B$6:F$185,4,FALSE)))</f>
        <v/>
      </c>
      <c r="E68" s="245" t="s">
        <v>137</v>
      </c>
      <c r="F68" s="245" t="s">
        <v>137</v>
      </c>
      <c r="G68" s="245" t="s">
        <v>137</v>
      </c>
      <c r="H68" s="320"/>
    </row>
    <row r="69" spans="1:8" ht="19.95" customHeight="1">
      <c r="A69" s="67"/>
      <c r="B69" s="68" t="str">
        <f>IF(ISNA(VLOOKUP(A69,Declarations!B$6:C$185,2,FALSE)),"",IF(VLOOKUP(A69,Declarations!B$6:C$185,2,FALSE)="","---",VLOOKUP(A69,Declarations!B$6:C$185,2,FALSE)))</f>
        <v/>
      </c>
      <c r="C69" s="68" t="str">
        <f>IF(ISNA(VLOOKUP(A69,Declarations!B$6:F$185,5,FALSE)),"",IF(VLOOKUP(A69,Declarations!B$6:F$185,5,FALSE)="","---",VLOOKUP(A69,Declarations!B$6:F$185,5,FALSE)))</f>
        <v/>
      </c>
      <c r="D69" s="319" t="str">
        <f>IF(ISNA(VLOOKUP(A69,Declarations!B$6:F$185,4,FALSE)),"",IF(VLOOKUP(A69,Declarations!B$6:F$185,4,FALSE)="","---",VLOOKUP(A69,Declarations!B$6:F$185,4,FALSE)))</f>
        <v/>
      </c>
      <c r="E69" s="245" t="s">
        <v>137</v>
      </c>
      <c r="F69" s="245" t="s">
        <v>137</v>
      </c>
      <c r="G69" s="245" t="s">
        <v>137</v>
      </c>
      <c r="H69" s="320"/>
    </row>
    <row r="70" spans="1:8" ht="19.95" customHeight="1">
      <c r="A70" s="67"/>
      <c r="B70" s="68" t="str">
        <f>IF(ISNA(VLOOKUP(A70,Declarations!B$6:C$185,2,FALSE)),"",IF(VLOOKUP(A70,Declarations!B$6:C$185,2,FALSE)="","---",VLOOKUP(A70,Declarations!B$6:C$185,2,FALSE)))</f>
        <v/>
      </c>
      <c r="C70" s="68" t="str">
        <f>IF(ISNA(VLOOKUP(A70,Declarations!B$6:F$185,5,FALSE)),"",IF(VLOOKUP(A70,Declarations!B$6:F$185,5,FALSE)="","---",VLOOKUP(A70,Declarations!B$6:F$185,5,FALSE)))</f>
        <v/>
      </c>
      <c r="D70" s="319" t="str">
        <f>IF(ISNA(VLOOKUP(A70,Declarations!B$6:F$185,4,FALSE)),"",IF(VLOOKUP(A70,Declarations!B$6:F$185,4,FALSE)="","---",VLOOKUP(A70,Declarations!B$6:F$185,4,FALSE)))</f>
        <v/>
      </c>
      <c r="E70" s="245" t="s">
        <v>137</v>
      </c>
      <c r="F70" s="245" t="s">
        <v>137</v>
      </c>
      <c r="G70" s="245" t="s">
        <v>137</v>
      </c>
      <c r="H70" s="320"/>
    </row>
    <row r="71" spans="1:8" ht="19.95" customHeight="1">
      <c r="A71" s="67"/>
      <c r="B71" s="68" t="str">
        <f>IF(ISNA(VLOOKUP(A71,Declarations!B$6:C$185,2,FALSE)),"",IF(VLOOKUP(A71,Declarations!B$6:C$185,2,FALSE)="","---",VLOOKUP(A71,Declarations!B$6:C$185,2,FALSE)))</f>
        <v/>
      </c>
      <c r="C71" s="68" t="str">
        <f>IF(ISNA(VLOOKUP(A71,Declarations!B$6:F$185,5,FALSE)),"",IF(VLOOKUP(A71,Declarations!B$6:F$185,5,FALSE)="","---",VLOOKUP(A71,Declarations!B$6:F$185,5,FALSE)))</f>
        <v/>
      </c>
      <c r="D71" s="319" t="str">
        <f>IF(ISNA(VLOOKUP(A71,Declarations!B$6:F$185,4,FALSE)),"",IF(VLOOKUP(A71,Declarations!B$6:F$185,4,FALSE)="","---",VLOOKUP(A71,Declarations!B$6:F$185,4,FALSE)))</f>
        <v/>
      </c>
      <c r="E71" s="245" t="s">
        <v>137</v>
      </c>
      <c r="F71" s="245" t="s">
        <v>137</v>
      </c>
      <c r="G71" s="245" t="s">
        <v>137</v>
      </c>
      <c r="H71" s="320"/>
    </row>
    <row r="72" spans="1:8" ht="19.95" customHeight="1">
      <c r="A72" s="67"/>
      <c r="B72" s="68" t="str">
        <f>IF(ISNA(VLOOKUP(A72,Declarations!B$6:C$185,2,FALSE)),"",IF(VLOOKUP(A72,Declarations!B$6:C$185,2,FALSE)="","---",VLOOKUP(A72,Declarations!B$6:C$185,2,FALSE)))</f>
        <v/>
      </c>
      <c r="C72" s="68" t="str">
        <f>IF(ISNA(VLOOKUP(A72,Declarations!B$6:F$185,5,FALSE)),"",IF(VLOOKUP(A72,Declarations!B$6:F$185,5,FALSE)="","---",VLOOKUP(A72,Declarations!B$6:F$185,5,FALSE)))</f>
        <v/>
      </c>
      <c r="D72" s="319" t="str">
        <f>IF(ISNA(VLOOKUP(A72,Declarations!B$6:F$185,4,FALSE)),"",IF(VLOOKUP(A72,Declarations!B$6:F$185,4,FALSE)="","---",VLOOKUP(A72,Declarations!B$6:F$185,4,FALSE)))</f>
        <v/>
      </c>
      <c r="E72" s="245" t="s">
        <v>137</v>
      </c>
      <c r="F72" s="245" t="s">
        <v>137</v>
      </c>
      <c r="G72" s="245" t="s">
        <v>137</v>
      </c>
      <c r="H72" s="320"/>
    </row>
    <row r="73" spans="1:8" ht="19.95" customHeight="1">
      <c r="A73" s="67"/>
      <c r="B73" s="68" t="str">
        <f>IF(ISNA(VLOOKUP(A73,Declarations!B$6:C$185,2,FALSE)),"",IF(VLOOKUP(A73,Declarations!B$6:C$185,2,FALSE)="","---",VLOOKUP(A73,Declarations!B$6:C$185,2,FALSE)))</f>
        <v/>
      </c>
      <c r="C73" s="68" t="str">
        <f>IF(ISNA(VLOOKUP(A73,Declarations!B$6:F$185,5,FALSE)),"",IF(VLOOKUP(A73,Declarations!B$6:F$185,5,FALSE)="","---",VLOOKUP(A73,Declarations!B$6:F$185,5,FALSE)))</f>
        <v/>
      </c>
      <c r="D73" s="319" t="str">
        <f>IF(ISNA(VLOOKUP(A73,Declarations!B$6:F$185,4,FALSE)),"",IF(VLOOKUP(A73,Declarations!B$6:F$185,4,FALSE)="","---",VLOOKUP(A73,Declarations!B$6:F$185,4,FALSE)))</f>
        <v/>
      </c>
      <c r="E73" s="245" t="s">
        <v>137</v>
      </c>
      <c r="F73" s="245" t="s">
        <v>137</v>
      </c>
      <c r="G73" s="245" t="s">
        <v>137</v>
      </c>
      <c r="H73" s="320"/>
    </row>
    <row r="74" spans="1:8" ht="19.95" customHeight="1">
      <c r="A74" s="67"/>
      <c r="B74" s="68" t="str">
        <f>IF(ISNA(VLOOKUP(A74,Declarations!B$6:C$185,2,FALSE)),"",IF(VLOOKUP(A74,Declarations!B$6:C$185,2,FALSE)="","---",VLOOKUP(A74,Declarations!B$6:C$185,2,FALSE)))</f>
        <v/>
      </c>
      <c r="C74" s="68" t="str">
        <f>IF(ISNA(VLOOKUP(A74,Declarations!B$6:F$185,5,FALSE)),"",IF(VLOOKUP(A74,Declarations!B$6:F$185,5,FALSE)="","---",VLOOKUP(A74,Declarations!B$6:F$185,5,FALSE)))</f>
        <v/>
      </c>
      <c r="D74" s="319" t="str">
        <f>IF(ISNA(VLOOKUP(A74,Declarations!B$6:F$185,4,FALSE)),"",IF(VLOOKUP(A74,Declarations!B$6:F$185,4,FALSE)="","---",VLOOKUP(A74,Declarations!B$6:F$185,4,FALSE)))</f>
        <v/>
      </c>
      <c r="E74" s="245" t="s">
        <v>137</v>
      </c>
      <c r="F74" s="245" t="s">
        <v>137</v>
      </c>
      <c r="G74" s="245" t="s">
        <v>137</v>
      </c>
      <c r="H74" s="320"/>
    </row>
    <row r="75" spans="1:8" ht="16.05" customHeight="1">
      <c r="A75" s="69"/>
      <c r="B75" s="70"/>
      <c r="C75" s="70"/>
      <c r="D75" s="70"/>
      <c r="E75" s="71"/>
      <c r="F75" s="71"/>
      <c r="G75" s="71"/>
      <c r="H75" s="71"/>
    </row>
    <row r="76" spans="1:8" ht="16.05" customHeight="1">
      <c r="A76" s="69"/>
      <c r="B76" s="71"/>
      <c r="C76" s="70"/>
      <c r="D76" s="70"/>
      <c r="E76" s="498" t="s">
        <v>138</v>
      </c>
      <c r="F76" s="498"/>
      <c r="G76" s="490" t="s">
        <v>139</v>
      </c>
      <c r="H76" s="490"/>
    </row>
    <row r="77" spans="1:8" ht="16.05" customHeight="1">
      <c r="A77" s="69"/>
      <c r="B77" s="499" t="s">
        <v>140</v>
      </c>
      <c r="C77" s="500"/>
      <c r="D77" s="70"/>
      <c r="E77" s="490"/>
      <c r="F77" s="490"/>
      <c r="G77" s="490"/>
      <c r="H77" s="490"/>
    </row>
    <row r="78" spans="1:8" ht="16.05" customHeight="1">
      <c r="A78" s="69"/>
      <c r="B78" s="501"/>
      <c r="C78" s="502"/>
      <c r="D78" s="70"/>
      <c r="E78" s="490"/>
      <c r="F78" s="490"/>
      <c r="G78" s="490"/>
      <c r="H78" s="490"/>
    </row>
    <row r="79" spans="1:8" ht="16.05" customHeight="1">
      <c r="A79" s="69"/>
      <c r="B79" s="70"/>
      <c r="C79" s="70"/>
      <c r="D79" s="70"/>
      <c r="E79" s="490"/>
      <c r="F79" s="490"/>
      <c r="G79" s="490"/>
      <c r="H79" s="490"/>
    </row>
    <row r="80" spans="1:8" ht="7.95" customHeight="1">
      <c r="A80" s="69"/>
      <c r="B80" s="70"/>
      <c r="C80" s="70"/>
      <c r="D80" s="70"/>
      <c r="E80" s="93"/>
      <c r="F80" s="93"/>
      <c r="G80" s="93"/>
      <c r="H80" s="93"/>
    </row>
    <row r="81" spans="1:8" ht="20.399999999999999">
      <c r="A81" s="491" t="str">
        <f>'Read Me First'!A1:F1</f>
        <v>Wessex Young Athletes Track and Field League 2026</v>
      </c>
      <c r="B81" s="492"/>
      <c r="C81" s="492"/>
      <c r="D81" s="492"/>
      <c r="E81" s="492"/>
      <c r="F81" s="492"/>
      <c r="G81" s="492"/>
      <c r="H81" s="493"/>
    </row>
    <row r="82" spans="1:8" ht="17.399999999999999">
      <c r="A82" s="60" t="s">
        <v>13</v>
      </c>
      <c r="B82" s="61">
        <f>'Read Me First'!$C$10</f>
        <v>46201</v>
      </c>
      <c r="C82" s="92">
        <v>0.46875</v>
      </c>
      <c r="D82" s="60" t="s">
        <v>70</v>
      </c>
      <c r="E82" s="494" t="str">
        <f>$E$2</f>
        <v>Camberley &amp; District AC @ Woking</v>
      </c>
      <c r="F82" s="495"/>
      <c r="G82" s="495"/>
      <c r="H82" s="496"/>
    </row>
    <row r="83" spans="1:8" ht="17.399999999999999">
      <c r="A83" s="497" t="s">
        <v>142</v>
      </c>
      <c r="B83" s="497"/>
      <c r="C83" s="497"/>
      <c r="D83" s="497"/>
      <c r="E83" s="59">
        <v>1</v>
      </c>
      <c r="F83" s="59">
        <v>2</v>
      </c>
      <c r="G83" s="59">
        <v>3</v>
      </c>
      <c r="H83" s="59" t="s">
        <v>136</v>
      </c>
    </row>
    <row r="84" spans="1:8" ht="17.399999999999999">
      <c r="A84" s="65"/>
      <c r="B84" s="65"/>
      <c r="C84" s="65"/>
      <c r="D84" s="65"/>
      <c r="E84" s="66"/>
      <c r="F84" s="66"/>
      <c r="G84" s="66"/>
      <c r="H84" s="66"/>
    </row>
    <row r="85" spans="1:8" ht="19.95" customHeight="1">
      <c r="A85" s="67" t="str" cm="1">
        <f t="array" ref="A85">IFERROR(_xlfn.TEXTSPLIT(IFERROR(_xlfn.TEXTJOIN(",",TRUE,_xlfn._xlws.FILTER(BlockAllocations!$F$3:$F$20,BlockAllocations!$E$3:$E$20=BlockAllocations!$G$8)),""),,",")+0,"!")</f>
        <v>!</v>
      </c>
      <c r="B85" s="68" t="str">
        <f>IF(ISNA(VLOOKUP(A85,Declarations!B$6:C$185,2,FALSE)),"",IF(VLOOKUP(A85,Declarations!B$6:C$185,2,FALSE)="","---",VLOOKUP(A85,Declarations!B$6:C$185,2,FALSE)))</f>
        <v/>
      </c>
      <c r="C85" s="68" t="str">
        <f>IF(ISNA(VLOOKUP(A85,Declarations!B$6:F$185,5,FALSE)),"",IF(VLOOKUP(A85,Declarations!B$6:F$185,5,FALSE)="","---",VLOOKUP(A85,Declarations!B$6:F$185,5,FALSE)))</f>
        <v/>
      </c>
      <c r="D85" s="319" t="str">
        <f>IF(ISNA(VLOOKUP(A85,Declarations!B$6:F$185,4,FALSE)),"",IF(VLOOKUP(A85,Declarations!B$6:F$185,4,FALSE)="","---",VLOOKUP(A85,Declarations!B$6:F$185,4,FALSE)))</f>
        <v/>
      </c>
      <c r="E85" s="245" t="s">
        <v>137</v>
      </c>
      <c r="F85" s="245" t="s">
        <v>137</v>
      </c>
      <c r="G85" s="245" t="s">
        <v>137</v>
      </c>
      <c r="H85" s="320"/>
    </row>
    <row r="86" spans="1:8" ht="19.95" customHeight="1">
      <c r="A86" s="67"/>
      <c r="B86" s="68" t="str">
        <f>IF(ISNA(VLOOKUP(A86,Declarations!B$6:C$185,2,FALSE)),"",IF(VLOOKUP(A86,Declarations!B$6:C$185,2,FALSE)="","---",VLOOKUP(A86,Declarations!B$6:C$185,2,FALSE)))</f>
        <v/>
      </c>
      <c r="C86" s="68" t="str">
        <f>IF(ISNA(VLOOKUP(A86,Declarations!B$6:F$185,5,FALSE)),"",IF(VLOOKUP(A86,Declarations!B$6:F$185,5,FALSE)="","---",VLOOKUP(A86,Declarations!B$6:F$185,5,FALSE)))</f>
        <v/>
      </c>
      <c r="D86" s="319" t="str">
        <f>IF(ISNA(VLOOKUP(A86,Declarations!B$6:F$185,4,FALSE)),"",IF(VLOOKUP(A86,Declarations!B$6:F$185,4,FALSE)="","---",VLOOKUP(A86,Declarations!B$6:F$185,4,FALSE)))</f>
        <v/>
      </c>
      <c r="E86" s="245" t="s">
        <v>137</v>
      </c>
      <c r="F86" s="245" t="s">
        <v>137</v>
      </c>
      <c r="G86" s="245" t="s">
        <v>137</v>
      </c>
      <c r="H86" s="320"/>
    </row>
    <row r="87" spans="1:8" ht="19.95" customHeight="1">
      <c r="A87" s="67"/>
      <c r="B87" s="68" t="str">
        <f>IF(ISNA(VLOOKUP(A87,Declarations!B$6:C$185,2,FALSE)),"",IF(VLOOKUP(A87,Declarations!B$6:C$185,2,FALSE)="","---",VLOOKUP(A87,Declarations!B$6:C$185,2,FALSE)))</f>
        <v/>
      </c>
      <c r="C87" s="68" t="str">
        <f>IF(ISNA(VLOOKUP(A87,Declarations!B$6:F$185,5,FALSE)),"",IF(VLOOKUP(A87,Declarations!B$6:F$185,5,FALSE)="","---",VLOOKUP(A87,Declarations!B$6:F$185,5,FALSE)))</f>
        <v/>
      </c>
      <c r="D87" s="319" t="str">
        <f>IF(ISNA(VLOOKUP(A87,Declarations!B$6:F$185,4,FALSE)),"",IF(VLOOKUP(A87,Declarations!B$6:F$185,4,FALSE)="","---",VLOOKUP(A87,Declarations!B$6:F$185,4,FALSE)))</f>
        <v/>
      </c>
      <c r="E87" s="245" t="s">
        <v>137</v>
      </c>
      <c r="F87" s="245" t="s">
        <v>137</v>
      </c>
      <c r="G87" s="245" t="s">
        <v>137</v>
      </c>
      <c r="H87" s="320"/>
    </row>
    <row r="88" spans="1:8" ht="19.95" customHeight="1">
      <c r="A88" s="67"/>
      <c r="B88" s="68" t="str">
        <f>IF(ISNA(VLOOKUP(A88,Declarations!B$6:C$185,2,FALSE)),"",IF(VLOOKUP(A88,Declarations!B$6:C$185,2,FALSE)="","---",VLOOKUP(A88,Declarations!B$6:C$185,2,FALSE)))</f>
        <v/>
      </c>
      <c r="C88" s="68" t="str">
        <f>IF(ISNA(VLOOKUP(A88,Declarations!B$6:F$185,5,FALSE)),"",IF(VLOOKUP(A88,Declarations!B$6:F$185,5,FALSE)="","---",VLOOKUP(A88,Declarations!B$6:F$185,5,FALSE)))</f>
        <v/>
      </c>
      <c r="D88" s="319" t="str">
        <f>IF(ISNA(VLOOKUP(A88,Declarations!B$6:F$185,4,FALSE)),"",IF(VLOOKUP(A88,Declarations!B$6:F$185,4,FALSE)="","---",VLOOKUP(A88,Declarations!B$6:F$185,4,FALSE)))</f>
        <v/>
      </c>
      <c r="E88" s="245" t="s">
        <v>137</v>
      </c>
      <c r="F88" s="245" t="s">
        <v>137</v>
      </c>
      <c r="G88" s="245" t="s">
        <v>137</v>
      </c>
      <c r="H88" s="320"/>
    </row>
    <row r="89" spans="1:8" ht="19.95" customHeight="1">
      <c r="A89" s="67"/>
      <c r="B89" s="68" t="str">
        <f>IF(ISNA(VLOOKUP(A89,Declarations!B$6:C$185,2,FALSE)),"",IF(VLOOKUP(A89,Declarations!B$6:C$185,2,FALSE)="","---",VLOOKUP(A89,Declarations!B$6:C$185,2,FALSE)))</f>
        <v/>
      </c>
      <c r="C89" s="68" t="str">
        <f>IF(ISNA(VLOOKUP(A89,Declarations!B$6:F$185,5,FALSE)),"",IF(VLOOKUP(A89,Declarations!B$6:F$185,5,FALSE)="","---",VLOOKUP(A89,Declarations!B$6:F$185,5,FALSE)))</f>
        <v/>
      </c>
      <c r="D89" s="319" t="str">
        <f>IF(ISNA(VLOOKUP(A89,Declarations!B$6:F$185,4,FALSE)),"",IF(VLOOKUP(A89,Declarations!B$6:F$185,4,FALSE)="","---",VLOOKUP(A89,Declarations!B$6:F$185,4,FALSE)))</f>
        <v/>
      </c>
      <c r="E89" s="245" t="s">
        <v>137</v>
      </c>
      <c r="F89" s="245" t="s">
        <v>137</v>
      </c>
      <c r="G89" s="245" t="s">
        <v>137</v>
      </c>
      <c r="H89" s="320"/>
    </row>
    <row r="90" spans="1:8" ht="19.95" customHeight="1">
      <c r="A90" s="67"/>
      <c r="B90" s="68" t="str">
        <f>IF(ISNA(VLOOKUP(A90,Declarations!B$6:C$185,2,FALSE)),"",IF(VLOOKUP(A90,Declarations!B$6:C$185,2,FALSE)="","---",VLOOKUP(A90,Declarations!B$6:C$185,2,FALSE)))</f>
        <v/>
      </c>
      <c r="C90" s="68" t="str">
        <f>IF(ISNA(VLOOKUP(A90,Declarations!B$6:F$185,5,FALSE)),"",IF(VLOOKUP(A90,Declarations!B$6:F$185,5,FALSE)="","---",VLOOKUP(A90,Declarations!B$6:F$185,5,FALSE)))</f>
        <v/>
      </c>
      <c r="D90" s="319" t="str">
        <f>IF(ISNA(VLOOKUP(A90,Declarations!B$6:F$185,4,FALSE)),"",IF(VLOOKUP(A90,Declarations!B$6:F$185,4,FALSE)="","---",VLOOKUP(A90,Declarations!B$6:F$185,4,FALSE)))</f>
        <v/>
      </c>
      <c r="E90" s="245" t="s">
        <v>137</v>
      </c>
      <c r="F90" s="245" t="s">
        <v>137</v>
      </c>
      <c r="G90" s="245" t="s">
        <v>137</v>
      </c>
      <c r="H90" s="320"/>
    </row>
    <row r="91" spans="1:8" ht="19.95" customHeight="1">
      <c r="A91" s="67"/>
      <c r="B91" s="68" t="str">
        <f>IF(ISNA(VLOOKUP(A91,Declarations!B$6:C$185,2,FALSE)),"",IF(VLOOKUP(A91,Declarations!B$6:C$185,2,FALSE)="","---",VLOOKUP(A91,Declarations!B$6:C$185,2,FALSE)))</f>
        <v/>
      </c>
      <c r="C91" s="68" t="str">
        <f>IF(ISNA(VLOOKUP(A91,Declarations!B$6:F$185,5,FALSE)),"",IF(VLOOKUP(A91,Declarations!B$6:F$185,5,FALSE)="","---",VLOOKUP(A91,Declarations!B$6:F$185,5,FALSE)))</f>
        <v/>
      </c>
      <c r="D91" s="319" t="str">
        <f>IF(ISNA(VLOOKUP(A91,Declarations!B$6:F$185,4,FALSE)),"",IF(VLOOKUP(A91,Declarations!B$6:F$185,4,FALSE)="","---",VLOOKUP(A91,Declarations!B$6:F$185,4,FALSE)))</f>
        <v/>
      </c>
      <c r="E91" s="245" t="s">
        <v>137</v>
      </c>
      <c r="F91" s="245" t="s">
        <v>137</v>
      </c>
      <c r="G91" s="245" t="s">
        <v>137</v>
      </c>
      <c r="H91" s="320"/>
    </row>
    <row r="92" spans="1:8" ht="19.95" customHeight="1">
      <c r="A92" s="67"/>
      <c r="B92" s="68" t="str">
        <f>IF(ISNA(VLOOKUP(A92,Declarations!B$6:C$185,2,FALSE)),"",IF(VLOOKUP(A92,Declarations!B$6:C$185,2,FALSE)="","---",VLOOKUP(A92,Declarations!B$6:C$185,2,FALSE)))</f>
        <v/>
      </c>
      <c r="C92" s="68" t="str">
        <f>IF(ISNA(VLOOKUP(A92,Declarations!B$6:F$185,5,FALSE)),"",IF(VLOOKUP(A92,Declarations!B$6:F$185,5,FALSE)="","---",VLOOKUP(A92,Declarations!B$6:F$185,5,FALSE)))</f>
        <v/>
      </c>
      <c r="D92" s="319" t="str">
        <f>IF(ISNA(VLOOKUP(A92,Declarations!B$6:F$185,4,FALSE)),"",IF(VLOOKUP(A92,Declarations!B$6:F$185,4,FALSE)="","---",VLOOKUP(A92,Declarations!B$6:F$185,4,FALSE)))</f>
        <v/>
      </c>
      <c r="E92" s="245" t="s">
        <v>137</v>
      </c>
      <c r="F92" s="245" t="s">
        <v>137</v>
      </c>
      <c r="G92" s="245" t="s">
        <v>137</v>
      </c>
      <c r="H92" s="320"/>
    </row>
    <row r="93" spans="1:8" ht="19.95" customHeight="1">
      <c r="A93" s="67"/>
      <c r="B93" s="68" t="str">
        <f>IF(ISNA(VLOOKUP(A93,Declarations!B$6:C$185,2,FALSE)),"",IF(VLOOKUP(A93,Declarations!B$6:C$185,2,FALSE)="","---",VLOOKUP(A93,Declarations!B$6:C$185,2,FALSE)))</f>
        <v/>
      </c>
      <c r="C93" s="68" t="str">
        <f>IF(ISNA(VLOOKUP(A93,Declarations!B$6:F$185,5,FALSE)),"",IF(VLOOKUP(A93,Declarations!B$6:F$185,5,FALSE)="","---",VLOOKUP(A93,Declarations!B$6:F$185,5,FALSE)))</f>
        <v/>
      </c>
      <c r="D93" s="319" t="str">
        <f>IF(ISNA(VLOOKUP(A93,Declarations!B$6:F$185,4,FALSE)),"",IF(VLOOKUP(A93,Declarations!B$6:F$185,4,FALSE)="","---",VLOOKUP(A93,Declarations!B$6:F$185,4,FALSE)))</f>
        <v/>
      </c>
      <c r="E93" s="245" t="s">
        <v>137</v>
      </c>
      <c r="F93" s="245" t="s">
        <v>137</v>
      </c>
      <c r="G93" s="245" t="s">
        <v>137</v>
      </c>
      <c r="H93" s="320"/>
    </row>
    <row r="94" spans="1:8" ht="19.95" customHeight="1">
      <c r="A94" s="67"/>
      <c r="B94" s="68" t="str">
        <f>IF(ISNA(VLOOKUP(A94,Declarations!B$6:C$185,2,FALSE)),"",IF(VLOOKUP(A94,Declarations!B$6:C$185,2,FALSE)="","---",VLOOKUP(A94,Declarations!B$6:C$185,2,FALSE)))</f>
        <v/>
      </c>
      <c r="C94" s="68" t="str">
        <f>IF(ISNA(VLOOKUP(A94,Declarations!B$6:F$185,5,FALSE)),"",IF(VLOOKUP(A94,Declarations!B$6:F$185,5,FALSE)="","---",VLOOKUP(A94,Declarations!B$6:F$185,5,FALSE)))</f>
        <v/>
      </c>
      <c r="D94" s="319" t="str">
        <f>IF(ISNA(VLOOKUP(A94,Declarations!B$6:F$185,4,FALSE)),"",IF(VLOOKUP(A94,Declarations!B$6:F$185,4,FALSE)="","---",VLOOKUP(A94,Declarations!B$6:F$185,4,FALSE)))</f>
        <v/>
      </c>
      <c r="E94" s="245" t="s">
        <v>137</v>
      </c>
      <c r="F94" s="245" t="s">
        <v>137</v>
      </c>
      <c r="G94" s="245" t="s">
        <v>137</v>
      </c>
      <c r="H94" s="320"/>
    </row>
    <row r="95" spans="1:8" ht="19.95" customHeight="1">
      <c r="A95" s="67"/>
      <c r="B95" s="68" t="str">
        <f>IF(ISNA(VLOOKUP(A95,Declarations!B$6:C$185,2,FALSE)),"",IF(VLOOKUP(A95,Declarations!B$6:C$185,2,FALSE)="","---",VLOOKUP(A95,Declarations!B$6:C$185,2,FALSE)))</f>
        <v/>
      </c>
      <c r="C95" s="68" t="str">
        <f>IF(ISNA(VLOOKUP(A95,Declarations!B$6:F$185,5,FALSE)),"",IF(VLOOKUP(A95,Declarations!B$6:F$185,5,FALSE)="","---",VLOOKUP(A95,Declarations!B$6:F$185,5,FALSE)))</f>
        <v/>
      </c>
      <c r="D95" s="319" t="str">
        <f>IF(ISNA(VLOOKUP(A95,Declarations!B$6:F$185,4,FALSE)),"",IF(VLOOKUP(A95,Declarations!B$6:F$185,4,FALSE)="","---",VLOOKUP(A95,Declarations!B$6:F$185,4,FALSE)))</f>
        <v/>
      </c>
      <c r="E95" s="245" t="s">
        <v>137</v>
      </c>
      <c r="F95" s="245" t="s">
        <v>137</v>
      </c>
      <c r="G95" s="245" t="s">
        <v>137</v>
      </c>
      <c r="H95" s="320"/>
    </row>
    <row r="96" spans="1:8" ht="19.95" customHeight="1">
      <c r="A96" s="67"/>
      <c r="B96" s="68" t="str">
        <f>IF(ISNA(VLOOKUP(A96,Declarations!B$6:C$185,2,FALSE)),"",IF(VLOOKUP(A96,Declarations!B$6:C$185,2,FALSE)="","---",VLOOKUP(A96,Declarations!B$6:C$185,2,FALSE)))</f>
        <v/>
      </c>
      <c r="C96" s="68" t="str">
        <f>IF(ISNA(VLOOKUP(A96,Declarations!B$6:F$185,5,FALSE)),"",IF(VLOOKUP(A96,Declarations!B$6:F$185,5,FALSE)="","---",VLOOKUP(A96,Declarations!B$6:F$185,5,FALSE)))</f>
        <v/>
      </c>
      <c r="D96" s="319" t="str">
        <f>IF(ISNA(VLOOKUP(A96,Declarations!B$6:F$185,4,FALSE)),"",IF(VLOOKUP(A96,Declarations!B$6:F$185,4,FALSE)="","---",VLOOKUP(A96,Declarations!B$6:F$185,4,FALSE)))</f>
        <v/>
      </c>
      <c r="E96" s="245" t="s">
        <v>137</v>
      </c>
      <c r="F96" s="245" t="s">
        <v>137</v>
      </c>
      <c r="G96" s="245" t="s">
        <v>137</v>
      </c>
      <c r="H96" s="320"/>
    </row>
    <row r="97" spans="1:8" ht="19.95" customHeight="1">
      <c r="A97" s="67"/>
      <c r="B97" s="68" t="str">
        <f>IF(ISNA(VLOOKUP(A97,Declarations!B$6:C$185,2,FALSE)),"",IF(VLOOKUP(A97,Declarations!B$6:C$185,2,FALSE)="","---",VLOOKUP(A97,Declarations!B$6:C$185,2,FALSE)))</f>
        <v/>
      </c>
      <c r="C97" s="68" t="str">
        <f>IF(ISNA(VLOOKUP(A97,Declarations!B$6:F$185,5,FALSE)),"",IF(VLOOKUP(A97,Declarations!B$6:F$185,5,FALSE)="","---",VLOOKUP(A97,Declarations!B$6:F$185,5,FALSE)))</f>
        <v/>
      </c>
      <c r="D97" s="319" t="str">
        <f>IF(ISNA(VLOOKUP(A97,Declarations!B$6:F$185,4,FALSE)),"",IF(VLOOKUP(A97,Declarations!B$6:F$185,4,FALSE)="","---",VLOOKUP(A97,Declarations!B$6:F$185,4,FALSE)))</f>
        <v/>
      </c>
      <c r="E97" s="245" t="s">
        <v>137</v>
      </c>
      <c r="F97" s="245" t="s">
        <v>137</v>
      </c>
      <c r="G97" s="245" t="s">
        <v>137</v>
      </c>
      <c r="H97" s="320"/>
    </row>
    <row r="98" spans="1:8" ht="19.95" customHeight="1">
      <c r="A98" s="67"/>
      <c r="B98" s="68" t="str">
        <f>IF(ISNA(VLOOKUP(A98,Declarations!B$6:C$185,2,FALSE)),"",IF(VLOOKUP(A98,Declarations!B$6:C$185,2,FALSE)="","---",VLOOKUP(A98,Declarations!B$6:C$185,2,FALSE)))</f>
        <v/>
      </c>
      <c r="C98" s="68" t="str">
        <f>IF(ISNA(VLOOKUP(A98,Declarations!B$6:F$185,5,FALSE)),"",IF(VLOOKUP(A98,Declarations!B$6:F$185,5,FALSE)="","---",VLOOKUP(A98,Declarations!B$6:F$185,5,FALSE)))</f>
        <v/>
      </c>
      <c r="D98" s="319" t="str">
        <f>IF(ISNA(VLOOKUP(A98,Declarations!B$6:F$185,4,FALSE)),"",IF(VLOOKUP(A98,Declarations!B$6:F$185,4,FALSE)="","---",VLOOKUP(A98,Declarations!B$6:F$185,4,FALSE)))</f>
        <v/>
      </c>
      <c r="E98" s="245" t="s">
        <v>137</v>
      </c>
      <c r="F98" s="245" t="s">
        <v>137</v>
      </c>
      <c r="G98" s="245" t="s">
        <v>137</v>
      </c>
      <c r="H98" s="320"/>
    </row>
    <row r="99" spans="1:8" ht="19.95" customHeight="1">
      <c r="A99" s="67"/>
      <c r="B99" s="68" t="str">
        <f>IF(ISNA(VLOOKUP(A99,Declarations!B$6:C$185,2,FALSE)),"",IF(VLOOKUP(A99,Declarations!B$6:C$185,2,FALSE)="","---",VLOOKUP(A99,Declarations!B$6:C$185,2,FALSE)))</f>
        <v/>
      </c>
      <c r="C99" s="68" t="str">
        <f>IF(ISNA(VLOOKUP(A99,Declarations!B$6:F$185,5,FALSE)),"",IF(VLOOKUP(A99,Declarations!B$6:F$185,5,FALSE)="","---",VLOOKUP(A99,Declarations!B$6:F$185,5,FALSE)))</f>
        <v/>
      </c>
      <c r="D99" s="319" t="str">
        <f>IF(ISNA(VLOOKUP(A99,Declarations!B$6:F$185,4,FALSE)),"",IF(VLOOKUP(A99,Declarations!B$6:F$185,4,FALSE)="","---",VLOOKUP(A99,Declarations!B$6:F$185,4,FALSE)))</f>
        <v/>
      </c>
      <c r="E99" s="245" t="s">
        <v>137</v>
      </c>
      <c r="F99" s="245" t="s">
        <v>137</v>
      </c>
      <c r="G99" s="245" t="s">
        <v>137</v>
      </c>
      <c r="H99" s="320"/>
    </row>
    <row r="100" spans="1:8" ht="19.95" customHeight="1">
      <c r="A100" s="67"/>
      <c r="B100" s="68" t="str">
        <f>IF(ISNA(VLOOKUP(A100,Declarations!B$6:C$185,2,FALSE)),"",IF(VLOOKUP(A100,Declarations!B$6:C$185,2,FALSE)="","---",VLOOKUP(A100,Declarations!B$6:C$185,2,FALSE)))</f>
        <v/>
      </c>
      <c r="C100" s="68" t="str">
        <f>IF(ISNA(VLOOKUP(A100,Declarations!B$6:F$185,5,FALSE)),"",IF(VLOOKUP(A100,Declarations!B$6:F$185,5,FALSE)="","---",VLOOKUP(A100,Declarations!B$6:F$185,5,FALSE)))</f>
        <v/>
      </c>
      <c r="D100" s="319" t="str">
        <f>IF(ISNA(VLOOKUP(A100,Declarations!B$6:F$185,4,FALSE)),"",IF(VLOOKUP(A100,Declarations!B$6:F$185,4,FALSE)="","---",VLOOKUP(A100,Declarations!B$6:F$185,4,FALSE)))</f>
        <v/>
      </c>
      <c r="E100" s="245" t="s">
        <v>137</v>
      </c>
      <c r="F100" s="245" t="s">
        <v>137</v>
      </c>
      <c r="G100" s="245" t="s">
        <v>137</v>
      </c>
      <c r="H100" s="320"/>
    </row>
    <row r="101" spans="1:8" ht="19.95" customHeight="1">
      <c r="A101" s="67"/>
      <c r="B101" s="68" t="str">
        <f>IF(ISNA(VLOOKUP(A101,Declarations!B$6:C$185,2,FALSE)),"",IF(VLOOKUP(A101,Declarations!B$6:C$185,2,FALSE)="","---",VLOOKUP(A101,Declarations!B$6:C$185,2,FALSE)))</f>
        <v/>
      </c>
      <c r="C101" s="68" t="str">
        <f>IF(ISNA(VLOOKUP(A101,Declarations!B$6:F$185,5,FALSE)),"",IF(VLOOKUP(A101,Declarations!B$6:F$185,5,FALSE)="","---",VLOOKUP(A101,Declarations!B$6:F$185,5,FALSE)))</f>
        <v/>
      </c>
      <c r="D101" s="319" t="str">
        <f>IF(ISNA(VLOOKUP(A101,Declarations!B$6:F$185,4,FALSE)),"",IF(VLOOKUP(A101,Declarations!B$6:F$185,4,FALSE)="","---",VLOOKUP(A101,Declarations!B$6:F$185,4,FALSE)))</f>
        <v/>
      </c>
      <c r="E101" s="245" t="s">
        <v>137</v>
      </c>
      <c r="F101" s="245" t="s">
        <v>137</v>
      </c>
      <c r="G101" s="245" t="s">
        <v>137</v>
      </c>
      <c r="H101" s="320"/>
    </row>
    <row r="102" spans="1:8" ht="19.95" customHeight="1">
      <c r="A102" s="67"/>
      <c r="B102" s="68" t="str">
        <f>IF(ISNA(VLOOKUP(A102,Declarations!B$6:C$185,2,FALSE)),"",IF(VLOOKUP(A102,Declarations!B$6:C$185,2,FALSE)="","---",VLOOKUP(A102,Declarations!B$6:C$185,2,FALSE)))</f>
        <v/>
      </c>
      <c r="C102" s="68" t="str">
        <f>IF(ISNA(VLOOKUP(A102,Declarations!B$6:F$185,5,FALSE)),"",IF(VLOOKUP(A102,Declarations!B$6:F$185,5,FALSE)="","---",VLOOKUP(A102,Declarations!B$6:F$185,5,FALSE)))</f>
        <v/>
      </c>
      <c r="D102" s="319" t="str">
        <f>IF(ISNA(VLOOKUP(A102,Declarations!B$6:F$185,4,FALSE)),"",IF(VLOOKUP(A102,Declarations!B$6:F$185,4,FALSE)="","---",VLOOKUP(A102,Declarations!B$6:F$185,4,FALSE)))</f>
        <v/>
      </c>
      <c r="E102" s="245" t="s">
        <v>137</v>
      </c>
      <c r="F102" s="245" t="s">
        <v>137</v>
      </c>
      <c r="G102" s="245" t="s">
        <v>137</v>
      </c>
      <c r="H102" s="320"/>
    </row>
    <row r="103" spans="1:8" ht="19.95" customHeight="1">
      <c r="A103" s="67"/>
      <c r="B103" s="68" t="str">
        <f>IF(ISNA(VLOOKUP(A103,Declarations!B$6:C$185,2,FALSE)),"",IF(VLOOKUP(A103,Declarations!B$6:C$185,2,FALSE)="","---",VLOOKUP(A103,Declarations!B$6:C$185,2,FALSE)))</f>
        <v/>
      </c>
      <c r="C103" s="68" t="str">
        <f>IF(ISNA(VLOOKUP(A103,Declarations!B$6:F$185,5,FALSE)),"",IF(VLOOKUP(A103,Declarations!B$6:F$185,5,FALSE)="","---",VLOOKUP(A103,Declarations!B$6:F$185,5,FALSE)))</f>
        <v/>
      </c>
      <c r="D103" s="319" t="str">
        <f>IF(ISNA(VLOOKUP(A103,Declarations!B$6:F$185,4,FALSE)),"",IF(VLOOKUP(A103,Declarations!B$6:F$185,4,FALSE)="","---",VLOOKUP(A103,Declarations!B$6:F$185,4,FALSE)))</f>
        <v/>
      </c>
      <c r="E103" s="245" t="s">
        <v>137</v>
      </c>
      <c r="F103" s="245" t="s">
        <v>137</v>
      </c>
      <c r="G103" s="245" t="s">
        <v>137</v>
      </c>
      <c r="H103" s="320"/>
    </row>
    <row r="104" spans="1:8" ht="19.95" customHeight="1">
      <c r="A104" s="67"/>
      <c r="B104" s="68" t="str">
        <f>IF(ISNA(VLOOKUP(A104,Declarations!B$6:C$185,2,FALSE)),"",IF(VLOOKUP(A104,Declarations!B$6:C$185,2,FALSE)="","---",VLOOKUP(A104,Declarations!B$6:C$185,2,FALSE)))</f>
        <v/>
      </c>
      <c r="C104" s="68" t="str">
        <f>IF(ISNA(VLOOKUP(A104,Declarations!B$6:F$185,5,FALSE)),"",IF(VLOOKUP(A104,Declarations!B$6:F$185,5,FALSE)="","---",VLOOKUP(A104,Declarations!B$6:F$185,5,FALSE)))</f>
        <v/>
      </c>
      <c r="D104" s="319" t="str">
        <f>IF(ISNA(VLOOKUP(A104,Declarations!B$6:F$185,4,FALSE)),"",IF(VLOOKUP(A104,Declarations!B$6:F$185,4,FALSE)="","---",VLOOKUP(A104,Declarations!B$6:F$185,4,FALSE)))</f>
        <v/>
      </c>
      <c r="E104" s="245" t="s">
        <v>137</v>
      </c>
      <c r="F104" s="245" t="s">
        <v>137</v>
      </c>
      <c r="G104" s="245" t="s">
        <v>137</v>
      </c>
      <c r="H104" s="320"/>
    </row>
    <row r="105" spans="1:8" ht="19.95" customHeight="1">
      <c r="A105" s="67"/>
      <c r="B105" s="68" t="str">
        <f>IF(ISNA(VLOOKUP(A105,Declarations!B$6:C$185,2,FALSE)),"",IF(VLOOKUP(A105,Declarations!B$6:C$185,2,FALSE)="","---",VLOOKUP(A105,Declarations!B$6:C$185,2,FALSE)))</f>
        <v/>
      </c>
      <c r="C105" s="68" t="str">
        <f>IF(ISNA(VLOOKUP(A105,Declarations!B$6:F$185,5,FALSE)),"",IF(VLOOKUP(A105,Declarations!B$6:F$185,5,FALSE)="","---",VLOOKUP(A105,Declarations!B$6:F$185,5,FALSE)))</f>
        <v/>
      </c>
      <c r="D105" s="319" t="str">
        <f>IF(ISNA(VLOOKUP(A105,Declarations!B$6:F$185,4,FALSE)),"",IF(VLOOKUP(A105,Declarations!B$6:F$185,4,FALSE)="","---",VLOOKUP(A105,Declarations!B$6:F$185,4,FALSE)))</f>
        <v/>
      </c>
      <c r="E105" s="245" t="s">
        <v>137</v>
      </c>
      <c r="F105" s="245" t="s">
        <v>137</v>
      </c>
      <c r="G105" s="245" t="s">
        <v>137</v>
      </c>
      <c r="H105" s="320"/>
    </row>
    <row r="106" spans="1:8" ht="19.95" customHeight="1">
      <c r="A106" s="67"/>
      <c r="B106" s="68" t="str">
        <f>IF(ISNA(VLOOKUP(A106,Declarations!B$6:C$185,2,FALSE)),"",IF(VLOOKUP(A106,Declarations!B$6:C$185,2,FALSE)="","---",VLOOKUP(A106,Declarations!B$6:C$185,2,FALSE)))</f>
        <v/>
      </c>
      <c r="C106" s="68" t="str">
        <f>IF(ISNA(VLOOKUP(A106,Declarations!B$6:F$185,5,FALSE)),"",IF(VLOOKUP(A106,Declarations!B$6:F$185,5,FALSE)="","---",VLOOKUP(A106,Declarations!B$6:F$185,5,FALSE)))</f>
        <v/>
      </c>
      <c r="D106" s="319" t="str">
        <f>IF(ISNA(VLOOKUP(A106,Declarations!B$6:F$185,4,FALSE)),"",IF(VLOOKUP(A106,Declarations!B$6:F$185,4,FALSE)="","---",VLOOKUP(A106,Declarations!B$6:F$185,4,FALSE)))</f>
        <v/>
      </c>
      <c r="E106" s="245" t="s">
        <v>137</v>
      </c>
      <c r="F106" s="245" t="s">
        <v>137</v>
      </c>
      <c r="G106" s="245" t="s">
        <v>137</v>
      </c>
      <c r="H106" s="320"/>
    </row>
    <row r="107" spans="1:8" ht="19.95" customHeight="1">
      <c r="A107" s="67"/>
      <c r="B107" s="68" t="str">
        <f>IF(ISNA(VLOOKUP(A107,Declarations!B$6:C$185,2,FALSE)),"",IF(VLOOKUP(A107,Declarations!B$6:C$185,2,FALSE)="","---",VLOOKUP(A107,Declarations!B$6:C$185,2,FALSE)))</f>
        <v/>
      </c>
      <c r="C107" s="68" t="str">
        <f>IF(ISNA(VLOOKUP(A107,Declarations!B$6:F$185,5,FALSE)),"",IF(VLOOKUP(A107,Declarations!B$6:F$185,5,FALSE)="","---",VLOOKUP(A107,Declarations!B$6:F$185,5,FALSE)))</f>
        <v/>
      </c>
      <c r="D107" s="319" t="str">
        <f>IF(ISNA(VLOOKUP(A107,Declarations!B$6:F$185,4,FALSE)),"",IF(VLOOKUP(A107,Declarations!B$6:F$185,4,FALSE)="","---",VLOOKUP(A107,Declarations!B$6:F$185,4,FALSE)))</f>
        <v/>
      </c>
      <c r="E107" s="245" t="s">
        <v>137</v>
      </c>
      <c r="F107" s="245" t="s">
        <v>137</v>
      </c>
      <c r="G107" s="245" t="s">
        <v>137</v>
      </c>
      <c r="H107" s="320"/>
    </row>
    <row r="108" spans="1:8" ht="19.95" customHeight="1">
      <c r="A108" s="67"/>
      <c r="B108" s="68" t="str">
        <f>IF(ISNA(VLOOKUP(A108,Declarations!B$6:C$185,2,FALSE)),"",IF(VLOOKUP(A108,Declarations!B$6:C$185,2,FALSE)="","---",VLOOKUP(A108,Declarations!B$6:C$185,2,FALSE)))</f>
        <v/>
      </c>
      <c r="C108" s="68" t="str">
        <f>IF(ISNA(VLOOKUP(A108,Declarations!B$6:F$185,5,FALSE)),"",IF(VLOOKUP(A108,Declarations!B$6:F$185,5,FALSE)="","---",VLOOKUP(A108,Declarations!B$6:F$185,5,FALSE)))</f>
        <v/>
      </c>
      <c r="D108" s="319" t="str">
        <f>IF(ISNA(VLOOKUP(A108,Declarations!B$6:F$185,4,FALSE)),"",IF(VLOOKUP(A108,Declarations!B$6:F$185,4,FALSE)="","---",VLOOKUP(A108,Declarations!B$6:F$185,4,FALSE)))</f>
        <v/>
      </c>
      <c r="E108" s="245" t="s">
        <v>137</v>
      </c>
      <c r="F108" s="245" t="s">
        <v>137</v>
      </c>
      <c r="G108" s="245" t="s">
        <v>137</v>
      </c>
      <c r="H108" s="320"/>
    </row>
    <row r="109" spans="1:8" ht="19.95" customHeight="1">
      <c r="A109" s="67"/>
      <c r="B109" s="68" t="str">
        <f>IF(ISNA(VLOOKUP(A109,Declarations!B$6:C$185,2,FALSE)),"",IF(VLOOKUP(A109,Declarations!B$6:C$185,2,FALSE)="","---",VLOOKUP(A109,Declarations!B$6:C$185,2,FALSE)))</f>
        <v/>
      </c>
      <c r="C109" s="68" t="str">
        <f>IF(ISNA(VLOOKUP(A109,Declarations!B$6:F$185,5,FALSE)),"",IF(VLOOKUP(A109,Declarations!B$6:F$185,5,FALSE)="","---",VLOOKUP(A109,Declarations!B$6:F$185,5,FALSE)))</f>
        <v/>
      </c>
      <c r="D109" s="319" t="str">
        <f>IF(ISNA(VLOOKUP(A109,Declarations!B$6:F$185,4,FALSE)),"",IF(VLOOKUP(A109,Declarations!B$6:F$185,4,FALSE)="","---",VLOOKUP(A109,Declarations!B$6:F$185,4,FALSE)))</f>
        <v/>
      </c>
      <c r="E109" s="245" t="s">
        <v>137</v>
      </c>
      <c r="F109" s="245" t="s">
        <v>137</v>
      </c>
      <c r="G109" s="245" t="s">
        <v>137</v>
      </c>
      <c r="H109" s="320"/>
    </row>
    <row r="110" spans="1:8" ht="19.95" customHeight="1">
      <c r="A110" s="67"/>
      <c r="B110" s="68" t="str">
        <f>IF(ISNA(VLOOKUP(A110,Declarations!B$6:C$185,2,FALSE)),"",IF(VLOOKUP(A110,Declarations!B$6:C$185,2,FALSE)="","---",VLOOKUP(A110,Declarations!B$6:C$185,2,FALSE)))</f>
        <v/>
      </c>
      <c r="C110" s="68" t="str">
        <f>IF(ISNA(VLOOKUP(A110,Declarations!B$6:F$185,5,FALSE)),"",IF(VLOOKUP(A110,Declarations!B$6:F$185,5,FALSE)="","---",VLOOKUP(A110,Declarations!B$6:F$185,5,FALSE)))</f>
        <v/>
      </c>
      <c r="D110" s="319" t="str">
        <f>IF(ISNA(VLOOKUP(A110,Declarations!B$6:F$185,4,FALSE)),"",IF(VLOOKUP(A110,Declarations!B$6:F$185,4,FALSE)="","---",VLOOKUP(A110,Declarations!B$6:F$185,4,FALSE)))</f>
        <v/>
      </c>
      <c r="E110" s="245" t="s">
        <v>137</v>
      </c>
      <c r="F110" s="245" t="s">
        <v>137</v>
      </c>
      <c r="G110" s="245" t="s">
        <v>137</v>
      </c>
      <c r="H110" s="320"/>
    </row>
    <row r="111" spans="1:8" ht="19.95" customHeight="1">
      <c r="A111" s="67"/>
      <c r="B111" s="68" t="str">
        <f>IF(ISNA(VLOOKUP(A111,Declarations!B$6:C$185,2,FALSE)),"",IF(VLOOKUP(A111,Declarations!B$6:C$185,2,FALSE)="","---",VLOOKUP(A111,Declarations!B$6:C$185,2,FALSE)))</f>
        <v/>
      </c>
      <c r="C111" s="68" t="str">
        <f>IF(ISNA(VLOOKUP(A111,Declarations!B$6:F$185,5,FALSE)),"",IF(VLOOKUP(A111,Declarations!B$6:F$185,5,FALSE)="","---",VLOOKUP(A111,Declarations!B$6:F$185,5,FALSE)))</f>
        <v/>
      </c>
      <c r="D111" s="319" t="str">
        <f>IF(ISNA(VLOOKUP(A111,Declarations!B$6:F$185,4,FALSE)),"",IF(VLOOKUP(A111,Declarations!B$6:F$185,4,FALSE)="","---",VLOOKUP(A111,Declarations!B$6:F$185,4,FALSE)))</f>
        <v/>
      </c>
      <c r="E111" s="245" t="s">
        <v>137</v>
      </c>
      <c r="F111" s="245" t="s">
        <v>137</v>
      </c>
      <c r="G111" s="245" t="s">
        <v>137</v>
      </c>
      <c r="H111" s="320"/>
    </row>
    <row r="112" spans="1:8" ht="19.95" customHeight="1">
      <c r="A112" s="67"/>
      <c r="B112" s="68" t="str">
        <f>IF(ISNA(VLOOKUP(A112,Declarations!B$6:C$185,2,FALSE)),"",IF(VLOOKUP(A112,Declarations!B$6:C$185,2,FALSE)="","---",VLOOKUP(A112,Declarations!B$6:C$185,2,FALSE)))</f>
        <v/>
      </c>
      <c r="C112" s="68" t="str">
        <f>IF(ISNA(VLOOKUP(A112,Declarations!B$6:F$185,5,FALSE)),"",IF(VLOOKUP(A112,Declarations!B$6:F$185,5,FALSE)="","---",VLOOKUP(A112,Declarations!B$6:F$185,5,FALSE)))</f>
        <v/>
      </c>
      <c r="D112" s="319" t="str">
        <f>IF(ISNA(VLOOKUP(A112,Declarations!B$6:F$185,4,FALSE)),"",IF(VLOOKUP(A112,Declarations!B$6:F$185,4,FALSE)="","---",VLOOKUP(A112,Declarations!B$6:F$185,4,FALSE)))</f>
        <v/>
      </c>
      <c r="E112" s="245" t="s">
        <v>137</v>
      </c>
      <c r="F112" s="245" t="s">
        <v>137</v>
      </c>
      <c r="G112" s="245" t="s">
        <v>137</v>
      </c>
      <c r="H112" s="320"/>
    </row>
    <row r="113" spans="1:8" ht="19.95" customHeight="1">
      <c r="A113" s="67"/>
      <c r="B113" s="68" t="str">
        <f>IF(ISNA(VLOOKUP(A113,Declarations!B$6:C$185,2,FALSE)),"",IF(VLOOKUP(A113,Declarations!B$6:C$185,2,FALSE)="","---",VLOOKUP(A113,Declarations!B$6:C$185,2,FALSE)))</f>
        <v/>
      </c>
      <c r="C113" s="68" t="str">
        <f>IF(ISNA(VLOOKUP(A113,Declarations!B$6:F$185,5,FALSE)),"",IF(VLOOKUP(A113,Declarations!B$6:F$185,5,FALSE)="","---",VLOOKUP(A113,Declarations!B$6:F$185,5,FALSE)))</f>
        <v/>
      </c>
      <c r="D113" s="319" t="str">
        <f>IF(ISNA(VLOOKUP(A113,Declarations!B$6:F$185,4,FALSE)),"",IF(VLOOKUP(A113,Declarations!B$6:F$185,4,FALSE)="","---",VLOOKUP(A113,Declarations!B$6:F$185,4,FALSE)))</f>
        <v/>
      </c>
      <c r="E113" s="245" t="s">
        <v>137</v>
      </c>
      <c r="F113" s="245" t="s">
        <v>137</v>
      </c>
      <c r="G113" s="245" t="s">
        <v>137</v>
      </c>
      <c r="H113" s="320"/>
    </row>
    <row r="114" spans="1:8" ht="19.95" customHeight="1">
      <c r="A114" s="67"/>
      <c r="B114" s="68" t="str">
        <f>IF(ISNA(VLOOKUP(A114,Declarations!B$6:C$185,2,FALSE)),"",IF(VLOOKUP(A114,Declarations!B$6:C$185,2,FALSE)="","---",VLOOKUP(A114,Declarations!B$6:C$185,2,FALSE)))</f>
        <v/>
      </c>
      <c r="C114" s="68" t="str">
        <f>IF(ISNA(VLOOKUP(A114,Declarations!B$6:F$185,5,FALSE)),"",IF(VLOOKUP(A114,Declarations!B$6:F$185,5,FALSE)="","---",VLOOKUP(A114,Declarations!B$6:F$185,5,FALSE)))</f>
        <v/>
      </c>
      <c r="D114" s="319" t="str">
        <f>IF(ISNA(VLOOKUP(A114,Declarations!B$6:F$185,4,FALSE)),"",IF(VLOOKUP(A114,Declarations!B$6:F$185,4,FALSE)="","---",VLOOKUP(A114,Declarations!B$6:F$185,4,FALSE)))</f>
        <v/>
      </c>
      <c r="E114" s="245" t="s">
        <v>137</v>
      </c>
      <c r="F114" s="245" t="s">
        <v>137</v>
      </c>
      <c r="G114" s="245" t="s">
        <v>137</v>
      </c>
      <c r="H114" s="320"/>
    </row>
    <row r="115" spans="1:8" ht="15.6">
      <c r="A115" s="69"/>
      <c r="B115" s="70"/>
      <c r="C115" s="70"/>
      <c r="D115" s="70"/>
      <c r="E115" s="71"/>
      <c r="F115" s="71"/>
      <c r="G115" s="71"/>
      <c r="H115" s="71"/>
    </row>
    <row r="116" spans="1:8" ht="15.6">
      <c r="A116" s="69"/>
      <c r="B116" s="70"/>
      <c r="C116" s="70"/>
      <c r="D116" s="70"/>
      <c r="E116" s="498" t="s">
        <v>138</v>
      </c>
      <c r="F116" s="498"/>
      <c r="G116" s="490" t="s">
        <v>139</v>
      </c>
      <c r="H116" s="490"/>
    </row>
    <row r="117" spans="1:8" ht="15.6">
      <c r="A117" s="69"/>
      <c r="B117" s="499" t="s">
        <v>140</v>
      </c>
      <c r="C117" s="500"/>
      <c r="D117" s="70"/>
      <c r="E117" s="490"/>
      <c r="F117" s="490"/>
      <c r="G117" s="490"/>
      <c r="H117" s="490"/>
    </row>
    <row r="118" spans="1:8" ht="15.6">
      <c r="A118" s="69"/>
      <c r="B118" s="501"/>
      <c r="C118" s="502"/>
      <c r="D118" s="70"/>
      <c r="E118" s="490"/>
      <c r="F118" s="490"/>
      <c r="G118" s="490"/>
      <c r="H118" s="490"/>
    </row>
    <row r="119" spans="1:8" ht="15.6">
      <c r="A119" s="69"/>
      <c r="B119" s="70"/>
      <c r="C119" s="70"/>
      <c r="D119" s="70"/>
      <c r="E119" s="490"/>
      <c r="F119" s="490"/>
      <c r="G119" s="490"/>
      <c r="H119" s="490"/>
    </row>
    <row r="120" spans="1:8" ht="7.95" customHeight="1">
      <c r="A120" s="69"/>
      <c r="B120" s="70"/>
      <c r="C120" s="70"/>
      <c r="D120" s="70"/>
      <c r="E120" s="93"/>
      <c r="F120" s="93"/>
      <c r="G120" s="93"/>
      <c r="H120" s="93"/>
    </row>
    <row r="121" spans="1:8" ht="20.399999999999999">
      <c r="A121" s="491" t="str">
        <f>'Read Me First'!A1:F1</f>
        <v>Wessex Young Athletes Track and Field League 2026</v>
      </c>
      <c r="B121" s="492"/>
      <c r="C121" s="492"/>
      <c r="D121" s="492"/>
      <c r="E121" s="492"/>
      <c r="F121" s="492"/>
      <c r="G121" s="492"/>
      <c r="H121" s="493"/>
    </row>
    <row r="122" spans="1:8" ht="17.399999999999999">
      <c r="A122" s="60" t="s">
        <v>13</v>
      </c>
      <c r="B122" s="61">
        <f>'Read Me First'!$C$10</f>
        <v>46201</v>
      </c>
      <c r="C122" s="92">
        <v>0.64583333333333337</v>
      </c>
      <c r="D122" s="60" t="s">
        <v>70</v>
      </c>
      <c r="E122" s="494" t="str">
        <f>$E$2</f>
        <v>Camberley &amp; District AC @ Woking</v>
      </c>
      <c r="F122" s="495"/>
      <c r="G122" s="495"/>
      <c r="H122" s="496"/>
    </row>
    <row r="123" spans="1:8" ht="17.399999999999999">
      <c r="A123" s="497" t="s">
        <v>143</v>
      </c>
      <c r="B123" s="497"/>
      <c r="C123" s="497"/>
      <c r="D123" s="497"/>
      <c r="E123" s="59">
        <v>1</v>
      </c>
      <c r="F123" s="59">
        <v>2</v>
      </c>
      <c r="G123" s="59">
        <v>3</v>
      </c>
      <c r="H123" s="59" t="s">
        <v>136</v>
      </c>
    </row>
    <row r="124" spans="1:8" ht="17.399999999999999">
      <c r="A124" s="65"/>
      <c r="B124" s="65"/>
      <c r="C124" s="65"/>
      <c r="D124" s="65"/>
      <c r="E124" s="66"/>
      <c r="F124" s="66"/>
      <c r="G124" s="66"/>
      <c r="H124" s="66"/>
    </row>
    <row r="125" spans="1:8" ht="19.95" customHeight="1">
      <c r="A125" s="67" cm="1">
        <f t="array" ref="A125:A151">IFERROR(_xlfn.TEXTSPLIT(IFERROR(_xlfn.TEXTJOIN(",",TRUE,_xlfn._xlws.FILTER(BlockAllocations!$F$3:$F$20,BlockAllocations!$E$3:$E$20=BlockAllocations!$G$10)),""),,",")+0,"!")</f>
        <v>1</v>
      </c>
      <c r="B125" s="68" t="str">
        <f>IF(ISNA(VLOOKUP(A125,Declarations!B$6:C$185,2,FALSE)),"",IF(VLOOKUP(A125,Declarations!B$6:C$185,2,FALSE)="","---",VLOOKUP(A125,Declarations!B$6:C$185,2,FALSE)))</f>
        <v>EVNI DUNUSINGHE</v>
      </c>
      <c r="C125" s="68" t="str">
        <f>IF(ISNA(VLOOKUP(A125,Declarations!B$6:F$185,5,FALSE)),"",IF(VLOOKUP(A125,Declarations!B$6:F$185,5,FALSE)="","---",VLOOKUP(A125,Declarations!B$6:F$185,5,FALSE)))</f>
        <v>Camberley &amp; District AC</v>
      </c>
      <c r="D125" s="319" t="str">
        <f>IF(ISNA(VLOOKUP(A125,Declarations!B$6:F$185,4,FALSE)),"",IF(VLOOKUP(A125,Declarations!B$6:F$185,4,FALSE)="","---",VLOOKUP(A125,Declarations!B$6:F$185,4,FALSE)))</f>
        <v>GIRLS</v>
      </c>
      <c r="E125" s="245" t="s">
        <v>137</v>
      </c>
      <c r="F125" s="245" t="s">
        <v>137</v>
      </c>
      <c r="G125" s="245" t="s">
        <v>137</v>
      </c>
      <c r="H125" s="320"/>
    </row>
    <row r="126" spans="1:8" ht="19.95" customHeight="1">
      <c r="A126" s="67">
        <v>2</v>
      </c>
      <c r="B126" s="68" t="str">
        <f>IF(ISNA(VLOOKUP(A126,Declarations!B$6:C$185,2,FALSE)),"",IF(VLOOKUP(A126,Declarations!B$6:C$185,2,FALSE)="","---",VLOOKUP(A126,Declarations!B$6:C$185,2,FALSE)))</f>
        <v>POPPY READ</v>
      </c>
      <c r="C126" s="68" t="str">
        <f>IF(ISNA(VLOOKUP(A126,Declarations!B$6:F$185,5,FALSE)),"",IF(VLOOKUP(A126,Declarations!B$6:F$185,5,FALSE)="","---",VLOOKUP(A126,Declarations!B$6:F$185,5,FALSE)))</f>
        <v>Camberley &amp; District AC</v>
      </c>
      <c r="D126" s="319" t="str">
        <f>IF(ISNA(VLOOKUP(A126,Declarations!B$6:F$185,4,FALSE)),"",IF(VLOOKUP(A126,Declarations!B$6:F$185,4,FALSE)="","---",VLOOKUP(A126,Declarations!B$6:F$185,4,FALSE)))</f>
        <v>GIRLS</v>
      </c>
      <c r="E126" s="245" t="s">
        <v>137</v>
      </c>
      <c r="F126" s="245" t="s">
        <v>137</v>
      </c>
      <c r="G126" s="245" t="s">
        <v>137</v>
      </c>
      <c r="H126" s="320"/>
    </row>
    <row r="127" spans="1:8" ht="19.95" customHeight="1">
      <c r="A127" s="67">
        <v>3</v>
      </c>
      <c r="B127" s="68" t="str">
        <f>IF(ISNA(VLOOKUP(A127,Declarations!B$6:C$185,2,FALSE)),"",IF(VLOOKUP(A127,Declarations!B$6:C$185,2,FALSE)="","---",VLOOKUP(A127,Declarations!B$6:C$185,2,FALSE)))</f>
        <v>CHARLOTTE SHEPPARD</v>
      </c>
      <c r="C127" s="68" t="str">
        <f>IF(ISNA(VLOOKUP(A127,Declarations!B$6:F$185,5,FALSE)),"",IF(VLOOKUP(A127,Declarations!B$6:F$185,5,FALSE)="","---",VLOOKUP(A127,Declarations!B$6:F$185,5,FALSE)))</f>
        <v>Camberley &amp; District AC</v>
      </c>
      <c r="D127" s="319" t="str">
        <f>IF(ISNA(VLOOKUP(A127,Declarations!B$6:F$185,4,FALSE)),"",IF(VLOOKUP(A127,Declarations!B$6:F$185,4,FALSE)="","---",VLOOKUP(A127,Declarations!B$6:F$185,4,FALSE)))</f>
        <v>GIRLS</v>
      </c>
      <c r="E127" s="245" t="s">
        <v>137</v>
      </c>
      <c r="F127" s="245" t="s">
        <v>137</v>
      </c>
      <c r="G127" s="245" t="s">
        <v>137</v>
      </c>
      <c r="H127" s="320"/>
    </row>
    <row r="128" spans="1:8" ht="19.95" customHeight="1">
      <c r="A128" s="67">
        <v>4</v>
      </c>
      <c r="B128" s="68" t="str">
        <f>IF(ISNA(VLOOKUP(A128,Declarations!B$6:C$185,2,FALSE)),"",IF(VLOOKUP(A128,Declarations!B$6:C$185,2,FALSE)="","---",VLOOKUP(A128,Declarations!B$6:C$185,2,FALSE)))</f>
        <v>AVA WANLESS</v>
      </c>
      <c r="C128" s="68" t="str">
        <f>IF(ISNA(VLOOKUP(A128,Declarations!B$6:F$185,5,FALSE)),"",IF(VLOOKUP(A128,Declarations!B$6:F$185,5,FALSE)="","---",VLOOKUP(A128,Declarations!B$6:F$185,5,FALSE)))</f>
        <v>Camberley &amp; District AC</v>
      </c>
      <c r="D128" s="319" t="str">
        <f>IF(ISNA(VLOOKUP(A128,Declarations!B$6:F$185,4,FALSE)),"",IF(VLOOKUP(A128,Declarations!B$6:F$185,4,FALSE)="","---",VLOOKUP(A128,Declarations!B$6:F$185,4,FALSE)))</f>
        <v>GIRLS</v>
      </c>
      <c r="E128" s="245" t="s">
        <v>137</v>
      </c>
      <c r="F128" s="245" t="s">
        <v>137</v>
      </c>
      <c r="G128" s="245" t="s">
        <v>137</v>
      </c>
      <c r="H128" s="320"/>
    </row>
    <row r="129" spans="1:8" ht="19.95" customHeight="1">
      <c r="A129" s="67">
        <v>5</v>
      </c>
      <c r="B129" s="68" t="str">
        <f>IF(ISNA(VLOOKUP(A129,Declarations!B$6:C$185,2,FALSE)),"",IF(VLOOKUP(A129,Declarations!B$6:C$185,2,FALSE)="","---",VLOOKUP(A129,Declarations!B$6:C$185,2,FALSE)))</f>
        <v>EMILIA-MAE O'DWYER</v>
      </c>
      <c r="C129" s="68" t="str">
        <f>IF(ISNA(VLOOKUP(A129,Declarations!B$6:F$185,5,FALSE)),"",IF(VLOOKUP(A129,Declarations!B$6:F$185,5,FALSE)="","---",VLOOKUP(A129,Declarations!B$6:F$185,5,FALSE)))</f>
        <v>Camberley &amp; District AC</v>
      </c>
      <c r="D129" s="319" t="str">
        <f>IF(ISNA(VLOOKUP(A129,Declarations!B$6:F$185,4,FALSE)),"",IF(VLOOKUP(A129,Declarations!B$6:F$185,4,FALSE)="","---",VLOOKUP(A129,Declarations!B$6:F$185,4,FALSE)))</f>
        <v>GIRLS</v>
      </c>
      <c r="E129" s="245" t="s">
        <v>137</v>
      </c>
      <c r="F129" s="245" t="s">
        <v>137</v>
      </c>
      <c r="G129" s="245" t="s">
        <v>137</v>
      </c>
      <c r="H129" s="320"/>
    </row>
    <row r="130" spans="1:8" ht="19.95" customHeight="1">
      <c r="A130" s="67">
        <v>6</v>
      </c>
      <c r="B130" s="68" t="str">
        <f>IF(ISNA(VLOOKUP(A130,Declarations!B$6:C$185,2,FALSE)),"",IF(VLOOKUP(A130,Declarations!B$6:C$185,2,FALSE)="","---",VLOOKUP(A130,Declarations!B$6:C$185,2,FALSE)))</f>
        <v>RUBY WILLIAMS</v>
      </c>
      <c r="C130" s="68" t="str">
        <f>IF(ISNA(VLOOKUP(A130,Declarations!B$6:F$185,5,FALSE)),"",IF(VLOOKUP(A130,Declarations!B$6:F$185,5,FALSE)="","---",VLOOKUP(A130,Declarations!B$6:F$185,5,FALSE)))</f>
        <v>Camberley &amp; District AC</v>
      </c>
      <c r="D130" s="319" t="str">
        <f>IF(ISNA(VLOOKUP(A130,Declarations!B$6:F$185,4,FALSE)),"",IF(VLOOKUP(A130,Declarations!B$6:F$185,4,FALSE)="","---",VLOOKUP(A130,Declarations!B$6:F$185,4,FALSE)))</f>
        <v>GIRLS</v>
      </c>
      <c r="E130" s="245" t="s">
        <v>137</v>
      </c>
      <c r="F130" s="245" t="s">
        <v>137</v>
      </c>
      <c r="G130" s="245" t="s">
        <v>137</v>
      </c>
      <c r="H130" s="320"/>
    </row>
    <row r="131" spans="1:8" ht="19.95" customHeight="1">
      <c r="A131" s="67">
        <v>7</v>
      </c>
      <c r="B131" s="68" t="str">
        <f>IF(ISNA(VLOOKUP(A131,Declarations!B$6:C$185,2,FALSE)),"",IF(VLOOKUP(A131,Declarations!B$6:C$185,2,FALSE)="","---",VLOOKUP(A131,Declarations!B$6:C$185,2,FALSE)))</f>
        <v>LEA MIZEN</v>
      </c>
      <c r="C131" s="68" t="str">
        <f>IF(ISNA(VLOOKUP(A131,Declarations!B$6:F$185,5,FALSE)),"",IF(VLOOKUP(A131,Declarations!B$6:F$185,5,FALSE)="","---",VLOOKUP(A131,Declarations!B$6:F$185,5,FALSE)))</f>
        <v>Camberley &amp; District AC</v>
      </c>
      <c r="D131" s="319" t="str">
        <f>IF(ISNA(VLOOKUP(A131,Declarations!B$6:F$185,4,FALSE)),"",IF(VLOOKUP(A131,Declarations!B$6:F$185,4,FALSE)="","---",VLOOKUP(A131,Declarations!B$6:F$185,4,FALSE)))</f>
        <v>GIRLS</v>
      </c>
      <c r="E131" s="245" t="s">
        <v>137</v>
      </c>
      <c r="F131" s="245" t="s">
        <v>137</v>
      </c>
      <c r="G131" s="245" t="s">
        <v>137</v>
      </c>
      <c r="H131" s="320"/>
    </row>
    <row r="132" spans="1:8" ht="19.95" customHeight="1">
      <c r="A132" s="67">
        <v>8</v>
      </c>
      <c r="B132" s="68" t="str">
        <f>IF(ISNA(VLOOKUP(A132,Declarations!B$6:C$185,2,FALSE)),"",IF(VLOOKUP(A132,Declarations!B$6:C$185,2,FALSE)="","---",VLOOKUP(A132,Declarations!B$6:C$185,2,FALSE)))</f>
        <v>CHLOE HARRISON</v>
      </c>
      <c r="C132" s="68" t="str">
        <f>IF(ISNA(VLOOKUP(A132,Declarations!B$6:F$185,5,FALSE)),"",IF(VLOOKUP(A132,Declarations!B$6:F$185,5,FALSE)="","---",VLOOKUP(A132,Declarations!B$6:F$185,5,FALSE)))</f>
        <v>Camberley &amp; District AC</v>
      </c>
      <c r="D132" s="319" t="str">
        <f>IF(ISNA(VLOOKUP(A132,Declarations!B$6:F$185,4,FALSE)),"",IF(VLOOKUP(A132,Declarations!B$6:F$185,4,FALSE)="","---",VLOOKUP(A132,Declarations!B$6:F$185,4,FALSE)))</f>
        <v>GIRLS</v>
      </c>
      <c r="E132" s="245" t="s">
        <v>137</v>
      </c>
      <c r="F132" s="245" t="s">
        <v>137</v>
      </c>
      <c r="G132" s="245" t="s">
        <v>137</v>
      </c>
      <c r="H132" s="320"/>
    </row>
    <row r="133" spans="1:8" ht="19.95" customHeight="1">
      <c r="A133" s="67">
        <v>21</v>
      </c>
      <c r="B133" s="68" t="str">
        <f>IF(ISNA(VLOOKUP(A133,Declarations!B$6:C$185,2,FALSE)),"",IF(VLOOKUP(A133,Declarations!B$6:C$185,2,FALSE)="","---",VLOOKUP(A133,Declarations!B$6:C$185,2,FALSE)))</f>
        <v>ELISE ABDELLI</v>
      </c>
      <c r="C133" s="68" t="str">
        <f>IF(ISNA(VLOOKUP(A133,Declarations!B$6:F$185,5,FALSE)),"",IF(VLOOKUP(A133,Declarations!B$6:F$185,5,FALSE)="","---",VLOOKUP(A133,Declarations!B$6:F$185,5,FALSE)))</f>
        <v>Woking AC</v>
      </c>
      <c r="D133" s="319" t="str">
        <f>IF(ISNA(VLOOKUP(A133,Declarations!B$6:F$185,4,FALSE)),"",IF(VLOOKUP(A133,Declarations!B$6:F$185,4,FALSE)="","---",VLOOKUP(A133,Declarations!B$6:F$185,4,FALSE)))</f>
        <v>GIRLS</v>
      </c>
      <c r="E133" s="245" t="s">
        <v>137</v>
      </c>
      <c r="F133" s="245" t="s">
        <v>137</v>
      </c>
      <c r="G133" s="245" t="s">
        <v>137</v>
      </c>
      <c r="H133" s="320"/>
    </row>
    <row r="134" spans="1:8" ht="19.95" customHeight="1">
      <c r="A134" s="67">
        <v>22</v>
      </c>
      <c r="B134" s="68" t="str">
        <f>IF(ISNA(VLOOKUP(A134,Declarations!B$6:C$185,2,FALSE)),"",IF(VLOOKUP(A134,Declarations!B$6:C$185,2,FALSE)="","---",VLOOKUP(A134,Declarations!B$6:C$185,2,FALSE)))</f>
        <v>FRANKIE ICETON</v>
      </c>
      <c r="C134" s="68" t="str">
        <f>IF(ISNA(VLOOKUP(A134,Declarations!B$6:F$185,5,FALSE)),"",IF(VLOOKUP(A134,Declarations!B$6:F$185,5,FALSE)="","---",VLOOKUP(A134,Declarations!B$6:F$185,5,FALSE)))</f>
        <v>Woking AC</v>
      </c>
      <c r="D134" s="319" t="str">
        <f>IF(ISNA(VLOOKUP(A134,Declarations!B$6:F$185,4,FALSE)),"",IF(VLOOKUP(A134,Declarations!B$6:F$185,4,FALSE)="","---",VLOOKUP(A134,Declarations!B$6:F$185,4,FALSE)))</f>
        <v>GIRLS</v>
      </c>
      <c r="E134" s="245" t="s">
        <v>137</v>
      </c>
      <c r="F134" s="245" t="s">
        <v>137</v>
      </c>
      <c r="G134" s="245" t="s">
        <v>137</v>
      </c>
      <c r="H134" s="320"/>
    </row>
    <row r="135" spans="1:8" ht="19.95" customHeight="1">
      <c r="A135" s="67">
        <v>23</v>
      </c>
      <c r="B135" s="68" t="str">
        <f>IF(ISNA(VLOOKUP(A135,Declarations!B$6:C$185,2,FALSE)),"",IF(VLOOKUP(A135,Declarations!B$6:C$185,2,FALSE)="","---",VLOOKUP(A135,Declarations!B$6:C$185,2,FALSE)))</f>
        <v>ALIYAH KENNAUGH</v>
      </c>
      <c r="C135" s="68" t="str">
        <f>IF(ISNA(VLOOKUP(A135,Declarations!B$6:F$185,5,FALSE)),"",IF(VLOOKUP(A135,Declarations!B$6:F$185,5,FALSE)="","---",VLOOKUP(A135,Declarations!B$6:F$185,5,FALSE)))</f>
        <v>Woking AC</v>
      </c>
      <c r="D135" s="319" t="str">
        <f>IF(ISNA(VLOOKUP(A135,Declarations!B$6:F$185,4,FALSE)),"",IF(VLOOKUP(A135,Declarations!B$6:F$185,4,FALSE)="","---",VLOOKUP(A135,Declarations!B$6:F$185,4,FALSE)))</f>
        <v>GIRLS</v>
      </c>
      <c r="E135" s="245" t="s">
        <v>137</v>
      </c>
      <c r="F135" s="245" t="s">
        <v>137</v>
      </c>
      <c r="G135" s="245" t="s">
        <v>137</v>
      </c>
      <c r="H135" s="320"/>
    </row>
    <row r="136" spans="1:8" ht="19.95" customHeight="1">
      <c r="A136" s="67">
        <v>24</v>
      </c>
      <c r="B136" s="68" t="str">
        <f>IF(ISNA(VLOOKUP(A136,Declarations!B$6:C$185,2,FALSE)),"",IF(VLOOKUP(A136,Declarations!B$6:C$185,2,FALSE)="","---",VLOOKUP(A136,Declarations!B$6:C$185,2,FALSE)))</f>
        <v>ELIN PERERA</v>
      </c>
      <c r="C136" s="68" t="str">
        <f>IF(ISNA(VLOOKUP(A136,Declarations!B$6:F$185,5,FALSE)),"",IF(VLOOKUP(A136,Declarations!B$6:F$185,5,FALSE)="","---",VLOOKUP(A136,Declarations!B$6:F$185,5,FALSE)))</f>
        <v>Woking AC</v>
      </c>
      <c r="D136" s="319" t="str">
        <f>IF(ISNA(VLOOKUP(A136,Declarations!B$6:F$185,4,FALSE)),"",IF(VLOOKUP(A136,Declarations!B$6:F$185,4,FALSE)="","---",VLOOKUP(A136,Declarations!B$6:F$185,4,FALSE)))</f>
        <v>GIRLS</v>
      </c>
      <c r="E136" s="245" t="s">
        <v>137</v>
      </c>
      <c r="F136" s="245" t="s">
        <v>137</v>
      </c>
      <c r="G136" s="245" t="s">
        <v>137</v>
      </c>
      <c r="H136" s="320"/>
    </row>
    <row r="137" spans="1:8" ht="19.95" customHeight="1">
      <c r="A137" s="67">
        <v>25</v>
      </c>
      <c r="B137" s="68" t="str">
        <f>IF(ISNA(VLOOKUP(A137,Declarations!B$6:C$185,2,FALSE)),"",IF(VLOOKUP(A137,Declarations!B$6:C$185,2,FALSE)="","---",VLOOKUP(A137,Declarations!B$6:C$185,2,FALSE)))</f>
        <v>LILY COPP</v>
      </c>
      <c r="C137" s="68" t="str">
        <f>IF(ISNA(VLOOKUP(A137,Declarations!B$6:F$185,5,FALSE)),"",IF(VLOOKUP(A137,Declarations!B$6:F$185,5,FALSE)="","---",VLOOKUP(A137,Declarations!B$6:F$185,5,FALSE)))</f>
        <v>Woking AC</v>
      </c>
      <c r="D137" s="319" t="str">
        <f>IF(ISNA(VLOOKUP(A137,Declarations!B$6:F$185,4,FALSE)),"",IF(VLOOKUP(A137,Declarations!B$6:F$185,4,FALSE)="","---",VLOOKUP(A137,Declarations!B$6:F$185,4,FALSE)))</f>
        <v>GIRLS</v>
      </c>
      <c r="E137" s="245" t="s">
        <v>137</v>
      </c>
      <c r="F137" s="245" t="s">
        <v>137</v>
      </c>
      <c r="G137" s="245" t="s">
        <v>137</v>
      </c>
      <c r="H137" s="320"/>
    </row>
    <row r="138" spans="1:8" ht="19.95" customHeight="1">
      <c r="A138" s="67">
        <v>26</v>
      </c>
      <c r="B138" s="68" t="str">
        <f>IF(ISNA(VLOOKUP(A138,Declarations!B$6:C$185,2,FALSE)),"",IF(VLOOKUP(A138,Declarations!B$6:C$185,2,FALSE)="","---",VLOOKUP(A138,Declarations!B$6:C$185,2,FALSE)))</f>
        <v>EDEN WECKI</v>
      </c>
      <c r="C138" s="68" t="str">
        <f>IF(ISNA(VLOOKUP(A138,Declarations!B$6:F$185,5,FALSE)),"",IF(VLOOKUP(A138,Declarations!B$6:F$185,5,FALSE)="","---",VLOOKUP(A138,Declarations!B$6:F$185,5,FALSE)))</f>
        <v>Woking AC</v>
      </c>
      <c r="D138" s="319" t="str">
        <f>IF(ISNA(VLOOKUP(A138,Declarations!B$6:F$185,4,FALSE)),"",IF(VLOOKUP(A138,Declarations!B$6:F$185,4,FALSE)="","---",VLOOKUP(A138,Declarations!B$6:F$185,4,FALSE)))</f>
        <v>GIRLS</v>
      </c>
      <c r="E138" s="245" t="s">
        <v>137</v>
      </c>
      <c r="F138" s="245" t="s">
        <v>137</v>
      </c>
      <c r="G138" s="245" t="s">
        <v>137</v>
      </c>
      <c r="H138" s="320"/>
    </row>
    <row r="139" spans="1:8" ht="19.95" customHeight="1">
      <c r="A139" s="67">
        <v>27</v>
      </c>
      <c r="B139" s="68" t="str">
        <f>IF(ISNA(VLOOKUP(A139,Declarations!B$6:C$185,2,FALSE)),"",IF(VLOOKUP(A139,Declarations!B$6:C$185,2,FALSE)="","---",VLOOKUP(A139,Declarations!B$6:C$185,2,FALSE)))</f>
        <v>SOPHIE GBAJOBI</v>
      </c>
      <c r="C139" s="68" t="str">
        <f>IF(ISNA(VLOOKUP(A139,Declarations!B$6:F$185,5,FALSE)),"",IF(VLOOKUP(A139,Declarations!B$6:F$185,5,FALSE)="","---",VLOOKUP(A139,Declarations!B$6:F$185,5,FALSE)))</f>
        <v>Woking AC</v>
      </c>
      <c r="D139" s="319" t="str">
        <f>IF(ISNA(VLOOKUP(A139,Declarations!B$6:F$185,4,FALSE)),"",IF(VLOOKUP(A139,Declarations!B$6:F$185,4,FALSE)="","---",VLOOKUP(A139,Declarations!B$6:F$185,4,FALSE)))</f>
        <v>GIRLS</v>
      </c>
      <c r="E139" s="245" t="s">
        <v>137</v>
      </c>
      <c r="F139" s="245" t="s">
        <v>137</v>
      </c>
      <c r="G139" s="245" t="s">
        <v>137</v>
      </c>
      <c r="H139" s="320"/>
    </row>
    <row r="140" spans="1:8" ht="19.95" customHeight="1">
      <c r="A140" s="67">
        <v>28</v>
      </c>
      <c r="B140" s="68" t="str">
        <f>IF(ISNA(VLOOKUP(A140,Declarations!B$6:C$185,2,FALSE)),"",IF(VLOOKUP(A140,Declarations!B$6:C$185,2,FALSE)="","---",VLOOKUP(A140,Declarations!B$6:C$185,2,FALSE)))</f>
        <v>ALANA FOOTE</v>
      </c>
      <c r="C140" s="68" t="str">
        <f>IF(ISNA(VLOOKUP(A140,Declarations!B$6:F$185,5,FALSE)),"",IF(VLOOKUP(A140,Declarations!B$6:F$185,5,FALSE)="","---",VLOOKUP(A140,Declarations!B$6:F$185,5,FALSE)))</f>
        <v>Woking AC</v>
      </c>
      <c r="D140" s="319" t="str">
        <f>IF(ISNA(VLOOKUP(A140,Declarations!B$6:F$185,4,FALSE)),"",IF(VLOOKUP(A140,Declarations!B$6:F$185,4,FALSE)="","---",VLOOKUP(A140,Declarations!B$6:F$185,4,FALSE)))</f>
        <v>GIRLS</v>
      </c>
      <c r="E140" s="245" t="s">
        <v>137</v>
      </c>
      <c r="F140" s="245" t="s">
        <v>137</v>
      </c>
      <c r="G140" s="245" t="s">
        <v>137</v>
      </c>
      <c r="H140" s="320"/>
    </row>
    <row r="141" spans="1:8" ht="19.95" customHeight="1">
      <c r="A141" s="67">
        <v>29</v>
      </c>
      <c r="B141" s="68" t="str">
        <f>IF(ISNA(VLOOKUP(A141,Declarations!B$6:C$185,2,FALSE)),"",IF(VLOOKUP(A141,Declarations!B$6:C$185,2,FALSE)="","---",VLOOKUP(A141,Declarations!B$6:C$185,2,FALSE)))</f>
        <v>KATIE TAYLOR</v>
      </c>
      <c r="C141" s="68" t="str">
        <f>IF(ISNA(VLOOKUP(A141,Declarations!B$6:F$185,5,FALSE)),"",IF(VLOOKUP(A141,Declarations!B$6:F$185,5,FALSE)="","---",VLOOKUP(A141,Declarations!B$6:F$185,5,FALSE)))</f>
        <v>Woking AC</v>
      </c>
      <c r="D141" s="319" t="str">
        <f>IF(ISNA(VLOOKUP(A141,Declarations!B$6:F$185,4,FALSE)),"",IF(VLOOKUP(A141,Declarations!B$6:F$185,4,FALSE)="","---",VLOOKUP(A141,Declarations!B$6:F$185,4,FALSE)))</f>
        <v>GIRLS</v>
      </c>
      <c r="E141" s="245" t="s">
        <v>137</v>
      </c>
      <c r="F141" s="245" t="s">
        <v>137</v>
      </c>
      <c r="G141" s="245" t="s">
        <v>137</v>
      </c>
      <c r="H141" s="320"/>
    </row>
    <row r="142" spans="1:8" ht="19.95" customHeight="1">
      <c r="A142" s="67">
        <v>41</v>
      </c>
      <c r="B142" s="68" t="str">
        <f>IF(ISNA(VLOOKUP(A142,Declarations!B$6:C$185,2,FALSE)),"",IF(VLOOKUP(A142,Declarations!B$6:C$185,2,FALSE)="","---",VLOOKUP(A142,Declarations!B$6:C$185,2,FALSE)))</f>
        <v>KAMILA OLATEJU</v>
      </c>
      <c r="C142" s="68" t="str">
        <f>IF(ISNA(VLOOKUP(A142,Declarations!B$6:F$185,5,FALSE)),"",IF(VLOOKUP(A142,Declarations!B$6:F$185,5,FALSE)="","---",VLOOKUP(A142,Declarations!B$6:F$185,5,FALSE)))</f>
        <v>Poole Runners</v>
      </c>
      <c r="D142" s="319" t="str">
        <f>IF(ISNA(VLOOKUP(A142,Declarations!B$6:F$185,4,FALSE)),"",IF(VLOOKUP(A142,Declarations!B$6:F$185,4,FALSE)="","---",VLOOKUP(A142,Declarations!B$6:F$185,4,FALSE)))</f>
        <v>GIRLS</v>
      </c>
      <c r="E142" s="245" t="s">
        <v>137</v>
      </c>
      <c r="F142" s="245" t="s">
        <v>137</v>
      </c>
      <c r="G142" s="245" t="s">
        <v>137</v>
      </c>
      <c r="H142" s="320"/>
    </row>
    <row r="143" spans="1:8" ht="19.95" customHeight="1">
      <c r="A143" s="67">
        <v>42</v>
      </c>
      <c r="B143" s="68" t="str">
        <f>IF(ISNA(VLOOKUP(A143,Declarations!B$6:C$185,2,FALSE)),"",IF(VLOOKUP(A143,Declarations!B$6:C$185,2,FALSE)="","---",VLOOKUP(A143,Declarations!B$6:C$185,2,FALSE)))</f>
        <v>ROSE NEIL</v>
      </c>
      <c r="C143" s="68" t="str">
        <f>IF(ISNA(VLOOKUP(A143,Declarations!B$6:F$185,5,FALSE)),"",IF(VLOOKUP(A143,Declarations!B$6:F$185,5,FALSE)="","---",VLOOKUP(A143,Declarations!B$6:F$185,5,FALSE)))</f>
        <v>Poole Runners</v>
      </c>
      <c r="D143" s="319" t="str">
        <f>IF(ISNA(VLOOKUP(A143,Declarations!B$6:F$185,4,FALSE)),"",IF(VLOOKUP(A143,Declarations!B$6:F$185,4,FALSE)="","---",VLOOKUP(A143,Declarations!B$6:F$185,4,FALSE)))</f>
        <v>GIRLS</v>
      </c>
      <c r="E143" s="245" t="s">
        <v>137</v>
      </c>
      <c r="F143" s="245" t="s">
        <v>137</v>
      </c>
      <c r="G143" s="245" t="s">
        <v>137</v>
      </c>
      <c r="H143" s="320"/>
    </row>
    <row r="144" spans="1:8" ht="19.95" customHeight="1">
      <c r="A144" s="67">
        <v>43</v>
      </c>
      <c r="B144" s="68" t="str">
        <f>IF(ISNA(VLOOKUP(A144,Declarations!B$6:C$185,2,FALSE)),"",IF(VLOOKUP(A144,Declarations!B$6:C$185,2,FALSE)="","---",VLOOKUP(A144,Declarations!B$6:C$185,2,FALSE)))</f>
        <v>DORA DOMA</v>
      </c>
      <c r="C144" s="68" t="str">
        <f>IF(ISNA(VLOOKUP(A144,Declarations!B$6:F$185,5,FALSE)),"",IF(VLOOKUP(A144,Declarations!B$6:F$185,5,FALSE)="","---",VLOOKUP(A144,Declarations!B$6:F$185,5,FALSE)))</f>
        <v>Poole Runners</v>
      </c>
      <c r="D144" s="319" t="str">
        <f>IF(ISNA(VLOOKUP(A144,Declarations!B$6:F$185,4,FALSE)),"",IF(VLOOKUP(A144,Declarations!B$6:F$185,4,FALSE)="","---",VLOOKUP(A144,Declarations!B$6:F$185,4,FALSE)))</f>
        <v>GIRLS</v>
      </c>
      <c r="E144" s="245" t="s">
        <v>137</v>
      </c>
      <c r="F144" s="245" t="s">
        <v>137</v>
      </c>
      <c r="G144" s="245" t="s">
        <v>137</v>
      </c>
      <c r="H144" s="320"/>
    </row>
    <row r="145" spans="1:8" ht="19.95" customHeight="1">
      <c r="A145" s="67">
        <v>44</v>
      </c>
      <c r="B145" s="68" t="str">
        <f>IF(ISNA(VLOOKUP(A145,Declarations!B$6:C$185,2,FALSE)),"",IF(VLOOKUP(A145,Declarations!B$6:C$185,2,FALSE)="","---",VLOOKUP(A145,Declarations!B$6:C$185,2,FALSE)))</f>
        <v>POLLY WARBOYS</v>
      </c>
      <c r="C145" s="68" t="str">
        <f>IF(ISNA(VLOOKUP(A145,Declarations!B$6:F$185,5,FALSE)),"",IF(VLOOKUP(A145,Declarations!B$6:F$185,5,FALSE)="","---",VLOOKUP(A145,Declarations!B$6:F$185,5,FALSE)))</f>
        <v>Poole Runners</v>
      </c>
      <c r="D145" s="319" t="str">
        <f>IF(ISNA(VLOOKUP(A145,Declarations!B$6:F$185,4,FALSE)),"",IF(VLOOKUP(A145,Declarations!B$6:F$185,4,FALSE)="","---",VLOOKUP(A145,Declarations!B$6:F$185,4,FALSE)))</f>
        <v>GIRLS</v>
      </c>
      <c r="E145" s="245" t="s">
        <v>137</v>
      </c>
      <c r="F145" s="245" t="s">
        <v>137</v>
      </c>
      <c r="G145" s="245" t="s">
        <v>137</v>
      </c>
      <c r="H145" s="320"/>
    </row>
    <row r="146" spans="1:8" ht="19.95" customHeight="1">
      <c r="A146" s="67">
        <v>45</v>
      </c>
      <c r="B146" s="68" t="str">
        <f>IF(ISNA(VLOOKUP(A146,Declarations!B$6:C$185,2,FALSE)),"",IF(VLOOKUP(A146,Declarations!B$6:C$185,2,FALSE)="","---",VLOOKUP(A146,Declarations!B$6:C$185,2,FALSE)))</f>
        <v>VIOLET FULLING</v>
      </c>
      <c r="C146" s="68" t="str">
        <f>IF(ISNA(VLOOKUP(A146,Declarations!B$6:F$185,5,FALSE)),"",IF(VLOOKUP(A146,Declarations!B$6:F$185,5,FALSE)="","---",VLOOKUP(A146,Declarations!B$6:F$185,5,FALSE)))</f>
        <v>Poole Runners</v>
      </c>
      <c r="D146" s="319" t="str">
        <f>IF(ISNA(VLOOKUP(A146,Declarations!B$6:F$185,4,FALSE)),"",IF(VLOOKUP(A146,Declarations!B$6:F$185,4,FALSE)="","---",VLOOKUP(A146,Declarations!B$6:F$185,4,FALSE)))</f>
        <v>GIRLS</v>
      </c>
      <c r="E146" s="245" t="s">
        <v>137</v>
      </c>
      <c r="F146" s="245" t="s">
        <v>137</v>
      </c>
      <c r="G146" s="245" t="s">
        <v>137</v>
      </c>
      <c r="H146" s="320"/>
    </row>
    <row r="147" spans="1:8" ht="19.95" customHeight="1">
      <c r="A147" s="67">
        <v>46</v>
      </c>
      <c r="B147" s="68" t="str">
        <f>IF(ISNA(VLOOKUP(A147,Declarations!B$6:C$185,2,FALSE)),"",IF(VLOOKUP(A147,Declarations!B$6:C$185,2,FALSE)="","---",VLOOKUP(A147,Declarations!B$6:C$185,2,FALSE)))</f>
        <v>BROOKE PARRY-DAVIDSON</v>
      </c>
      <c r="C147" s="68" t="str">
        <f>IF(ISNA(VLOOKUP(A147,Declarations!B$6:F$185,5,FALSE)),"",IF(VLOOKUP(A147,Declarations!B$6:F$185,5,FALSE)="","---",VLOOKUP(A147,Declarations!B$6:F$185,5,FALSE)))</f>
        <v>Poole Runners</v>
      </c>
      <c r="D147" s="319" t="str">
        <f>IF(ISNA(VLOOKUP(A147,Declarations!B$6:F$185,4,FALSE)),"",IF(VLOOKUP(A147,Declarations!B$6:F$185,4,FALSE)="","---",VLOOKUP(A147,Declarations!B$6:F$185,4,FALSE)))</f>
        <v>GIRLS</v>
      </c>
      <c r="E147" s="245" t="s">
        <v>137</v>
      </c>
      <c r="F147" s="245" t="s">
        <v>137</v>
      </c>
      <c r="G147" s="245" t="s">
        <v>137</v>
      </c>
      <c r="H147" s="320"/>
    </row>
    <row r="148" spans="1:8" ht="19.95" customHeight="1">
      <c r="A148" s="67">
        <v>47</v>
      </c>
      <c r="B148" s="68" t="str">
        <f>IF(ISNA(VLOOKUP(A148,Declarations!B$6:C$185,2,FALSE)),"",IF(VLOOKUP(A148,Declarations!B$6:C$185,2,FALSE)="","---",VLOOKUP(A148,Declarations!B$6:C$185,2,FALSE)))</f>
        <v>JESSICA FRANK</v>
      </c>
      <c r="C148" s="68" t="str">
        <f>IF(ISNA(VLOOKUP(A148,Declarations!B$6:F$185,5,FALSE)),"",IF(VLOOKUP(A148,Declarations!B$6:F$185,5,FALSE)="","---",VLOOKUP(A148,Declarations!B$6:F$185,5,FALSE)))</f>
        <v>Poole Runners</v>
      </c>
      <c r="D148" s="319" t="str">
        <f>IF(ISNA(VLOOKUP(A148,Declarations!B$6:F$185,4,FALSE)),"",IF(VLOOKUP(A148,Declarations!B$6:F$185,4,FALSE)="","---",VLOOKUP(A148,Declarations!B$6:F$185,4,FALSE)))</f>
        <v>GIRLS</v>
      </c>
      <c r="E148" s="245" t="s">
        <v>137</v>
      </c>
      <c r="F148" s="245" t="s">
        <v>137</v>
      </c>
      <c r="G148" s="245" t="s">
        <v>137</v>
      </c>
      <c r="H148" s="320"/>
    </row>
    <row r="149" spans="1:8" ht="19.95" customHeight="1">
      <c r="A149" s="67">
        <v>48</v>
      </c>
      <c r="B149" s="68" t="str">
        <f>IF(ISNA(VLOOKUP(A149,Declarations!B$6:C$185,2,FALSE)),"",IF(VLOOKUP(A149,Declarations!B$6:C$185,2,FALSE)="","---",VLOOKUP(A149,Declarations!B$6:C$185,2,FALSE)))</f>
        <v>MATILDA COATESMITH</v>
      </c>
      <c r="C149" s="68" t="str">
        <f>IF(ISNA(VLOOKUP(A149,Declarations!B$6:F$185,5,FALSE)),"",IF(VLOOKUP(A149,Declarations!B$6:F$185,5,FALSE)="","---",VLOOKUP(A149,Declarations!B$6:F$185,5,FALSE)))</f>
        <v>Poole Runners</v>
      </c>
      <c r="D149" s="319" t="str">
        <f>IF(ISNA(VLOOKUP(A149,Declarations!B$6:F$185,4,FALSE)),"",IF(VLOOKUP(A149,Declarations!B$6:F$185,4,FALSE)="","---",VLOOKUP(A149,Declarations!B$6:F$185,4,FALSE)))</f>
        <v>GIRLS</v>
      </c>
      <c r="E149" s="245" t="s">
        <v>137</v>
      </c>
      <c r="F149" s="245" t="s">
        <v>137</v>
      </c>
      <c r="G149" s="245" t="s">
        <v>137</v>
      </c>
      <c r="H149" s="320"/>
    </row>
    <row r="150" spans="1:8" ht="19.95" customHeight="1">
      <c r="A150" s="67">
        <v>49</v>
      </c>
      <c r="B150" s="68" t="str">
        <f>IF(ISNA(VLOOKUP(A150,Declarations!B$6:C$185,2,FALSE)),"",IF(VLOOKUP(A150,Declarations!B$6:C$185,2,FALSE)="","---",VLOOKUP(A150,Declarations!B$6:C$185,2,FALSE)))</f>
        <v>IZZY YOUNG</v>
      </c>
      <c r="C150" s="68" t="str">
        <f>IF(ISNA(VLOOKUP(A150,Declarations!B$6:F$185,5,FALSE)),"",IF(VLOOKUP(A150,Declarations!B$6:F$185,5,FALSE)="","---",VLOOKUP(A150,Declarations!B$6:F$185,5,FALSE)))</f>
        <v>Poole Runners</v>
      </c>
      <c r="D150" s="319" t="str">
        <f>IF(ISNA(VLOOKUP(A150,Declarations!B$6:F$185,4,FALSE)),"",IF(VLOOKUP(A150,Declarations!B$6:F$185,4,FALSE)="","---",VLOOKUP(A150,Declarations!B$6:F$185,4,FALSE)))</f>
        <v>GIRLS</v>
      </c>
      <c r="E150" s="245" t="s">
        <v>137</v>
      </c>
      <c r="F150" s="245" t="s">
        <v>137</v>
      </c>
      <c r="G150" s="245" t="s">
        <v>137</v>
      </c>
      <c r="H150" s="320"/>
    </row>
    <row r="151" spans="1:8" ht="19.95" customHeight="1">
      <c r="A151" s="67">
        <v>50</v>
      </c>
      <c r="B151" s="68" t="str">
        <f>IF(ISNA(VLOOKUP(A151,Declarations!B$6:C$185,2,FALSE)),"",IF(VLOOKUP(A151,Declarations!B$6:C$185,2,FALSE)="","---",VLOOKUP(A151,Declarations!B$6:C$185,2,FALSE)))</f>
        <v>WILLA GRAY</v>
      </c>
      <c r="C151" s="68" t="str">
        <f>IF(ISNA(VLOOKUP(A151,Declarations!B$6:F$185,5,FALSE)),"",IF(VLOOKUP(A151,Declarations!B$6:F$185,5,FALSE)="","---",VLOOKUP(A151,Declarations!B$6:F$185,5,FALSE)))</f>
        <v>Poole Runners</v>
      </c>
      <c r="D151" s="319" t="str">
        <f>IF(ISNA(VLOOKUP(A151,Declarations!B$6:F$185,4,FALSE)),"",IF(VLOOKUP(A151,Declarations!B$6:F$185,4,FALSE)="","---",VLOOKUP(A151,Declarations!B$6:F$185,4,FALSE)))</f>
        <v>GIRLS</v>
      </c>
      <c r="E151" s="245" t="s">
        <v>137</v>
      </c>
      <c r="F151" s="245" t="s">
        <v>137</v>
      </c>
      <c r="G151" s="245" t="s">
        <v>137</v>
      </c>
      <c r="H151" s="320"/>
    </row>
    <row r="152" spans="1:8" ht="19.95" customHeight="1">
      <c r="A152" s="67"/>
      <c r="B152" s="68" t="str">
        <f>IF(ISNA(VLOOKUP(A152,Declarations!B$6:C$185,2,FALSE)),"",IF(VLOOKUP(A152,Declarations!B$6:C$185,2,FALSE)="","---",VLOOKUP(A152,Declarations!B$6:C$185,2,FALSE)))</f>
        <v/>
      </c>
      <c r="C152" s="68" t="str">
        <f>IF(ISNA(VLOOKUP(A152,Declarations!B$6:F$185,5,FALSE)),"",IF(VLOOKUP(A152,Declarations!B$6:F$185,5,FALSE)="","---",VLOOKUP(A152,Declarations!B$6:F$185,5,FALSE)))</f>
        <v/>
      </c>
      <c r="D152" s="319" t="str">
        <f>IF(ISNA(VLOOKUP(A152,Declarations!B$6:F$185,4,FALSE)),"",IF(VLOOKUP(A152,Declarations!B$6:F$185,4,FALSE)="","---",VLOOKUP(A152,Declarations!B$6:F$185,4,FALSE)))</f>
        <v/>
      </c>
      <c r="E152" s="245" t="s">
        <v>137</v>
      </c>
      <c r="F152" s="245" t="s">
        <v>137</v>
      </c>
      <c r="G152" s="245" t="s">
        <v>137</v>
      </c>
      <c r="H152" s="320"/>
    </row>
    <row r="153" spans="1:8" ht="19.95" customHeight="1">
      <c r="A153" s="67"/>
      <c r="B153" s="68" t="str">
        <f>IF(ISNA(VLOOKUP(A153,Declarations!B$6:C$185,2,FALSE)),"",IF(VLOOKUP(A153,Declarations!B$6:C$185,2,FALSE)="","---",VLOOKUP(A153,Declarations!B$6:C$185,2,FALSE)))</f>
        <v/>
      </c>
      <c r="C153" s="68" t="str">
        <f>IF(ISNA(VLOOKUP(A153,Declarations!B$6:F$185,5,FALSE)),"",IF(VLOOKUP(A153,Declarations!B$6:F$185,5,FALSE)="","---",VLOOKUP(A153,Declarations!B$6:F$185,5,FALSE)))</f>
        <v/>
      </c>
      <c r="D153" s="319" t="str">
        <f>IF(ISNA(VLOOKUP(A153,Declarations!B$6:F$185,4,FALSE)),"",IF(VLOOKUP(A153,Declarations!B$6:F$185,4,FALSE)="","---",VLOOKUP(A153,Declarations!B$6:F$185,4,FALSE)))</f>
        <v/>
      </c>
      <c r="E153" s="245" t="s">
        <v>137</v>
      </c>
      <c r="F153" s="245" t="s">
        <v>137</v>
      </c>
      <c r="G153" s="245" t="s">
        <v>137</v>
      </c>
      <c r="H153" s="320"/>
    </row>
    <row r="154" spans="1:8" ht="19.95" customHeight="1">
      <c r="A154" s="67"/>
      <c r="B154" s="68" t="str">
        <f>IF(ISNA(VLOOKUP(A154,Declarations!B$6:C$185,2,FALSE)),"",IF(VLOOKUP(A154,Declarations!B$6:C$185,2,FALSE)="","---",VLOOKUP(A154,Declarations!B$6:C$185,2,FALSE)))</f>
        <v/>
      </c>
      <c r="C154" s="68" t="str">
        <f>IF(ISNA(VLOOKUP(A154,Declarations!B$6:F$185,5,FALSE)),"",IF(VLOOKUP(A154,Declarations!B$6:F$185,5,FALSE)="","---",VLOOKUP(A154,Declarations!B$6:F$185,5,FALSE)))</f>
        <v/>
      </c>
      <c r="D154" s="319" t="str">
        <f>IF(ISNA(VLOOKUP(A154,Declarations!B$6:F$185,4,FALSE)),"",IF(VLOOKUP(A154,Declarations!B$6:F$185,4,FALSE)="","---",VLOOKUP(A154,Declarations!B$6:F$185,4,FALSE)))</f>
        <v/>
      </c>
      <c r="E154" s="245" t="s">
        <v>137</v>
      </c>
      <c r="F154" s="245" t="s">
        <v>137</v>
      </c>
      <c r="G154" s="245" t="s">
        <v>137</v>
      </c>
      <c r="H154" s="320"/>
    </row>
    <row r="155" spans="1:8" ht="15.6">
      <c r="A155" s="69"/>
      <c r="B155" s="70"/>
      <c r="C155" s="70"/>
      <c r="D155" s="70"/>
      <c r="E155" s="71"/>
      <c r="F155" s="71"/>
      <c r="G155" s="71"/>
      <c r="H155" s="71"/>
    </row>
    <row r="156" spans="1:8" ht="15.6">
      <c r="A156" s="69"/>
      <c r="B156" s="70"/>
      <c r="C156" s="70"/>
      <c r="D156" s="70"/>
      <c r="E156" s="498" t="s">
        <v>138</v>
      </c>
      <c r="F156" s="498"/>
      <c r="G156" s="490" t="s">
        <v>139</v>
      </c>
      <c r="H156" s="490"/>
    </row>
    <row r="157" spans="1:8" ht="15.6">
      <c r="A157" s="69"/>
      <c r="B157" s="499" t="s">
        <v>140</v>
      </c>
      <c r="C157" s="500"/>
      <c r="D157" s="70"/>
      <c r="E157" s="490"/>
      <c r="F157" s="490"/>
      <c r="G157" s="490"/>
      <c r="H157" s="490"/>
    </row>
    <row r="158" spans="1:8" ht="15.6">
      <c r="A158" s="69"/>
      <c r="B158" s="501"/>
      <c r="C158" s="502"/>
      <c r="D158" s="70"/>
      <c r="E158" s="490"/>
      <c r="F158" s="490"/>
      <c r="G158" s="490"/>
      <c r="H158" s="490"/>
    </row>
    <row r="159" spans="1:8" ht="15.6">
      <c r="A159" s="69"/>
      <c r="B159" s="70"/>
      <c r="C159" s="70"/>
      <c r="D159" s="70"/>
      <c r="E159" s="490"/>
      <c r="F159" s="490"/>
      <c r="G159" s="490"/>
      <c r="H159" s="490"/>
    </row>
    <row r="160" spans="1:8" ht="7.95" customHeight="1">
      <c r="A160" s="69"/>
      <c r="B160" s="70"/>
      <c r="C160" s="70"/>
      <c r="D160" s="70"/>
      <c r="E160" s="93"/>
      <c r="F160" s="93"/>
      <c r="G160" s="93"/>
      <c r="H160" s="93"/>
    </row>
    <row r="161" spans="1:8" ht="20.399999999999999">
      <c r="A161" s="491" t="str">
        <f>'Read Me First'!A1:F1</f>
        <v>Wessex Young Athletes Track and Field League 2026</v>
      </c>
      <c r="B161" s="492"/>
      <c r="C161" s="492"/>
      <c r="D161" s="492"/>
      <c r="E161" s="492"/>
      <c r="F161" s="492"/>
      <c r="G161" s="492"/>
      <c r="H161" s="493"/>
    </row>
    <row r="162" spans="1:8" ht="17.399999999999999">
      <c r="A162" s="60" t="s">
        <v>13</v>
      </c>
      <c r="B162" s="61">
        <f>'Read Me First'!$C$10</f>
        <v>46201</v>
      </c>
      <c r="C162" s="92">
        <v>0.66666666666666663</v>
      </c>
      <c r="D162" s="60" t="s">
        <v>70</v>
      </c>
      <c r="E162" s="494" t="str">
        <f>$E$2</f>
        <v>Camberley &amp; District AC @ Woking</v>
      </c>
      <c r="F162" s="495"/>
      <c r="G162" s="495"/>
      <c r="H162" s="496"/>
    </row>
    <row r="163" spans="1:8" ht="17.399999999999999">
      <c r="A163" s="497" t="s">
        <v>144</v>
      </c>
      <c r="B163" s="497"/>
      <c r="C163" s="497"/>
      <c r="D163" s="497"/>
      <c r="E163" s="59">
        <v>1</v>
      </c>
      <c r="F163" s="59">
        <v>2</v>
      </c>
      <c r="G163" s="59">
        <v>3</v>
      </c>
      <c r="H163" s="59" t="s">
        <v>136</v>
      </c>
    </row>
    <row r="164" spans="1:8" ht="17.399999999999999">
      <c r="A164" s="65"/>
      <c r="B164" s="65"/>
      <c r="C164" s="65"/>
      <c r="D164" s="65"/>
      <c r="E164" s="66"/>
      <c r="F164" s="66"/>
      <c r="G164" s="66"/>
      <c r="H164" s="66"/>
    </row>
    <row r="165" spans="1:8" ht="19.95" customHeight="1">
      <c r="A165" s="67" cm="1">
        <f t="array" ref="A165:A186">IFERROR(_xlfn.TEXTSPLIT(IFERROR(_xlfn.TEXTJOIN(",",TRUE,_xlfn._xlws.FILTER(BlockAllocations!$F$3:$F$20,BlockAllocations!$E$3:$E$20=BlockAllocations!$G$11)),""),,",")+0,"!")</f>
        <v>61</v>
      </c>
      <c r="B165" s="68" t="str">
        <f>IF(ISNA(VLOOKUP(A165,Declarations!B$6:C$185,2,FALSE)),"",IF(VLOOKUP(A165,Declarations!B$6:C$185,2,FALSE)="","---",VLOOKUP(A165,Declarations!B$6:C$185,2,FALSE)))</f>
        <v>MARCY POWER</v>
      </c>
      <c r="C165" s="68" t="str">
        <f>IF(ISNA(VLOOKUP(A165,Declarations!B$6:F$185,5,FALSE)),"",IF(VLOOKUP(A165,Declarations!B$6:F$185,5,FALSE)="","---",VLOOKUP(A165,Declarations!B$6:F$185,5,FALSE)))</f>
        <v>Fleet &amp; Crookham AC</v>
      </c>
      <c r="D165" s="319" t="str">
        <f>IF(ISNA(VLOOKUP(A165,Declarations!B$6:F$185,4,FALSE)),"",IF(VLOOKUP(A165,Declarations!B$6:F$185,4,FALSE)="","---",VLOOKUP(A165,Declarations!B$6:F$185,4,FALSE)))</f>
        <v>GIRLS</v>
      </c>
      <c r="E165" s="245" t="s">
        <v>137</v>
      </c>
      <c r="F165" s="245" t="s">
        <v>137</v>
      </c>
      <c r="G165" s="245" t="s">
        <v>137</v>
      </c>
      <c r="H165" s="320"/>
    </row>
    <row r="166" spans="1:8" ht="19.95" customHeight="1">
      <c r="A166" s="67">
        <v>62</v>
      </c>
      <c r="B166" s="68" t="str">
        <f>IF(ISNA(VLOOKUP(A166,Declarations!B$6:C$185,2,FALSE)),"",IF(VLOOKUP(A166,Declarations!B$6:C$185,2,FALSE)="","---",VLOOKUP(A166,Declarations!B$6:C$185,2,FALSE)))</f>
        <v>OTTILE WHITE</v>
      </c>
      <c r="C166" s="68" t="str">
        <f>IF(ISNA(VLOOKUP(A166,Declarations!B$6:F$185,5,FALSE)),"",IF(VLOOKUP(A166,Declarations!B$6:F$185,5,FALSE)="","---",VLOOKUP(A166,Declarations!B$6:F$185,5,FALSE)))</f>
        <v>Fleet &amp; Crookham AC</v>
      </c>
      <c r="D166" s="319" t="str">
        <f>IF(ISNA(VLOOKUP(A166,Declarations!B$6:F$185,4,FALSE)),"",IF(VLOOKUP(A166,Declarations!B$6:F$185,4,FALSE)="","---",VLOOKUP(A166,Declarations!B$6:F$185,4,FALSE)))</f>
        <v>GIRLS</v>
      </c>
      <c r="E166" s="245" t="s">
        <v>137</v>
      </c>
      <c r="F166" s="245" t="s">
        <v>137</v>
      </c>
      <c r="G166" s="245" t="s">
        <v>137</v>
      </c>
      <c r="H166" s="320"/>
    </row>
    <row r="167" spans="1:8" ht="19.95" customHeight="1">
      <c r="A167" s="67">
        <v>63</v>
      </c>
      <c r="B167" s="68" t="str">
        <f>IF(ISNA(VLOOKUP(A167,Declarations!B$6:C$185,2,FALSE)),"",IF(VLOOKUP(A167,Declarations!B$6:C$185,2,FALSE)="","---",VLOOKUP(A167,Declarations!B$6:C$185,2,FALSE)))</f>
        <v>BETH JOHNSTON</v>
      </c>
      <c r="C167" s="68" t="str">
        <f>IF(ISNA(VLOOKUP(A167,Declarations!B$6:F$185,5,FALSE)),"",IF(VLOOKUP(A167,Declarations!B$6:F$185,5,FALSE)="","---",VLOOKUP(A167,Declarations!B$6:F$185,5,FALSE)))</f>
        <v>Fleet &amp; Crookham AC</v>
      </c>
      <c r="D167" s="319" t="str">
        <f>IF(ISNA(VLOOKUP(A167,Declarations!B$6:F$185,4,FALSE)),"",IF(VLOOKUP(A167,Declarations!B$6:F$185,4,FALSE)="","---",VLOOKUP(A167,Declarations!B$6:F$185,4,FALSE)))</f>
        <v>GIRLS</v>
      </c>
      <c r="E167" s="245" t="s">
        <v>137</v>
      </c>
      <c r="F167" s="245" t="s">
        <v>137</v>
      </c>
      <c r="G167" s="245" t="s">
        <v>137</v>
      </c>
      <c r="H167" s="320"/>
    </row>
    <row r="168" spans="1:8" ht="19.95" customHeight="1">
      <c r="A168" s="67">
        <v>64</v>
      </c>
      <c r="B168" s="68" t="str">
        <f>IF(ISNA(VLOOKUP(A168,Declarations!B$6:C$185,2,FALSE)),"",IF(VLOOKUP(A168,Declarations!B$6:C$185,2,FALSE)="","---",VLOOKUP(A168,Declarations!B$6:C$185,2,FALSE)))</f>
        <v>MATILDA FLINT</v>
      </c>
      <c r="C168" s="68" t="str">
        <f>IF(ISNA(VLOOKUP(A168,Declarations!B$6:F$185,5,FALSE)),"",IF(VLOOKUP(A168,Declarations!B$6:F$185,5,FALSE)="","---",VLOOKUP(A168,Declarations!B$6:F$185,5,FALSE)))</f>
        <v>Fleet &amp; Crookham AC</v>
      </c>
      <c r="D168" s="319" t="str">
        <f>IF(ISNA(VLOOKUP(A168,Declarations!B$6:F$185,4,FALSE)),"",IF(VLOOKUP(A168,Declarations!B$6:F$185,4,FALSE)="","---",VLOOKUP(A168,Declarations!B$6:F$185,4,FALSE)))</f>
        <v>GIRLS</v>
      </c>
      <c r="E168" s="245" t="s">
        <v>137</v>
      </c>
      <c r="F168" s="245" t="s">
        <v>137</v>
      </c>
      <c r="G168" s="245" t="s">
        <v>137</v>
      </c>
      <c r="H168" s="320"/>
    </row>
    <row r="169" spans="1:8" ht="19.95" customHeight="1">
      <c r="A169" s="67">
        <v>65</v>
      </c>
      <c r="B169" s="68" t="str">
        <f>IF(ISNA(VLOOKUP(A169,Declarations!B$6:C$185,2,FALSE)),"",IF(VLOOKUP(A169,Declarations!B$6:C$185,2,FALSE)="","---",VLOOKUP(A169,Declarations!B$6:C$185,2,FALSE)))</f>
        <v>HONEY FLINT</v>
      </c>
      <c r="C169" s="68" t="str">
        <f>IF(ISNA(VLOOKUP(A169,Declarations!B$6:F$185,5,FALSE)),"",IF(VLOOKUP(A169,Declarations!B$6:F$185,5,FALSE)="","---",VLOOKUP(A169,Declarations!B$6:F$185,5,FALSE)))</f>
        <v>Fleet &amp; Crookham AC</v>
      </c>
      <c r="D169" s="319" t="str">
        <f>IF(ISNA(VLOOKUP(A169,Declarations!B$6:F$185,4,FALSE)),"",IF(VLOOKUP(A169,Declarations!B$6:F$185,4,FALSE)="","---",VLOOKUP(A169,Declarations!B$6:F$185,4,FALSE)))</f>
        <v>GIRLS</v>
      </c>
      <c r="E169" s="245" t="s">
        <v>137</v>
      </c>
      <c r="F169" s="245" t="s">
        <v>137</v>
      </c>
      <c r="G169" s="245" t="s">
        <v>137</v>
      </c>
      <c r="H169" s="320"/>
    </row>
    <row r="170" spans="1:8" ht="19.95" customHeight="1">
      <c r="A170" s="67">
        <v>66</v>
      </c>
      <c r="B170" s="68" t="str">
        <f>IF(ISNA(VLOOKUP(A170,Declarations!B$6:C$185,2,FALSE)),"",IF(VLOOKUP(A170,Declarations!B$6:C$185,2,FALSE)="","---",VLOOKUP(A170,Declarations!B$6:C$185,2,FALSE)))</f>
        <v>DAISY STEWART</v>
      </c>
      <c r="C170" s="68" t="str">
        <f>IF(ISNA(VLOOKUP(A170,Declarations!B$6:F$185,5,FALSE)),"",IF(VLOOKUP(A170,Declarations!B$6:F$185,5,FALSE)="","---",VLOOKUP(A170,Declarations!B$6:F$185,5,FALSE)))</f>
        <v>Fleet &amp; Crookham AC</v>
      </c>
      <c r="D170" s="319" t="str">
        <f>IF(ISNA(VLOOKUP(A170,Declarations!B$6:F$185,4,FALSE)),"",IF(VLOOKUP(A170,Declarations!B$6:F$185,4,FALSE)="","---",VLOOKUP(A170,Declarations!B$6:F$185,4,FALSE)))</f>
        <v>GIRLS</v>
      </c>
      <c r="E170" s="245" t="s">
        <v>137</v>
      </c>
      <c r="F170" s="245" t="s">
        <v>137</v>
      </c>
      <c r="G170" s="245" t="s">
        <v>137</v>
      </c>
      <c r="H170" s="320"/>
    </row>
    <row r="171" spans="1:8" ht="19.95" customHeight="1">
      <c r="A171" s="67">
        <v>67</v>
      </c>
      <c r="B171" s="68" t="str">
        <f>IF(ISNA(VLOOKUP(A171,Declarations!B$6:C$185,2,FALSE)),"",IF(VLOOKUP(A171,Declarations!B$6:C$185,2,FALSE)="","---",VLOOKUP(A171,Declarations!B$6:C$185,2,FALSE)))</f>
        <v>BONNIE MOORE</v>
      </c>
      <c r="C171" s="68" t="str">
        <f>IF(ISNA(VLOOKUP(A171,Declarations!B$6:F$185,5,FALSE)),"",IF(VLOOKUP(A171,Declarations!B$6:F$185,5,FALSE)="","---",VLOOKUP(A171,Declarations!B$6:F$185,5,FALSE)))</f>
        <v>Fleet &amp; Crookham AC</v>
      </c>
      <c r="D171" s="319" t="str">
        <f>IF(ISNA(VLOOKUP(A171,Declarations!B$6:F$185,4,FALSE)),"",IF(VLOOKUP(A171,Declarations!B$6:F$185,4,FALSE)="","---",VLOOKUP(A171,Declarations!B$6:F$185,4,FALSE)))</f>
        <v>GIRLS</v>
      </c>
      <c r="E171" s="245" t="s">
        <v>137</v>
      </c>
      <c r="F171" s="245" t="s">
        <v>137</v>
      </c>
      <c r="G171" s="245" t="s">
        <v>137</v>
      </c>
      <c r="H171" s="320"/>
    </row>
    <row r="172" spans="1:8" ht="19.95" customHeight="1">
      <c r="A172" s="67">
        <v>68</v>
      </c>
      <c r="B172" s="68" t="str">
        <f>IF(ISNA(VLOOKUP(A172,Declarations!B$6:C$185,2,FALSE)),"",IF(VLOOKUP(A172,Declarations!B$6:C$185,2,FALSE)="","---",VLOOKUP(A172,Declarations!B$6:C$185,2,FALSE)))</f>
        <v>FEARNE STRONG</v>
      </c>
      <c r="C172" s="68" t="str">
        <f>IF(ISNA(VLOOKUP(A172,Declarations!B$6:F$185,5,FALSE)),"",IF(VLOOKUP(A172,Declarations!B$6:F$185,5,FALSE)="","---",VLOOKUP(A172,Declarations!B$6:F$185,5,FALSE)))</f>
        <v>Fleet &amp; Crookham AC</v>
      </c>
      <c r="D172" s="319" t="str">
        <f>IF(ISNA(VLOOKUP(A172,Declarations!B$6:F$185,4,FALSE)),"",IF(VLOOKUP(A172,Declarations!B$6:F$185,4,FALSE)="","---",VLOOKUP(A172,Declarations!B$6:F$185,4,FALSE)))</f>
        <v>GIRLS</v>
      </c>
      <c r="E172" s="245" t="s">
        <v>137</v>
      </c>
      <c r="F172" s="245" t="s">
        <v>137</v>
      </c>
      <c r="G172" s="245" t="s">
        <v>137</v>
      </c>
      <c r="H172" s="320"/>
    </row>
    <row r="173" spans="1:8" ht="19.95" customHeight="1">
      <c r="A173" s="67">
        <v>69</v>
      </c>
      <c r="B173" s="68" t="str">
        <f>IF(ISNA(VLOOKUP(A173,Declarations!B$6:C$185,2,FALSE)),"",IF(VLOOKUP(A173,Declarations!B$6:C$185,2,FALSE)="","---",VLOOKUP(A173,Declarations!B$6:C$185,2,FALSE)))</f>
        <v>NORA BRADFORD</v>
      </c>
      <c r="C173" s="68" t="str">
        <f>IF(ISNA(VLOOKUP(A173,Declarations!B$6:F$185,5,FALSE)),"",IF(VLOOKUP(A173,Declarations!B$6:F$185,5,FALSE)="","---",VLOOKUP(A173,Declarations!B$6:F$185,5,FALSE)))</f>
        <v>Fleet &amp; Crookham AC</v>
      </c>
      <c r="D173" s="319" t="str">
        <f>IF(ISNA(VLOOKUP(A173,Declarations!B$6:F$185,4,FALSE)),"",IF(VLOOKUP(A173,Declarations!B$6:F$185,4,FALSE)="","---",VLOOKUP(A173,Declarations!B$6:F$185,4,FALSE)))</f>
        <v>GIRLS</v>
      </c>
      <c r="E173" s="245" t="s">
        <v>137</v>
      </c>
      <c r="F173" s="245" t="s">
        <v>137</v>
      </c>
      <c r="G173" s="245" t="s">
        <v>137</v>
      </c>
      <c r="H173" s="320"/>
    </row>
    <row r="174" spans="1:8" ht="19.95" customHeight="1">
      <c r="A174" s="67">
        <v>70</v>
      </c>
      <c r="B174" s="68" t="str">
        <f>IF(ISNA(VLOOKUP(A174,Declarations!B$6:C$185,2,FALSE)),"",IF(VLOOKUP(A174,Declarations!B$6:C$185,2,FALSE)="","---",VLOOKUP(A174,Declarations!B$6:C$185,2,FALSE)))</f>
        <v>JOSEPHINE HARPER</v>
      </c>
      <c r="C174" s="68" t="str">
        <f>IF(ISNA(VLOOKUP(A174,Declarations!B$6:F$185,5,FALSE)),"",IF(VLOOKUP(A174,Declarations!B$6:F$185,5,FALSE)="","---",VLOOKUP(A174,Declarations!B$6:F$185,5,FALSE)))</f>
        <v>Fleet &amp; Crookham AC</v>
      </c>
      <c r="D174" s="319" t="str">
        <f>IF(ISNA(VLOOKUP(A174,Declarations!B$6:F$185,4,FALSE)),"",IF(VLOOKUP(A174,Declarations!B$6:F$185,4,FALSE)="","---",VLOOKUP(A174,Declarations!B$6:F$185,4,FALSE)))</f>
        <v>GIRLS</v>
      </c>
      <c r="E174" s="245" t="s">
        <v>137</v>
      </c>
      <c r="F174" s="245" t="s">
        <v>137</v>
      </c>
      <c r="G174" s="245" t="s">
        <v>137</v>
      </c>
      <c r="H174" s="320"/>
    </row>
    <row r="175" spans="1:8" ht="19.95" customHeight="1">
      <c r="A175" s="67">
        <v>81</v>
      </c>
      <c r="B175" s="68" t="str">
        <f>IF(ISNA(VLOOKUP(A175,Declarations!B$6:C$185,2,FALSE)),"",IF(VLOOKUP(A175,Declarations!B$6:C$185,2,FALSE)="","---",VLOOKUP(A175,Declarations!B$6:C$185,2,FALSE)))</f>
        <v>FREYA BURGE</v>
      </c>
      <c r="C175" s="68" t="str">
        <f>IF(ISNA(VLOOKUP(A175,Declarations!B$6:F$185,5,FALSE)),"",IF(VLOOKUP(A175,Declarations!B$6:F$185,5,FALSE)="","---",VLOOKUP(A175,Declarations!B$6:F$185,5,FALSE)))</f>
        <v>Waverley Athletics Club</v>
      </c>
      <c r="D175" s="319" t="str">
        <f>IF(ISNA(VLOOKUP(A175,Declarations!B$6:F$185,4,FALSE)),"",IF(VLOOKUP(A175,Declarations!B$6:F$185,4,FALSE)="","---",VLOOKUP(A175,Declarations!B$6:F$185,4,FALSE)))</f>
        <v>GIRLS</v>
      </c>
      <c r="E175" s="245" t="s">
        <v>137</v>
      </c>
      <c r="F175" s="245" t="s">
        <v>137</v>
      </c>
      <c r="G175" s="245" t="s">
        <v>137</v>
      </c>
      <c r="H175" s="320"/>
    </row>
    <row r="176" spans="1:8" ht="19.95" customHeight="1">
      <c r="A176" s="67">
        <v>82</v>
      </c>
      <c r="B176" s="68" t="str">
        <f>IF(ISNA(VLOOKUP(A176,Declarations!B$6:C$185,2,FALSE)),"",IF(VLOOKUP(A176,Declarations!B$6:C$185,2,FALSE)="","---",VLOOKUP(A176,Declarations!B$6:C$185,2,FALSE)))</f>
        <v>MATILDA KEER</v>
      </c>
      <c r="C176" s="68" t="str">
        <f>IF(ISNA(VLOOKUP(A176,Declarations!B$6:F$185,5,FALSE)),"",IF(VLOOKUP(A176,Declarations!B$6:F$185,5,FALSE)="","---",VLOOKUP(A176,Declarations!B$6:F$185,5,FALSE)))</f>
        <v>Waverley Athletics Club</v>
      </c>
      <c r="D176" s="319" t="str">
        <f>IF(ISNA(VLOOKUP(A176,Declarations!B$6:F$185,4,FALSE)),"",IF(VLOOKUP(A176,Declarations!B$6:F$185,4,FALSE)="","---",VLOOKUP(A176,Declarations!B$6:F$185,4,FALSE)))</f>
        <v>GIRLS</v>
      </c>
      <c r="E176" s="245" t="s">
        <v>137</v>
      </c>
      <c r="F176" s="245" t="s">
        <v>137</v>
      </c>
      <c r="G176" s="245" t="s">
        <v>137</v>
      </c>
      <c r="H176" s="320"/>
    </row>
    <row r="177" spans="1:8" ht="19.95" customHeight="1">
      <c r="A177" s="67">
        <v>83</v>
      </c>
      <c r="B177" s="68" t="str">
        <f>IF(ISNA(VLOOKUP(A177,Declarations!B$6:C$185,2,FALSE)),"",IF(VLOOKUP(A177,Declarations!B$6:C$185,2,FALSE)="","---",VLOOKUP(A177,Declarations!B$6:C$185,2,FALSE)))</f>
        <v>ELEANOR OLALEMI</v>
      </c>
      <c r="C177" s="68" t="str">
        <f>IF(ISNA(VLOOKUP(A177,Declarations!B$6:F$185,5,FALSE)),"",IF(VLOOKUP(A177,Declarations!B$6:F$185,5,FALSE)="","---",VLOOKUP(A177,Declarations!B$6:F$185,5,FALSE)))</f>
        <v>Waverley Athletics Club</v>
      </c>
      <c r="D177" s="319" t="str">
        <f>IF(ISNA(VLOOKUP(A177,Declarations!B$6:F$185,4,FALSE)),"",IF(VLOOKUP(A177,Declarations!B$6:F$185,4,FALSE)="","---",VLOOKUP(A177,Declarations!B$6:F$185,4,FALSE)))</f>
        <v>GIRLS</v>
      </c>
      <c r="E177" s="245" t="s">
        <v>137</v>
      </c>
      <c r="F177" s="245" t="s">
        <v>137</v>
      </c>
      <c r="G177" s="245" t="s">
        <v>137</v>
      </c>
      <c r="H177" s="320"/>
    </row>
    <row r="178" spans="1:8" ht="19.95" customHeight="1">
      <c r="A178" s="67">
        <v>84</v>
      </c>
      <c r="B178" s="68" t="str">
        <f>IF(ISNA(VLOOKUP(A178,Declarations!B$6:C$185,2,FALSE)),"",IF(VLOOKUP(A178,Declarations!B$6:C$185,2,FALSE)="","---",VLOOKUP(A178,Declarations!B$6:C$185,2,FALSE)))</f>
        <v>FREYA MCKENZIE</v>
      </c>
      <c r="C178" s="68" t="str">
        <f>IF(ISNA(VLOOKUP(A178,Declarations!B$6:F$185,5,FALSE)),"",IF(VLOOKUP(A178,Declarations!B$6:F$185,5,FALSE)="","---",VLOOKUP(A178,Declarations!B$6:F$185,5,FALSE)))</f>
        <v>Waverley Athletics Club</v>
      </c>
      <c r="D178" s="319" t="str">
        <f>IF(ISNA(VLOOKUP(A178,Declarations!B$6:F$185,4,FALSE)),"",IF(VLOOKUP(A178,Declarations!B$6:F$185,4,FALSE)="","---",VLOOKUP(A178,Declarations!B$6:F$185,4,FALSE)))</f>
        <v>GIRLS</v>
      </c>
      <c r="E178" s="245" t="s">
        <v>137</v>
      </c>
      <c r="F178" s="245" t="s">
        <v>137</v>
      </c>
      <c r="G178" s="245" t="s">
        <v>137</v>
      </c>
      <c r="H178" s="320"/>
    </row>
    <row r="179" spans="1:8" ht="19.95" customHeight="1">
      <c r="A179" s="67">
        <v>85</v>
      </c>
      <c r="B179" s="68" t="str">
        <f>IF(ISNA(VLOOKUP(A179,Declarations!B$6:C$185,2,FALSE)),"",IF(VLOOKUP(A179,Declarations!B$6:C$185,2,FALSE)="","---",VLOOKUP(A179,Declarations!B$6:C$185,2,FALSE)))</f>
        <v>SOPHIE HALL</v>
      </c>
      <c r="C179" s="68" t="str">
        <f>IF(ISNA(VLOOKUP(A179,Declarations!B$6:F$185,5,FALSE)),"",IF(VLOOKUP(A179,Declarations!B$6:F$185,5,FALSE)="","---",VLOOKUP(A179,Declarations!B$6:F$185,5,FALSE)))</f>
        <v>Waverley Athletics Club</v>
      </c>
      <c r="D179" s="319" t="str">
        <f>IF(ISNA(VLOOKUP(A179,Declarations!B$6:F$185,4,FALSE)),"",IF(VLOOKUP(A179,Declarations!B$6:F$185,4,FALSE)="","---",VLOOKUP(A179,Declarations!B$6:F$185,4,FALSE)))</f>
        <v>GIRLS</v>
      </c>
      <c r="E179" s="245" t="s">
        <v>137</v>
      </c>
      <c r="F179" s="245" t="s">
        <v>137</v>
      </c>
      <c r="G179" s="245" t="s">
        <v>137</v>
      </c>
      <c r="H179" s="320"/>
    </row>
    <row r="180" spans="1:8" ht="19.95" customHeight="1">
      <c r="A180" s="67">
        <v>86</v>
      </c>
      <c r="B180" s="68" t="str">
        <f>IF(ISNA(VLOOKUP(A180,Declarations!B$6:C$185,2,FALSE)),"",IF(VLOOKUP(A180,Declarations!B$6:C$185,2,FALSE)="","---",VLOOKUP(A180,Declarations!B$6:C$185,2,FALSE)))</f>
        <v>EMILY HANAK</v>
      </c>
      <c r="C180" s="68" t="str">
        <f>IF(ISNA(VLOOKUP(A180,Declarations!B$6:F$185,5,FALSE)),"",IF(VLOOKUP(A180,Declarations!B$6:F$185,5,FALSE)="","---",VLOOKUP(A180,Declarations!B$6:F$185,5,FALSE)))</f>
        <v>Waverley Athletics Club</v>
      </c>
      <c r="D180" s="319" t="str">
        <f>IF(ISNA(VLOOKUP(A180,Declarations!B$6:F$185,4,FALSE)),"",IF(VLOOKUP(A180,Declarations!B$6:F$185,4,FALSE)="","---",VLOOKUP(A180,Declarations!B$6:F$185,4,FALSE)))</f>
        <v>GIRLS</v>
      </c>
      <c r="E180" s="245" t="s">
        <v>137</v>
      </c>
      <c r="F180" s="245" t="s">
        <v>137</v>
      </c>
      <c r="G180" s="245" t="s">
        <v>137</v>
      </c>
      <c r="H180" s="320"/>
    </row>
    <row r="181" spans="1:8" ht="19.95" customHeight="1">
      <c r="A181" s="67">
        <v>101</v>
      </c>
      <c r="B181" s="68" t="str">
        <f>IF(ISNA(VLOOKUP(A181,Declarations!B$6:C$185,2,FALSE)),"",IF(VLOOKUP(A181,Declarations!B$6:C$185,2,FALSE)="","---",VLOOKUP(A181,Declarations!B$6:C$185,2,FALSE)))</f>
        <v>LYRA JINKS</v>
      </c>
      <c r="C181" s="68" t="str">
        <f>IF(ISNA(VLOOKUP(A181,Declarations!B$6:F$185,5,FALSE)),"",IF(VLOOKUP(A181,Declarations!B$6:F$185,5,FALSE)="","---",VLOOKUP(A181,Declarations!B$6:F$185,5,FALSE)))</f>
        <v>Basingstoke &amp; Mid Hants AC</v>
      </c>
      <c r="D181" s="319" t="str">
        <f>IF(ISNA(VLOOKUP(A181,Declarations!B$6:F$185,4,FALSE)),"",IF(VLOOKUP(A181,Declarations!B$6:F$185,4,FALSE)="","---",VLOOKUP(A181,Declarations!B$6:F$185,4,FALSE)))</f>
        <v>GIRLS</v>
      </c>
      <c r="E181" s="245" t="s">
        <v>137</v>
      </c>
      <c r="F181" s="245" t="s">
        <v>137</v>
      </c>
      <c r="G181" s="245" t="s">
        <v>137</v>
      </c>
      <c r="H181" s="320"/>
    </row>
    <row r="182" spans="1:8" ht="19.95" customHeight="1">
      <c r="A182" s="67">
        <v>102</v>
      </c>
      <c r="B182" s="68" t="str">
        <f>IF(ISNA(VLOOKUP(A182,Declarations!B$6:C$185,2,FALSE)),"",IF(VLOOKUP(A182,Declarations!B$6:C$185,2,FALSE)="","---",VLOOKUP(A182,Declarations!B$6:C$185,2,FALSE)))</f>
        <v>NORA POFF</v>
      </c>
      <c r="C182" s="68" t="str">
        <f>IF(ISNA(VLOOKUP(A182,Declarations!B$6:F$185,5,FALSE)),"",IF(VLOOKUP(A182,Declarations!B$6:F$185,5,FALSE)="","---",VLOOKUP(A182,Declarations!B$6:F$185,5,FALSE)))</f>
        <v>Basingstoke &amp; Mid Hants AC</v>
      </c>
      <c r="D182" s="319" t="str">
        <f>IF(ISNA(VLOOKUP(A182,Declarations!B$6:F$185,4,FALSE)),"",IF(VLOOKUP(A182,Declarations!B$6:F$185,4,FALSE)="","---",VLOOKUP(A182,Declarations!B$6:F$185,4,FALSE)))</f>
        <v>GIRLS</v>
      </c>
      <c r="E182" s="245" t="s">
        <v>137</v>
      </c>
      <c r="F182" s="245" t="s">
        <v>137</v>
      </c>
      <c r="G182" s="245" t="s">
        <v>137</v>
      </c>
      <c r="H182" s="320"/>
    </row>
    <row r="183" spans="1:8" ht="19.95" customHeight="1">
      <c r="A183" s="67">
        <v>103</v>
      </c>
      <c r="B183" s="68" t="str">
        <f>IF(ISNA(VLOOKUP(A183,Declarations!B$6:C$185,2,FALSE)),"",IF(VLOOKUP(A183,Declarations!B$6:C$185,2,FALSE)="","---",VLOOKUP(A183,Declarations!B$6:C$185,2,FALSE)))</f>
        <v>ISLA HOBBINS</v>
      </c>
      <c r="C183" s="68" t="str">
        <f>IF(ISNA(VLOOKUP(A183,Declarations!B$6:F$185,5,FALSE)),"",IF(VLOOKUP(A183,Declarations!B$6:F$185,5,FALSE)="","---",VLOOKUP(A183,Declarations!B$6:F$185,5,FALSE)))</f>
        <v>Basingstoke &amp; Mid Hants AC</v>
      </c>
      <c r="D183" s="319" t="str">
        <f>IF(ISNA(VLOOKUP(A183,Declarations!B$6:F$185,4,FALSE)),"",IF(VLOOKUP(A183,Declarations!B$6:F$185,4,FALSE)="","---",VLOOKUP(A183,Declarations!B$6:F$185,4,FALSE)))</f>
        <v>GIRLS</v>
      </c>
      <c r="E183" s="245" t="s">
        <v>137</v>
      </c>
      <c r="F183" s="245" t="s">
        <v>137</v>
      </c>
      <c r="G183" s="245" t="s">
        <v>137</v>
      </c>
      <c r="H183" s="320"/>
    </row>
    <row r="184" spans="1:8" ht="19.95" customHeight="1">
      <c r="A184" s="67">
        <v>104</v>
      </c>
      <c r="B184" s="68" t="str">
        <f>IF(ISNA(VLOOKUP(A184,Declarations!B$6:C$185,2,FALSE)),"",IF(VLOOKUP(A184,Declarations!B$6:C$185,2,FALSE)="","---",VLOOKUP(A184,Declarations!B$6:C$185,2,FALSE)))</f>
        <v>BEATRICE MONCAD</v>
      </c>
      <c r="C184" s="68" t="str">
        <f>IF(ISNA(VLOOKUP(A184,Declarations!B$6:F$185,5,FALSE)),"",IF(VLOOKUP(A184,Declarations!B$6:F$185,5,FALSE)="","---",VLOOKUP(A184,Declarations!B$6:F$185,5,FALSE)))</f>
        <v>Basingstoke &amp; Mid Hants AC</v>
      </c>
      <c r="D184" s="319" t="str">
        <f>IF(ISNA(VLOOKUP(A184,Declarations!B$6:F$185,4,FALSE)),"",IF(VLOOKUP(A184,Declarations!B$6:F$185,4,FALSE)="","---",VLOOKUP(A184,Declarations!B$6:F$185,4,FALSE)))</f>
        <v>GIRLS</v>
      </c>
      <c r="E184" s="245" t="s">
        <v>137</v>
      </c>
      <c r="F184" s="245" t="s">
        <v>137</v>
      </c>
      <c r="G184" s="245" t="s">
        <v>137</v>
      </c>
      <c r="H184" s="320"/>
    </row>
    <row r="185" spans="1:8" ht="19.95" customHeight="1">
      <c r="A185" s="67">
        <v>105</v>
      </c>
      <c r="B185" s="68" t="str">
        <f>IF(ISNA(VLOOKUP(A185,Declarations!B$6:C$185,2,FALSE)),"",IF(VLOOKUP(A185,Declarations!B$6:C$185,2,FALSE)="","---",VLOOKUP(A185,Declarations!B$6:C$185,2,FALSE)))</f>
        <v>BETH BOLE</v>
      </c>
      <c r="C185" s="68" t="str">
        <f>IF(ISNA(VLOOKUP(A185,Declarations!B$6:F$185,5,FALSE)),"",IF(VLOOKUP(A185,Declarations!B$6:F$185,5,FALSE)="","---",VLOOKUP(A185,Declarations!B$6:F$185,5,FALSE)))</f>
        <v>Basingstoke &amp; Mid Hants AC</v>
      </c>
      <c r="D185" s="319" t="str">
        <f>IF(ISNA(VLOOKUP(A185,Declarations!B$6:F$185,4,FALSE)),"",IF(VLOOKUP(A185,Declarations!B$6:F$185,4,FALSE)="","---",VLOOKUP(A185,Declarations!B$6:F$185,4,FALSE)))</f>
        <v>GIRLS</v>
      </c>
      <c r="E185" s="245" t="s">
        <v>137</v>
      </c>
      <c r="F185" s="245" t="s">
        <v>137</v>
      </c>
      <c r="G185" s="245" t="s">
        <v>137</v>
      </c>
      <c r="H185" s="320"/>
    </row>
    <row r="186" spans="1:8" ht="19.95" customHeight="1">
      <c r="A186" s="67">
        <v>106</v>
      </c>
      <c r="B186" s="68" t="str">
        <f>IF(ISNA(VLOOKUP(A186,Declarations!B$6:C$185,2,FALSE)),"",IF(VLOOKUP(A186,Declarations!B$6:C$185,2,FALSE)="","---",VLOOKUP(A186,Declarations!B$6:C$185,2,FALSE)))</f>
        <v>KLEMANTINE PATA</v>
      </c>
      <c r="C186" s="68" t="str">
        <f>IF(ISNA(VLOOKUP(A186,Declarations!B$6:F$185,5,FALSE)),"",IF(VLOOKUP(A186,Declarations!B$6:F$185,5,FALSE)="","---",VLOOKUP(A186,Declarations!B$6:F$185,5,FALSE)))</f>
        <v>Basingstoke &amp; Mid Hants AC</v>
      </c>
      <c r="D186" s="319" t="str">
        <f>IF(ISNA(VLOOKUP(A186,Declarations!B$6:F$185,4,FALSE)),"",IF(VLOOKUP(A186,Declarations!B$6:F$185,4,FALSE)="","---",VLOOKUP(A186,Declarations!B$6:F$185,4,FALSE)))</f>
        <v>GIRLS</v>
      </c>
      <c r="E186" s="245" t="s">
        <v>137</v>
      </c>
      <c r="F186" s="245" t="s">
        <v>137</v>
      </c>
      <c r="G186" s="245" t="s">
        <v>137</v>
      </c>
      <c r="H186" s="320"/>
    </row>
    <row r="187" spans="1:8" ht="19.95" customHeight="1">
      <c r="A187" s="67"/>
      <c r="B187" s="68" t="str">
        <f>IF(ISNA(VLOOKUP(A187,Declarations!B$6:C$185,2,FALSE)),"",IF(VLOOKUP(A187,Declarations!B$6:C$185,2,FALSE)="","---",VLOOKUP(A187,Declarations!B$6:C$185,2,FALSE)))</f>
        <v/>
      </c>
      <c r="C187" s="68" t="str">
        <f>IF(ISNA(VLOOKUP(A187,Declarations!B$6:F$185,5,FALSE)),"",IF(VLOOKUP(A187,Declarations!B$6:F$185,5,FALSE)="","---",VLOOKUP(A187,Declarations!B$6:F$185,5,FALSE)))</f>
        <v/>
      </c>
      <c r="D187" s="319" t="str">
        <f>IF(ISNA(VLOOKUP(A187,Declarations!B$6:F$185,4,FALSE)),"",IF(VLOOKUP(A187,Declarations!B$6:F$185,4,FALSE)="","---",VLOOKUP(A187,Declarations!B$6:F$185,4,FALSE)))</f>
        <v/>
      </c>
      <c r="E187" s="245" t="s">
        <v>137</v>
      </c>
      <c r="F187" s="245" t="s">
        <v>137</v>
      </c>
      <c r="G187" s="245" t="s">
        <v>137</v>
      </c>
      <c r="H187" s="320"/>
    </row>
    <row r="188" spans="1:8" ht="19.95" customHeight="1">
      <c r="A188" s="67"/>
      <c r="B188" s="68" t="str">
        <f>IF(ISNA(VLOOKUP(A188,Declarations!B$6:C$185,2,FALSE)),"",IF(VLOOKUP(A188,Declarations!B$6:C$185,2,FALSE)="","---",VLOOKUP(A188,Declarations!B$6:C$185,2,FALSE)))</f>
        <v/>
      </c>
      <c r="C188" s="68" t="str">
        <f>IF(ISNA(VLOOKUP(A188,Declarations!B$6:F$185,5,FALSE)),"",IF(VLOOKUP(A188,Declarations!B$6:F$185,5,FALSE)="","---",VLOOKUP(A188,Declarations!B$6:F$185,5,FALSE)))</f>
        <v/>
      </c>
      <c r="D188" s="319" t="str">
        <f>IF(ISNA(VLOOKUP(A188,Declarations!B$6:F$185,4,FALSE)),"",IF(VLOOKUP(A188,Declarations!B$6:F$185,4,FALSE)="","---",VLOOKUP(A188,Declarations!B$6:F$185,4,FALSE)))</f>
        <v/>
      </c>
      <c r="E188" s="245" t="s">
        <v>137</v>
      </c>
      <c r="F188" s="245" t="s">
        <v>137</v>
      </c>
      <c r="G188" s="245" t="s">
        <v>137</v>
      </c>
      <c r="H188" s="320"/>
    </row>
    <row r="189" spans="1:8" ht="19.95" customHeight="1">
      <c r="A189" s="67"/>
      <c r="B189" s="68" t="str">
        <f>IF(ISNA(VLOOKUP(A189,Declarations!B$6:C$185,2,FALSE)),"",IF(VLOOKUP(A189,Declarations!B$6:C$185,2,FALSE)="","---",VLOOKUP(A189,Declarations!B$6:C$185,2,FALSE)))</f>
        <v/>
      </c>
      <c r="C189" s="68" t="str">
        <f>IF(ISNA(VLOOKUP(A189,Declarations!B$6:F$185,5,FALSE)),"",IF(VLOOKUP(A189,Declarations!B$6:F$185,5,FALSE)="","---",VLOOKUP(A189,Declarations!B$6:F$185,5,FALSE)))</f>
        <v/>
      </c>
      <c r="D189" s="319" t="str">
        <f>IF(ISNA(VLOOKUP(A189,Declarations!B$6:F$185,4,FALSE)),"",IF(VLOOKUP(A189,Declarations!B$6:F$185,4,FALSE)="","---",VLOOKUP(A189,Declarations!B$6:F$185,4,FALSE)))</f>
        <v/>
      </c>
      <c r="E189" s="245" t="s">
        <v>137</v>
      </c>
      <c r="F189" s="245" t="s">
        <v>137</v>
      </c>
      <c r="G189" s="245" t="s">
        <v>137</v>
      </c>
      <c r="H189" s="320"/>
    </row>
    <row r="190" spans="1:8" ht="19.95" customHeight="1">
      <c r="A190" s="67"/>
      <c r="B190" s="68" t="str">
        <f>IF(ISNA(VLOOKUP(A190,Declarations!B$6:C$185,2,FALSE)),"",IF(VLOOKUP(A190,Declarations!B$6:C$185,2,FALSE)="","---",VLOOKUP(A190,Declarations!B$6:C$185,2,FALSE)))</f>
        <v/>
      </c>
      <c r="C190" s="68" t="str">
        <f>IF(ISNA(VLOOKUP(A190,Declarations!B$6:F$185,5,FALSE)),"",IF(VLOOKUP(A190,Declarations!B$6:F$185,5,FALSE)="","---",VLOOKUP(A190,Declarations!B$6:F$185,5,FALSE)))</f>
        <v/>
      </c>
      <c r="D190" s="319" t="str">
        <f>IF(ISNA(VLOOKUP(A190,Declarations!B$6:F$185,4,FALSE)),"",IF(VLOOKUP(A190,Declarations!B$6:F$185,4,FALSE)="","---",VLOOKUP(A190,Declarations!B$6:F$185,4,FALSE)))</f>
        <v/>
      </c>
      <c r="E190" s="245" t="s">
        <v>137</v>
      </c>
      <c r="F190" s="245" t="s">
        <v>137</v>
      </c>
      <c r="G190" s="245" t="s">
        <v>137</v>
      </c>
      <c r="H190" s="320"/>
    </row>
    <row r="191" spans="1:8" ht="19.95" customHeight="1">
      <c r="A191" s="67"/>
      <c r="B191" s="68" t="str">
        <f>IF(ISNA(VLOOKUP(A191,Declarations!B$6:C$185,2,FALSE)),"",IF(VLOOKUP(A191,Declarations!B$6:C$185,2,FALSE)="","---",VLOOKUP(A191,Declarations!B$6:C$185,2,FALSE)))</f>
        <v/>
      </c>
      <c r="C191" s="68" t="str">
        <f>IF(ISNA(VLOOKUP(A191,Declarations!B$6:F$185,5,FALSE)),"",IF(VLOOKUP(A191,Declarations!B$6:F$185,5,FALSE)="","---",VLOOKUP(A191,Declarations!B$6:F$185,5,FALSE)))</f>
        <v/>
      </c>
      <c r="D191" s="319" t="str">
        <f>IF(ISNA(VLOOKUP(A191,Declarations!B$6:F$185,4,FALSE)),"",IF(VLOOKUP(A191,Declarations!B$6:F$185,4,FALSE)="","---",VLOOKUP(A191,Declarations!B$6:F$185,4,FALSE)))</f>
        <v/>
      </c>
      <c r="E191" s="245" t="s">
        <v>137</v>
      </c>
      <c r="F191" s="245" t="s">
        <v>137</v>
      </c>
      <c r="G191" s="245" t="s">
        <v>137</v>
      </c>
      <c r="H191" s="320"/>
    </row>
    <row r="192" spans="1:8" ht="19.95" customHeight="1">
      <c r="A192" s="67"/>
      <c r="B192" s="68" t="str">
        <f>IF(ISNA(VLOOKUP(A192,Declarations!B$6:C$185,2,FALSE)),"",IF(VLOOKUP(A192,Declarations!B$6:C$185,2,FALSE)="","---",VLOOKUP(A192,Declarations!B$6:C$185,2,FALSE)))</f>
        <v/>
      </c>
      <c r="C192" s="68" t="str">
        <f>IF(ISNA(VLOOKUP(A192,Declarations!B$6:F$185,5,FALSE)),"",IF(VLOOKUP(A192,Declarations!B$6:F$185,5,FALSE)="","---",VLOOKUP(A192,Declarations!B$6:F$185,5,FALSE)))</f>
        <v/>
      </c>
      <c r="D192" s="319" t="str">
        <f>IF(ISNA(VLOOKUP(A192,Declarations!B$6:F$185,4,FALSE)),"",IF(VLOOKUP(A192,Declarations!B$6:F$185,4,FALSE)="","---",VLOOKUP(A192,Declarations!B$6:F$185,4,FALSE)))</f>
        <v/>
      </c>
      <c r="E192" s="245" t="s">
        <v>137</v>
      </c>
      <c r="F192" s="245" t="s">
        <v>137</v>
      </c>
      <c r="G192" s="245" t="s">
        <v>137</v>
      </c>
      <c r="H192" s="320"/>
    </row>
    <row r="193" spans="1:8" ht="19.95" customHeight="1">
      <c r="A193" s="67"/>
      <c r="B193" s="68" t="str">
        <f>IF(ISNA(VLOOKUP(A193,Declarations!B$6:C$185,2,FALSE)),"",IF(VLOOKUP(A193,Declarations!B$6:C$185,2,FALSE)="","---",VLOOKUP(A193,Declarations!B$6:C$185,2,FALSE)))</f>
        <v/>
      </c>
      <c r="C193" s="68" t="str">
        <f>IF(ISNA(VLOOKUP(A193,Declarations!B$6:F$185,5,FALSE)),"",IF(VLOOKUP(A193,Declarations!B$6:F$185,5,FALSE)="","---",VLOOKUP(A193,Declarations!B$6:F$185,5,FALSE)))</f>
        <v/>
      </c>
      <c r="D193" s="319" t="str">
        <f>IF(ISNA(VLOOKUP(A193,Declarations!B$6:F$185,4,FALSE)),"",IF(VLOOKUP(A193,Declarations!B$6:F$185,4,FALSE)="","---",VLOOKUP(A193,Declarations!B$6:F$185,4,FALSE)))</f>
        <v/>
      </c>
      <c r="E193" s="245" t="s">
        <v>137</v>
      </c>
      <c r="F193" s="245" t="s">
        <v>137</v>
      </c>
      <c r="G193" s="245" t="s">
        <v>137</v>
      </c>
      <c r="H193" s="320"/>
    </row>
    <row r="194" spans="1:8" ht="19.95" customHeight="1">
      <c r="A194" s="67"/>
      <c r="B194" s="68" t="str">
        <f>IF(ISNA(VLOOKUP(A194,Declarations!B$6:C$185,2,FALSE)),"",IF(VLOOKUP(A194,Declarations!B$6:C$185,2,FALSE)="","---",VLOOKUP(A194,Declarations!B$6:C$185,2,FALSE)))</f>
        <v/>
      </c>
      <c r="C194" s="68" t="str">
        <f>IF(ISNA(VLOOKUP(A194,Declarations!B$6:F$185,5,FALSE)),"",IF(VLOOKUP(A194,Declarations!B$6:F$185,5,FALSE)="","---",VLOOKUP(A194,Declarations!B$6:F$185,5,FALSE)))</f>
        <v/>
      </c>
      <c r="D194" s="319" t="str">
        <f>IF(ISNA(VLOOKUP(A194,Declarations!B$6:F$185,4,FALSE)),"",IF(VLOOKUP(A194,Declarations!B$6:F$185,4,FALSE)="","---",VLOOKUP(A194,Declarations!B$6:F$185,4,FALSE)))</f>
        <v/>
      </c>
      <c r="E194" s="245" t="s">
        <v>137</v>
      </c>
      <c r="F194" s="245" t="s">
        <v>137</v>
      </c>
      <c r="G194" s="245" t="s">
        <v>137</v>
      </c>
      <c r="H194" s="320"/>
    </row>
    <row r="195" spans="1:8" ht="15.6">
      <c r="A195" s="69"/>
      <c r="B195" s="70"/>
      <c r="C195" s="70"/>
      <c r="D195" s="70"/>
      <c r="E195" s="71"/>
      <c r="F195" s="71"/>
      <c r="G195" s="71"/>
      <c r="H195" s="71"/>
    </row>
    <row r="196" spans="1:8" ht="15.6">
      <c r="A196" s="69"/>
      <c r="B196" s="70"/>
      <c r="C196" s="70"/>
      <c r="D196" s="70"/>
      <c r="E196" s="498" t="s">
        <v>138</v>
      </c>
      <c r="F196" s="498"/>
      <c r="G196" s="490" t="s">
        <v>139</v>
      </c>
      <c r="H196" s="490"/>
    </row>
    <row r="197" spans="1:8" ht="15.6">
      <c r="A197" s="69"/>
      <c r="B197" s="499" t="s">
        <v>140</v>
      </c>
      <c r="C197" s="500"/>
      <c r="D197" s="70"/>
      <c r="E197" s="490"/>
      <c r="F197" s="490"/>
      <c r="G197" s="490"/>
      <c r="H197" s="490"/>
    </row>
    <row r="198" spans="1:8" ht="15.6">
      <c r="A198" s="69"/>
      <c r="B198" s="501"/>
      <c r="C198" s="502"/>
      <c r="D198" s="70"/>
      <c r="E198" s="490"/>
      <c r="F198" s="490"/>
      <c r="G198" s="490"/>
      <c r="H198" s="490"/>
    </row>
    <row r="199" spans="1:8" ht="15.6">
      <c r="A199" s="69"/>
      <c r="B199" s="70"/>
      <c r="C199" s="70"/>
      <c r="D199" s="70"/>
      <c r="E199" s="490"/>
      <c r="F199" s="490"/>
      <c r="G199" s="490"/>
      <c r="H199" s="490"/>
    </row>
    <row r="200" spans="1:8" ht="7.95" customHeight="1">
      <c r="A200" s="69"/>
      <c r="B200" s="70"/>
      <c r="C200" s="70"/>
      <c r="D200" s="70"/>
      <c r="E200" s="93"/>
      <c r="F200" s="93"/>
      <c r="G200" s="93"/>
      <c r="H200" s="93"/>
    </row>
    <row r="201" spans="1:8" ht="20.399999999999999">
      <c r="A201" s="491" t="str">
        <f>'Read Me First'!A1:F1</f>
        <v>Wessex Young Athletes Track and Field League 2026</v>
      </c>
      <c r="B201" s="492"/>
      <c r="C201" s="492"/>
      <c r="D201" s="492"/>
      <c r="E201" s="492"/>
      <c r="F201" s="492"/>
      <c r="G201" s="492"/>
      <c r="H201" s="493"/>
    </row>
    <row r="202" spans="1:8" ht="17.399999999999999">
      <c r="A202" s="60" t="s">
        <v>13</v>
      </c>
      <c r="B202" s="61">
        <f>'Read Me First'!$C$10</f>
        <v>46201</v>
      </c>
      <c r="C202" s="62">
        <v>0.66666666666666663</v>
      </c>
      <c r="D202" s="60" t="s">
        <v>70</v>
      </c>
      <c r="E202" s="494" t="str">
        <f>$E$2</f>
        <v>Camberley &amp; District AC @ Woking</v>
      </c>
      <c r="F202" s="495"/>
      <c r="G202" s="495"/>
      <c r="H202" s="496"/>
    </row>
    <row r="203" spans="1:8" ht="17.399999999999999">
      <c r="A203" s="497" t="s">
        <v>145</v>
      </c>
      <c r="B203" s="497"/>
      <c r="C203" s="497"/>
      <c r="D203" s="497"/>
      <c r="E203" s="59">
        <v>1</v>
      </c>
      <c r="F203" s="59">
        <v>2</v>
      </c>
      <c r="G203" s="59">
        <v>3</v>
      </c>
      <c r="H203" s="59" t="s">
        <v>136</v>
      </c>
    </row>
    <row r="204" spans="1:8" ht="17.399999999999999">
      <c r="A204" s="65"/>
      <c r="B204" s="65"/>
      <c r="C204" s="65"/>
      <c r="D204" s="65"/>
      <c r="E204" s="66"/>
      <c r="F204" s="66"/>
      <c r="G204" s="66"/>
      <c r="H204" s="66"/>
    </row>
    <row r="205" spans="1:8" ht="19.95" customHeight="1">
      <c r="A205" s="67" t="str" cm="1">
        <f t="array" ref="A205">IFERROR(_xlfn.TEXTSPLIT(IFERROR(_xlfn.TEXTJOIN(",",TRUE,_xlfn._xlws.FILTER(BlockAllocations!$F$3:$F$20,BlockAllocations!$E$3:$E$20=BlockAllocations!$G$12)),""),,",")+0,"!")</f>
        <v>!</v>
      </c>
      <c r="B205" s="68" t="str">
        <f>IF(ISNA(VLOOKUP(A205,Declarations!B$6:C$185,2,FALSE)),"",IF(VLOOKUP(A205,Declarations!B$6:C$185,2,FALSE)="","---",VLOOKUP(A205,Declarations!B$6:C$185,2,FALSE)))</f>
        <v/>
      </c>
      <c r="C205" s="68" t="str">
        <f>IF(ISNA(VLOOKUP(A205,Declarations!B$6:F$185,5,FALSE)),"",IF(VLOOKUP(A205,Declarations!B$6:F$185,5,FALSE)="","---",VLOOKUP(A205,Declarations!B$6:F$185,5,FALSE)))</f>
        <v/>
      </c>
      <c r="D205" s="319" t="str">
        <f>IF(ISNA(VLOOKUP(A205,Declarations!B$6:F$185,4,FALSE)),"",IF(VLOOKUP(A205,Declarations!B$6:F$185,4,FALSE)="","---",VLOOKUP(A205,Declarations!B$6:F$185,4,FALSE)))</f>
        <v/>
      </c>
      <c r="E205" s="245" t="s">
        <v>137</v>
      </c>
      <c r="F205" s="245" t="s">
        <v>137</v>
      </c>
      <c r="G205" s="245" t="s">
        <v>137</v>
      </c>
      <c r="H205" s="320"/>
    </row>
    <row r="206" spans="1:8" ht="19.95" customHeight="1">
      <c r="A206" s="67"/>
      <c r="B206" s="68" t="str">
        <f>IF(ISNA(VLOOKUP(A206,Declarations!B$6:C$185,2,FALSE)),"",IF(VLOOKUP(A206,Declarations!B$6:C$185,2,FALSE)="","---",VLOOKUP(A206,Declarations!B$6:C$185,2,FALSE)))</f>
        <v/>
      </c>
      <c r="C206" s="68" t="str">
        <f>IF(ISNA(VLOOKUP(A206,Declarations!B$6:F$185,5,FALSE)),"",IF(VLOOKUP(A206,Declarations!B$6:F$185,5,FALSE)="","---",VLOOKUP(A206,Declarations!B$6:F$185,5,FALSE)))</f>
        <v/>
      </c>
      <c r="D206" s="319" t="str">
        <f>IF(ISNA(VLOOKUP(A206,Declarations!B$6:F$185,4,FALSE)),"",IF(VLOOKUP(A206,Declarations!B$6:F$185,4,FALSE)="","---",VLOOKUP(A206,Declarations!B$6:F$185,4,FALSE)))</f>
        <v/>
      </c>
      <c r="E206" s="245" t="s">
        <v>137</v>
      </c>
      <c r="F206" s="245" t="s">
        <v>137</v>
      </c>
      <c r="G206" s="245" t="s">
        <v>137</v>
      </c>
      <c r="H206" s="320"/>
    </row>
    <row r="207" spans="1:8" ht="19.95" customHeight="1">
      <c r="A207" s="67"/>
      <c r="B207" s="68" t="str">
        <f>IF(ISNA(VLOOKUP(A207,Declarations!B$6:C$185,2,FALSE)),"",IF(VLOOKUP(A207,Declarations!B$6:C$185,2,FALSE)="","---",VLOOKUP(A207,Declarations!B$6:C$185,2,FALSE)))</f>
        <v/>
      </c>
      <c r="C207" s="68" t="str">
        <f>IF(ISNA(VLOOKUP(A207,Declarations!B$6:F$185,5,FALSE)),"",IF(VLOOKUP(A207,Declarations!B$6:F$185,5,FALSE)="","---",VLOOKUP(A207,Declarations!B$6:F$185,5,FALSE)))</f>
        <v/>
      </c>
      <c r="D207" s="319" t="str">
        <f>IF(ISNA(VLOOKUP(A207,Declarations!B$6:F$185,4,FALSE)),"",IF(VLOOKUP(A207,Declarations!B$6:F$185,4,FALSE)="","---",VLOOKUP(A207,Declarations!B$6:F$185,4,FALSE)))</f>
        <v/>
      </c>
      <c r="E207" s="245" t="s">
        <v>137</v>
      </c>
      <c r="F207" s="245" t="s">
        <v>137</v>
      </c>
      <c r="G207" s="245" t="s">
        <v>137</v>
      </c>
      <c r="H207" s="320"/>
    </row>
    <row r="208" spans="1:8" ht="19.95" customHeight="1">
      <c r="A208" s="67"/>
      <c r="B208" s="68" t="str">
        <f>IF(ISNA(VLOOKUP(A208,Declarations!B$6:C$185,2,FALSE)),"",IF(VLOOKUP(A208,Declarations!B$6:C$185,2,FALSE)="","---",VLOOKUP(A208,Declarations!B$6:C$185,2,FALSE)))</f>
        <v/>
      </c>
      <c r="C208" s="68" t="str">
        <f>IF(ISNA(VLOOKUP(A208,Declarations!B$6:F$185,5,FALSE)),"",IF(VLOOKUP(A208,Declarations!B$6:F$185,5,FALSE)="","---",VLOOKUP(A208,Declarations!B$6:F$185,5,FALSE)))</f>
        <v/>
      </c>
      <c r="D208" s="319" t="str">
        <f>IF(ISNA(VLOOKUP(A208,Declarations!B$6:F$185,4,FALSE)),"",IF(VLOOKUP(A208,Declarations!B$6:F$185,4,FALSE)="","---",VLOOKUP(A208,Declarations!B$6:F$185,4,FALSE)))</f>
        <v/>
      </c>
      <c r="E208" s="245" t="s">
        <v>137</v>
      </c>
      <c r="F208" s="245" t="s">
        <v>137</v>
      </c>
      <c r="G208" s="245" t="s">
        <v>137</v>
      </c>
      <c r="H208" s="320"/>
    </row>
    <row r="209" spans="1:8" ht="19.95" customHeight="1">
      <c r="A209" s="67"/>
      <c r="B209" s="68" t="str">
        <f>IF(ISNA(VLOOKUP(A209,Declarations!B$6:C$185,2,FALSE)),"",IF(VLOOKUP(A209,Declarations!B$6:C$185,2,FALSE)="","---",VLOOKUP(A209,Declarations!B$6:C$185,2,FALSE)))</f>
        <v/>
      </c>
      <c r="C209" s="68" t="str">
        <f>IF(ISNA(VLOOKUP(A209,Declarations!B$6:F$185,5,FALSE)),"",IF(VLOOKUP(A209,Declarations!B$6:F$185,5,FALSE)="","---",VLOOKUP(A209,Declarations!B$6:F$185,5,FALSE)))</f>
        <v/>
      </c>
      <c r="D209" s="319" t="str">
        <f>IF(ISNA(VLOOKUP(A209,Declarations!B$6:F$185,4,FALSE)),"",IF(VLOOKUP(A209,Declarations!B$6:F$185,4,FALSE)="","---",VLOOKUP(A209,Declarations!B$6:F$185,4,FALSE)))</f>
        <v/>
      </c>
      <c r="E209" s="245" t="s">
        <v>137</v>
      </c>
      <c r="F209" s="245" t="s">
        <v>137</v>
      </c>
      <c r="G209" s="245" t="s">
        <v>137</v>
      </c>
      <c r="H209" s="320"/>
    </row>
    <row r="210" spans="1:8" ht="19.95" customHeight="1">
      <c r="A210" s="67"/>
      <c r="B210" s="68" t="str">
        <f>IF(ISNA(VLOOKUP(A210,Declarations!B$6:C$185,2,FALSE)),"",IF(VLOOKUP(A210,Declarations!B$6:C$185,2,FALSE)="","---",VLOOKUP(A210,Declarations!B$6:C$185,2,FALSE)))</f>
        <v/>
      </c>
      <c r="C210" s="68" t="str">
        <f>IF(ISNA(VLOOKUP(A210,Declarations!B$6:F$185,5,FALSE)),"",IF(VLOOKUP(A210,Declarations!B$6:F$185,5,FALSE)="","---",VLOOKUP(A210,Declarations!B$6:F$185,5,FALSE)))</f>
        <v/>
      </c>
      <c r="D210" s="319" t="str">
        <f>IF(ISNA(VLOOKUP(A210,Declarations!B$6:F$185,4,FALSE)),"",IF(VLOOKUP(A210,Declarations!B$6:F$185,4,FALSE)="","---",VLOOKUP(A210,Declarations!B$6:F$185,4,FALSE)))</f>
        <v/>
      </c>
      <c r="E210" s="245" t="s">
        <v>137</v>
      </c>
      <c r="F210" s="245" t="s">
        <v>137</v>
      </c>
      <c r="G210" s="245" t="s">
        <v>137</v>
      </c>
      <c r="H210" s="320"/>
    </row>
    <row r="211" spans="1:8" ht="19.95" customHeight="1">
      <c r="A211" s="67"/>
      <c r="B211" s="68" t="str">
        <f>IF(ISNA(VLOOKUP(A211,Declarations!B$6:C$185,2,FALSE)),"",IF(VLOOKUP(A211,Declarations!B$6:C$185,2,FALSE)="","---",VLOOKUP(A211,Declarations!B$6:C$185,2,FALSE)))</f>
        <v/>
      </c>
      <c r="C211" s="68" t="str">
        <f>IF(ISNA(VLOOKUP(A211,Declarations!B$6:F$185,5,FALSE)),"",IF(VLOOKUP(A211,Declarations!B$6:F$185,5,FALSE)="","---",VLOOKUP(A211,Declarations!B$6:F$185,5,FALSE)))</f>
        <v/>
      </c>
      <c r="D211" s="319" t="str">
        <f>IF(ISNA(VLOOKUP(A211,Declarations!B$6:F$185,4,FALSE)),"",IF(VLOOKUP(A211,Declarations!B$6:F$185,4,FALSE)="","---",VLOOKUP(A211,Declarations!B$6:F$185,4,FALSE)))</f>
        <v/>
      </c>
      <c r="E211" s="245" t="s">
        <v>137</v>
      </c>
      <c r="F211" s="245" t="s">
        <v>137</v>
      </c>
      <c r="G211" s="245" t="s">
        <v>137</v>
      </c>
      <c r="H211" s="320"/>
    </row>
    <row r="212" spans="1:8" ht="19.95" customHeight="1">
      <c r="A212" s="67"/>
      <c r="B212" s="68" t="str">
        <f>IF(ISNA(VLOOKUP(A212,Declarations!B$6:C$185,2,FALSE)),"",IF(VLOOKUP(A212,Declarations!B$6:C$185,2,FALSE)="","---",VLOOKUP(A212,Declarations!B$6:C$185,2,FALSE)))</f>
        <v/>
      </c>
      <c r="C212" s="68" t="str">
        <f>IF(ISNA(VLOOKUP(A212,Declarations!B$6:F$185,5,FALSE)),"",IF(VLOOKUP(A212,Declarations!B$6:F$185,5,FALSE)="","---",VLOOKUP(A212,Declarations!B$6:F$185,5,FALSE)))</f>
        <v/>
      </c>
      <c r="D212" s="319" t="str">
        <f>IF(ISNA(VLOOKUP(A212,Declarations!B$6:F$185,4,FALSE)),"",IF(VLOOKUP(A212,Declarations!B$6:F$185,4,FALSE)="","---",VLOOKUP(A212,Declarations!B$6:F$185,4,FALSE)))</f>
        <v/>
      </c>
      <c r="E212" s="245" t="s">
        <v>137</v>
      </c>
      <c r="F212" s="245" t="s">
        <v>137</v>
      </c>
      <c r="G212" s="245" t="s">
        <v>137</v>
      </c>
      <c r="H212" s="320"/>
    </row>
    <row r="213" spans="1:8" ht="19.95" customHeight="1">
      <c r="A213" s="67"/>
      <c r="B213" s="68" t="str">
        <f>IF(ISNA(VLOOKUP(A213,Declarations!B$6:C$185,2,FALSE)),"",IF(VLOOKUP(A213,Declarations!B$6:C$185,2,FALSE)="","---",VLOOKUP(A213,Declarations!B$6:C$185,2,FALSE)))</f>
        <v/>
      </c>
      <c r="C213" s="68" t="str">
        <f>IF(ISNA(VLOOKUP(A213,Declarations!B$6:F$185,5,FALSE)),"",IF(VLOOKUP(A213,Declarations!B$6:F$185,5,FALSE)="","---",VLOOKUP(A213,Declarations!B$6:F$185,5,FALSE)))</f>
        <v/>
      </c>
      <c r="D213" s="319" t="str">
        <f>IF(ISNA(VLOOKUP(A213,Declarations!B$6:F$185,4,FALSE)),"",IF(VLOOKUP(A213,Declarations!B$6:F$185,4,FALSE)="","---",VLOOKUP(A213,Declarations!B$6:F$185,4,FALSE)))</f>
        <v/>
      </c>
      <c r="E213" s="245" t="s">
        <v>137</v>
      </c>
      <c r="F213" s="245" t="s">
        <v>137</v>
      </c>
      <c r="G213" s="245" t="s">
        <v>137</v>
      </c>
      <c r="H213" s="320"/>
    </row>
    <row r="214" spans="1:8" ht="19.95" customHeight="1">
      <c r="A214" s="67"/>
      <c r="B214" s="68" t="str">
        <f>IF(ISNA(VLOOKUP(A214,Declarations!B$6:C$185,2,FALSE)),"",IF(VLOOKUP(A214,Declarations!B$6:C$185,2,FALSE)="","---",VLOOKUP(A214,Declarations!B$6:C$185,2,FALSE)))</f>
        <v/>
      </c>
      <c r="C214" s="68" t="str">
        <f>IF(ISNA(VLOOKUP(A214,Declarations!B$6:F$185,5,FALSE)),"",IF(VLOOKUP(A214,Declarations!B$6:F$185,5,FALSE)="","---",VLOOKUP(A214,Declarations!B$6:F$185,5,FALSE)))</f>
        <v/>
      </c>
      <c r="D214" s="319" t="str">
        <f>IF(ISNA(VLOOKUP(A214,Declarations!B$6:F$185,4,FALSE)),"",IF(VLOOKUP(A214,Declarations!B$6:F$185,4,FALSE)="","---",VLOOKUP(A214,Declarations!B$6:F$185,4,FALSE)))</f>
        <v/>
      </c>
      <c r="E214" s="245" t="s">
        <v>137</v>
      </c>
      <c r="F214" s="245" t="s">
        <v>137</v>
      </c>
      <c r="G214" s="245" t="s">
        <v>137</v>
      </c>
      <c r="H214" s="320"/>
    </row>
    <row r="215" spans="1:8" ht="19.95" customHeight="1">
      <c r="A215" s="67"/>
      <c r="B215" s="68" t="str">
        <f>IF(ISNA(VLOOKUP(A215,Declarations!B$6:C$185,2,FALSE)),"",IF(VLOOKUP(A215,Declarations!B$6:C$185,2,FALSE)="","---",VLOOKUP(A215,Declarations!B$6:C$185,2,FALSE)))</f>
        <v/>
      </c>
      <c r="C215" s="68" t="str">
        <f>IF(ISNA(VLOOKUP(A215,Declarations!B$6:F$185,5,FALSE)),"",IF(VLOOKUP(A215,Declarations!B$6:F$185,5,FALSE)="","---",VLOOKUP(A215,Declarations!B$6:F$185,5,FALSE)))</f>
        <v/>
      </c>
      <c r="D215" s="319" t="str">
        <f>IF(ISNA(VLOOKUP(A215,Declarations!B$6:F$185,4,FALSE)),"",IF(VLOOKUP(A215,Declarations!B$6:F$185,4,FALSE)="","---",VLOOKUP(A215,Declarations!B$6:F$185,4,FALSE)))</f>
        <v/>
      </c>
      <c r="E215" s="245" t="s">
        <v>137</v>
      </c>
      <c r="F215" s="245" t="s">
        <v>137</v>
      </c>
      <c r="G215" s="245" t="s">
        <v>137</v>
      </c>
      <c r="H215" s="320"/>
    </row>
    <row r="216" spans="1:8" ht="19.95" customHeight="1">
      <c r="A216" s="67"/>
      <c r="B216" s="68" t="str">
        <f>IF(ISNA(VLOOKUP(A216,Declarations!B$6:C$185,2,FALSE)),"",IF(VLOOKUP(A216,Declarations!B$6:C$185,2,FALSE)="","---",VLOOKUP(A216,Declarations!B$6:C$185,2,FALSE)))</f>
        <v/>
      </c>
      <c r="C216" s="68" t="str">
        <f>IF(ISNA(VLOOKUP(A216,Declarations!B$6:F$185,5,FALSE)),"",IF(VLOOKUP(A216,Declarations!B$6:F$185,5,FALSE)="","---",VLOOKUP(A216,Declarations!B$6:F$185,5,FALSE)))</f>
        <v/>
      </c>
      <c r="D216" s="319" t="str">
        <f>IF(ISNA(VLOOKUP(A216,Declarations!B$6:F$185,4,FALSE)),"",IF(VLOOKUP(A216,Declarations!B$6:F$185,4,FALSE)="","---",VLOOKUP(A216,Declarations!B$6:F$185,4,FALSE)))</f>
        <v/>
      </c>
      <c r="E216" s="245" t="s">
        <v>137</v>
      </c>
      <c r="F216" s="245" t="s">
        <v>137</v>
      </c>
      <c r="G216" s="245" t="s">
        <v>137</v>
      </c>
      <c r="H216" s="320"/>
    </row>
    <row r="217" spans="1:8" ht="19.95" customHeight="1">
      <c r="A217" s="67"/>
      <c r="B217" s="68" t="str">
        <f>IF(ISNA(VLOOKUP(A217,Declarations!B$6:C$185,2,FALSE)),"",IF(VLOOKUP(A217,Declarations!B$6:C$185,2,FALSE)="","---",VLOOKUP(A217,Declarations!B$6:C$185,2,FALSE)))</f>
        <v/>
      </c>
      <c r="C217" s="68" t="str">
        <f>IF(ISNA(VLOOKUP(A217,Declarations!B$6:F$185,5,FALSE)),"",IF(VLOOKUP(A217,Declarations!B$6:F$185,5,FALSE)="","---",VLOOKUP(A217,Declarations!B$6:F$185,5,FALSE)))</f>
        <v/>
      </c>
      <c r="D217" s="319" t="str">
        <f>IF(ISNA(VLOOKUP(A217,Declarations!B$6:F$185,4,FALSE)),"",IF(VLOOKUP(A217,Declarations!B$6:F$185,4,FALSE)="","---",VLOOKUP(A217,Declarations!B$6:F$185,4,FALSE)))</f>
        <v/>
      </c>
      <c r="E217" s="245" t="s">
        <v>137</v>
      </c>
      <c r="F217" s="245" t="s">
        <v>137</v>
      </c>
      <c r="G217" s="245" t="s">
        <v>137</v>
      </c>
      <c r="H217" s="320"/>
    </row>
    <row r="218" spans="1:8" ht="19.95" customHeight="1">
      <c r="A218" s="67"/>
      <c r="B218" s="68" t="str">
        <f>IF(ISNA(VLOOKUP(A218,Declarations!B$6:C$185,2,FALSE)),"",IF(VLOOKUP(A218,Declarations!B$6:C$185,2,FALSE)="","---",VLOOKUP(A218,Declarations!B$6:C$185,2,FALSE)))</f>
        <v/>
      </c>
      <c r="C218" s="68" t="str">
        <f>IF(ISNA(VLOOKUP(A218,Declarations!B$6:F$185,5,FALSE)),"",IF(VLOOKUP(A218,Declarations!B$6:F$185,5,FALSE)="","---",VLOOKUP(A218,Declarations!B$6:F$185,5,FALSE)))</f>
        <v/>
      </c>
      <c r="D218" s="319" t="str">
        <f>IF(ISNA(VLOOKUP(A218,Declarations!B$6:F$185,4,FALSE)),"",IF(VLOOKUP(A218,Declarations!B$6:F$185,4,FALSE)="","---",VLOOKUP(A218,Declarations!B$6:F$185,4,FALSE)))</f>
        <v/>
      </c>
      <c r="E218" s="245" t="s">
        <v>137</v>
      </c>
      <c r="F218" s="245" t="s">
        <v>137</v>
      </c>
      <c r="G218" s="245" t="s">
        <v>137</v>
      </c>
      <c r="H218" s="320"/>
    </row>
    <row r="219" spans="1:8" ht="19.95" customHeight="1">
      <c r="A219" s="67"/>
      <c r="B219" s="68" t="str">
        <f>IF(ISNA(VLOOKUP(A219,Declarations!B$6:C$185,2,FALSE)),"",IF(VLOOKUP(A219,Declarations!B$6:C$185,2,FALSE)="","---",VLOOKUP(A219,Declarations!B$6:C$185,2,FALSE)))</f>
        <v/>
      </c>
      <c r="C219" s="68" t="str">
        <f>IF(ISNA(VLOOKUP(A219,Declarations!B$6:F$185,5,FALSE)),"",IF(VLOOKUP(A219,Declarations!B$6:F$185,5,FALSE)="","---",VLOOKUP(A219,Declarations!B$6:F$185,5,FALSE)))</f>
        <v/>
      </c>
      <c r="D219" s="319" t="str">
        <f>IF(ISNA(VLOOKUP(A219,Declarations!B$6:F$185,4,FALSE)),"",IF(VLOOKUP(A219,Declarations!B$6:F$185,4,FALSE)="","---",VLOOKUP(A219,Declarations!B$6:F$185,4,FALSE)))</f>
        <v/>
      </c>
      <c r="E219" s="245" t="s">
        <v>137</v>
      </c>
      <c r="F219" s="245" t="s">
        <v>137</v>
      </c>
      <c r="G219" s="245" t="s">
        <v>137</v>
      </c>
      <c r="H219" s="320"/>
    </row>
    <row r="220" spans="1:8" ht="19.95" customHeight="1">
      <c r="A220" s="67"/>
      <c r="B220" s="68" t="str">
        <f>IF(ISNA(VLOOKUP(A220,Declarations!B$6:C$185,2,FALSE)),"",IF(VLOOKUP(A220,Declarations!B$6:C$185,2,FALSE)="","---",VLOOKUP(A220,Declarations!B$6:C$185,2,FALSE)))</f>
        <v/>
      </c>
      <c r="C220" s="68" t="str">
        <f>IF(ISNA(VLOOKUP(A220,Declarations!B$6:F$185,5,FALSE)),"",IF(VLOOKUP(A220,Declarations!B$6:F$185,5,FALSE)="","---",VLOOKUP(A220,Declarations!B$6:F$185,5,FALSE)))</f>
        <v/>
      </c>
      <c r="D220" s="319" t="str">
        <f>IF(ISNA(VLOOKUP(A220,Declarations!B$6:F$185,4,FALSE)),"",IF(VLOOKUP(A220,Declarations!B$6:F$185,4,FALSE)="","---",VLOOKUP(A220,Declarations!B$6:F$185,4,FALSE)))</f>
        <v/>
      </c>
      <c r="E220" s="245" t="s">
        <v>137</v>
      </c>
      <c r="F220" s="245" t="s">
        <v>137</v>
      </c>
      <c r="G220" s="245" t="s">
        <v>137</v>
      </c>
      <c r="H220" s="320"/>
    </row>
    <row r="221" spans="1:8" ht="19.95" customHeight="1">
      <c r="A221" s="67"/>
      <c r="B221" s="68" t="str">
        <f>IF(ISNA(VLOOKUP(A221,Declarations!B$6:C$185,2,FALSE)),"",IF(VLOOKUP(A221,Declarations!B$6:C$185,2,FALSE)="","---",VLOOKUP(A221,Declarations!B$6:C$185,2,FALSE)))</f>
        <v/>
      </c>
      <c r="C221" s="68" t="str">
        <f>IF(ISNA(VLOOKUP(A221,Declarations!B$6:F$185,5,FALSE)),"",IF(VLOOKUP(A221,Declarations!B$6:F$185,5,FALSE)="","---",VLOOKUP(A221,Declarations!B$6:F$185,5,FALSE)))</f>
        <v/>
      </c>
      <c r="D221" s="319" t="str">
        <f>IF(ISNA(VLOOKUP(A221,Declarations!B$6:F$185,4,FALSE)),"",IF(VLOOKUP(A221,Declarations!B$6:F$185,4,FALSE)="","---",VLOOKUP(A221,Declarations!B$6:F$185,4,FALSE)))</f>
        <v/>
      </c>
      <c r="E221" s="245" t="s">
        <v>137</v>
      </c>
      <c r="F221" s="245" t="s">
        <v>137</v>
      </c>
      <c r="G221" s="245" t="s">
        <v>137</v>
      </c>
      <c r="H221" s="320"/>
    </row>
    <row r="222" spans="1:8" ht="19.95" customHeight="1">
      <c r="A222" s="67"/>
      <c r="B222" s="68" t="str">
        <f>IF(ISNA(VLOOKUP(A222,Declarations!B$6:C$185,2,FALSE)),"",IF(VLOOKUP(A222,Declarations!B$6:C$185,2,FALSE)="","---",VLOOKUP(A222,Declarations!B$6:C$185,2,FALSE)))</f>
        <v/>
      </c>
      <c r="C222" s="68" t="str">
        <f>IF(ISNA(VLOOKUP(A222,Declarations!B$6:F$185,5,FALSE)),"",IF(VLOOKUP(A222,Declarations!B$6:F$185,5,FALSE)="","---",VLOOKUP(A222,Declarations!B$6:F$185,5,FALSE)))</f>
        <v/>
      </c>
      <c r="D222" s="319" t="str">
        <f>IF(ISNA(VLOOKUP(A222,Declarations!B$6:F$185,4,FALSE)),"",IF(VLOOKUP(A222,Declarations!B$6:F$185,4,FALSE)="","---",VLOOKUP(A222,Declarations!B$6:F$185,4,FALSE)))</f>
        <v/>
      </c>
      <c r="E222" s="245" t="s">
        <v>137</v>
      </c>
      <c r="F222" s="245" t="s">
        <v>137</v>
      </c>
      <c r="G222" s="245" t="s">
        <v>137</v>
      </c>
      <c r="H222" s="320"/>
    </row>
    <row r="223" spans="1:8" ht="19.95" customHeight="1">
      <c r="A223" s="67"/>
      <c r="B223" s="68" t="str">
        <f>IF(ISNA(VLOOKUP(A223,Declarations!B$6:C$185,2,FALSE)),"",IF(VLOOKUP(A223,Declarations!B$6:C$185,2,FALSE)="","---",VLOOKUP(A223,Declarations!B$6:C$185,2,FALSE)))</f>
        <v/>
      </c>
      <c r="C223" s="68" t="str">
        <f>IF(ISNA(VLOOKUP(A223,Declarations!B$6:F$185,5,FALSE)),"",IF(VLOOKUP(A223,Declarations!B$6:F$185,5,FALSE)="","---",VLOOKUP(A223,Declarations!B$6:F$185,5,FALSE)))</f>
        <v/>
      </c>
      <c r="D223" s="319" t="str">
        <f>IF(ISNA(VLOOKUP(A223,Declarations!B$6:F$185,4,FALSE)),"",IF(VLOOKUP(A223,Declarations!B$6:F$185,4,FALSE)="","---",VLOOKUP(A223,Declarations!B$6:F$185,4,FALSE)))</f>
        <v/>
      </c>
      <c r="E223" s="245" t="s">
        <v>137</v>
      </c>
      <c r="F223" s="245" t="s">
        <v>137</v>
      </c>
      <c r="G223" s="245" t="s">
        <v>137</v>
      </c>
      <c r="H223" s="320"/>
    </row>
    <row r="224" spans="1:8" ht="19.95" customHeight="1">
      <c r="A224" s="67"/>
      <c r="B224" s="68" t="str">
        <f>IF(ISNA(VLOOKUP(A224,Declarations!B$6:C$185,2,FALSE)),"",IF(VLOOKUP(A224,Declarations!B$6:C$185,2,FALSE)="","---",VLOOKUP(A224,Declarations!B$6:C$185,2,FALSE)))</f>
        <v/>
      </c>
      <c r="C224" s="68" t="str">
        <f>IF(ISNA(VLOOKUP(A224,Declarations!B$6:F$185,5,FALSE)),"",IF(VLOOKUP(A224,Declarations!B$6:F$185,5,FALSE)="","---",VLOOKUP(A224,Declarations!B$6:F$185,5,FALSE)))</f>
        <v/>
      </c>
      <c r="D224" s="319" t="str">
        <f>IF(ISNA(VLOOKUP(A224,Declarations!B$6:F$185,4,FALSE)),"",IF(VLOOKUP(A224,Declarations!B$6:F$185,4,FALSE)="","---",VLOOKUP(A224,Declarations!B$6:F$185,4,FALSE)))</f>
        <v/>
      </c>
      <c r="E224" s="245" t="s">
        <v>137</v>
      </c>
      <c r="F224" s="245" t="s">
        <v>137</v>
      </c>
      <c r="G224" s="245" t="s">
        <v>137</v>
      </c>
      <c r="H224" s="320"/>
    </row>
    <row r="225" spans="1:8" ht="19.95" customHeight="1">
      <c r="A225" s="67"/>
      <c r="B225" s="68" t="str">
        <f>IF(ISNA(VLOOKUP(A225,Declarations!B$6:C$185,2,FALSE)),"",IF(VLOOKUP(A225,Declarations!B$6:C$185,2,FALSE)="","---",VLOOKUP(A225,Declarations!B$6:C$185,2,FALSE)))</f>
        <v/>
      </c>
      <c r="C225" s="68" t="str">
        <f>IF(ISNA(VLOOKUP(A225,Declarations!B$6:F$185,5,FALSE)),"",IF(VLOOKUP(A225,Declarations!B$6:F$185,5,FALSE)="","---",VLOOKUP(A225,Declarations!B$6:F$185,5,FALSE)))</f>
        <v/>
      </c>
      <c r="D225" s="319" t="str">
        <f>IF(ISNA(VLOOKUP(A225,Declarations!B$6:F$185,4,FALSE)),"",IF(VLOOKUP(A225,Declarations!B$6:F$185,4,FALSE)="","---",VLOOKUP(A225,Declarations!B$6:F$185,4,FALSE)))</f>
        <v/>
      </c>
      <c r="E225" s="245" t="s">
        <v>137</v>
      </c>
      <c r="F225" s="245" t="s">
        <v>137</v>
      </c>
      <c r="G225" s="245" t="s">
        <v>137</v>
      </c>
      <c r="H225" s="320"/>
    </row>
    <row r="226" spans="1:8" ht="19.95" customHeight="1">
      <c r="A226" s="67"/>
      <c r="B226" s="68" t="str">
        <f>IF(ISNA(VLOOKUP(A226,Declarations!B$6:C$185,2,FALSE)),"",IF(VLOOKUP(A226,Declarations!B$6:C$185,2,FALSE)="","---",VLOOKUP(A226,Declarations!B$6:C$185,2,FALSE)))</f>
        <v/>
      </c>
      <c r="C226" s="68" t="str">
        <f>IF(ISNA(VLOOKUP(A226,Declarations!B$6:F$185,5,FALSE)),"",IF(VLOOKUP(A226,Declarations!B$6:F$185,5,FALSE)="","---",VLOOKUP(A226,Declarations!B$6:F$185,5,FALSE)))</f>
        <v/>
      </c>
      <c r="D226" s="319" t="str">
        <f>IF(ISNA(VLOOKUP(A226,Declarations!B$6:F$185,4,FALSE)),"",IF(VLOOKUP(A226,Declarations!B$6:F$185,4,FALSE)="","---",VLOOKUP(A226,Declarations!B$6:F$185,4,FALSE)))</f>
        <v/>
      </c>
      <c r="E226" s="245" t="s">
        <v>137</v>
      </c>
      <c r="F226" s="245" t="s">
        <v>137</v>
      </c>
      <c r="G226" s="245" t="s">
        <v>137</v>
      </c>
      <c r="H226" s="320"/>
    </row>
    <row r="227" spans="1:8" ht="19.95" customHeight="1">
      <c r="A227" s="67"/>
      <c r="B227" s="68" t="str">
        <f>IF(ISNA(VLOOKUP(A227,Declarations!B$6:C$185,2,FALSE)),"",IF(VLOOKUP(A227,Declarations!B$6:C$185,2,FALSE)="","---",VLOOKUP(A227,Declarations!B$6:C$185,2,FALSE)))</f>
        <v/>
      </c>
      <c r="C227" s="68" t="str">
        <f>IF(ISNA(VLOOKUP(A227,Declarations!B$6:F$185,5,FALSE)),"",IF(VLOOKUP(A227,Declarations!B$6:F$185,5,FALSE)="","---",VLOOKUP(A227,Declarations!B$6:F$185,5,FALSE)))</f>
        <v/>
      </c>
      <c r="D227" s="319" t="str">
        <f>IF(ISNA(VLOOKUP(A227,Declarations!B$6:F$185,4,FALSE)),"",IF(VLOOKUP(A227,Declarations!B$6:F$185,4,FALSE)="","---",VLOOKUP(A227,Declarations!B$6:F$185,4,FALSE)))</f>
        <v/>
      </c>
      <c r="E227" s="245" t="s">
        <v>137</v>
      </c>
      <c r="F227" s="245" t="s">
        <v>137</v>
      </c>
      <c r="G227" s="245" t="s">
        <v>137</v>
      </c>
      <c r="H227" s="320"/>
    </row>
    <row r="228" spans="1:8" ht="19.95" customHeight="1">
      <c r="A228" s="67"/>
      <c r="B228" s="68" t="str">
        <f>IF(ISNA(VLOOKUP(A228,Declarations!B$6:C$185,2,FALSE)),"",IF(VLOOKUP(A228,Declarations!B$6:C$185,2,FALSE)="","---",VLOOKUP(A228,Declarations!B$6:C$185,2,FALSE)))</f>
        <v/>
      </c>
      <c r="C228" s="68" t="str">
        <f>IF(ISNA(VLOOKUP(A228,Declarations!B$6:F$185,5,FALSE)),"",IF(VLOOKUP(A228,Declarations!B$6:F$185,5,FALSE)="","---",VLOOKUP(A228,Declarations!B$6:F$185,5,FALSE)))</f>
        <v/>
      </c>
      <c r="D228" s="319" t="str">
        <f>IF(ISNA(VLOOKUP(A228,Declarations!B$6:F$185,4,FALSE)),"",IF(VLOOKUP(A228,Declarations!B$6:F$185,4,FALSE)="","---",VLOOKUP(A228,Declarations!B$6:F$185,4,FALSE)))</f>
        <v/>
      </c>
      <c r="E228" s="245" t="s">
        <v>137</v>
      </c>
      <c r="F228" s="245" t="s">
        <v>137</v>
      </c>
      <c r="G228" s="245" t="s">
        <v>137</v>
      </c>
      <c r="H228" s="320"/>
    </row>
    <row r="229" spans="1:8" ht="19.95" customHeight="1">
      <c r="A229" s="67"/>
      <c r="B229" s="68" t="str">
        <f>IF(ISNA(VLOOKUP(A229,Declarations!B$6:C$185,2,FALSE)),"",IF(VLOOKUP(A229,Declarations!B$6:C$185,2,FALSE)="","---",VLOOKUP(A229,Declarations!B$6:C$185,2,FALSE)))</f>
        <v/>
      </c>
      <c r="C229" s="68" t="str">
        <f>IF(ISNA(VLOOKUP(A229,Declarations!B$6:F$185,5,FALSE)),"",IF(VLOOKUP(A229,Declarations!B$6:F$185,5,FALSE)="","---",VLOOKUP(A229,Declarations!B$6:F$185,5,FALSE)))</f>
        <v/>
      </c>
      <c r="D229" s="319" t="str">
        <f>IF(ISNA(VLOOKUP(A229,Declarations!B$6:F$185,4,FALSE)),"",IF(VLOOKUP(A229,Declarations!B$6:F$185,4,FALSE)="","---",VLOOKUP(A229,Declarations!B$6:F$185,4,FALSE)))</f>
        <v/>
      </c>
      <c r="E229" s="245" t="s">
        <v>137</v>
      </c>
      <c r="F229" s="245" t="s">
        <v>137</v>
      </c>
      <c r="G229" s="245" t="s">
        <v>137</v>
      </c>
      <c r="H229" s="320"/>
    </row>
    <row r="230" spans="1:8" ht="19.95" customHeight="1">
      <c r="A230" s="67"/>
      <c r="B230" s="68" t="str">
        <f>IF(ISNA(VLOOKUP(A230,Declarations!B$6:C$185,2,FALSE)),"",IF(VLOOKUP(A230,Declarations!B$6:C$185,2,FALSE)="","---",VLOOKUP(A230,Declarations!B$6:C$185,2,FALSE)))</f>
        <v/>
      </c>
      <c r="C230" s="68" t="str">
        <f>IF(ISNA(VLOOKUP(A230,Declarations!B$6:F$185,5,FALSE)),"",IF(VLOOKUP(A230,Declarations!B$6:F$185,5,FALSE)="","---",VLOOKUP(A230,Declarations!B$6:F$185,5,FALSE)))</f>
        <v/>
      </c>
      <c r="D230" s="319" t="str">
        <f>IF(ISNA(VLOOKUP(A230,Declarations!B$6:F$185,4,FALSE)),"",IF(VLOOKUP(A230,Declarations!B$6:F$185,4,FALSE)="","---",VLOOKUP(A230,Declarations!B$6:F$185,4,FALSE)))</f>
        <v/>
      </c>
      <c r="E230" s="245" t="s">
        <v>137</v>
      </c>
      <c r="F230" s="245" t="s">
        <v>137</v>
      </c>
      <c r="G230" s="245" t="s">
        <v>137</v>
      </c>
      <c r="H230" s="320"/>
    </row>
    <row r="231" spans="1:8" ht="19.95" customHeight="1">
      <c r="A231" s="67"/>
      <c r="B231" s="68" t="str">
        <f>IF(ISNA(VLOOKUP(A231,Declarations!B$6:C$185,2,FALSE)),"",IF(VLOOKUP(A231,Declarations!B$6:C$185,2,FALSE)="","---",VLOOKUP(A231,Declarations!B$6:C$185,2,FALSE)))</f>
        <v/>
      </c>
      <c r="C231" s="68" t="str">
        <f>IF(ISNA(VLOOKUP(A231,Declarations!B$6:F$185,5,FALSE)),"",IF(VLOOKUP(A231,Declarations!B$6:F$185,5,FALSE)="","---",VLOOKUP(A231,Declarations!B$6:F$185,5,FALSE)))</f>
        <v/>
      </c>
      <c r="D231" s="319" t="str">
        <f>IF(ISNA(VLOOKUP(A231,Declarations!B$6:F$185,4,FALSE)),"",IF(VLOOKUP(A231,Declarations!B$6:F$185,4,FALSE)="","---",VLOOKUP(A231,Declarations!B$6:F$185,4,FALSE)))</f>
        <v/>
      </c>
      <c r="E231" s="245" t="s">
        <v>137</v>
      </c>
      <c r="F231" s="245" t="s">
        <v>137</v>
      </c>
      <c r="G231" s="245" t="s">
        <v>137</v>
      </c>
      <c r="H231" s="320"/>
    </row>
    <row r="232" spans="1:8" ht="19.95" customHeight="1">
      <c r="A232" s="67"/>
      <c r="B232" s="68" t="str">
        <f>IF(ISNA(VLOOKUP(A232,Declarations!B$6:C$185,2,FALSE)),"",IF(VLOOKUP(A232,Declarations!B$6:C$185,2,FALSE)="","---",VLOOKUP(A232,Declarations!B$6:C$185,2,FALSE)))</f>
        <v/>
      </c>
      <c r="C232" s="68" t="str">
        <f>IF(ISNA(VLOOKUP(A232,Declarations!B$6:F$185,5,FALSE)),"",IF(VLOOKUP(A232,Declarations!B$6:F$185,5,FALSE)="","---",VLOOKUP(A232,Declarations!B$6:F$185,5,FALSE)))</f>
        <v/>
      </c>
      <c r="D232" s="319" t="str">
        <f>IF(ISNA(VLOOKUP(A232,Declarations!B$6:F$185,4,FALSE)),"",IF(VLOOKUP(A232,Declarations!B$6:F$185,4,FALSE)="","---",VLOOKUP(A232,Declarations!B$6:F$185,4,FALSE)))</f>
        <v/>
      </c>
      <c r="E232" s="245" t="s">
        <v>137</v>
      </c>
      <c r="F232" s="245" t="s">
        <v>137</v>
      </c>
      <c r="G232" s="245" t="s">
        <v>137</v>
      </c>
      <c r="H232" s="320"/>
    </row>
    <row r="233" spans="1:8" ht="19.95" customHeight="1">
      <c r="A233" s="67"/>
      <c r="B233" s="68" t="str">
        <f>IF(ISNA(VLOOKUP(A233,Declarations!B$6:C$185,2,FALSE)),"",IF(VLOOKUP(A233,Declarations!B$6:C$185,2,FALSE)="","---",VLOOKUP(A233,Declarations!B$6:C$185,2,FALSE)))</f>
        <v/>
      </c>
      <c r="C233" s="68" t="str">
        <f>IF(ISNA(VLOOKUP(A233,Declarations!B$6:F$185,5,FALSE)),"",IF(VLOOKUP(A233,Declarations!B$6:F$185,5,FALSE)="","---",VLOOKUP(A233,Declarations!B$6:F$185,5,FALSE)))</f>
        <v/>
      </c>
      <c r="D233" s="319" t="str">
        <f>IF(ISNA(VLOOKUP(A233,Declarations!B$6:F$185,4,FALSE)),"",IF(VLOOKUP(A233,Declarations!B$6:F$185,4,FALSE)="","---",VLOOKUP(A233,Declarations!B$6:F$185,4,FALSE)))</f>
        <v/>
      </c>
      <c r="E233" s="245" t="s">
        <v>137</v>
      </c>
      <c r="F233" s="245" t="s">
        <v>137</v>
      </c>
      <c r="G233" s="245" t="s">
        <v>137</v>
      </c>
      <c r="H233" s="320"/>
    </row>
    <row r="234" spans="1:8" ht="19.95" customHeight="1">
      <c r="A234" s="67"/>
      <c r="B234" s="68" t="str">
        <f>IF(ISNA(VLOOKUP(A234,Declarations!B$6:C$185,2,FALSE)),"",IF(VLOOKUP(A234,Declarations!B$6:C$185,2,FALSE)="","---",VLOOKUP(A234,Declarations!B$6:C$185,2,FALSE)))</f>
        <v/>
      </c>
      <c r="C234" s="68" t="str">
        <f>IF(ISNA(VLOOKUP(A234,Declarations!B$6:F$185,5,FALSE)),"",IF(VLOOKUP(A234,Declarations!B$6:F$185,5,FALSE)="","---",VLOOKUP(A234,Declarations!B$6:F$185,5,FALSE)))</f>
        <v/>
      </c>
      <c r="D234" s="319" t="str">
        <f>IF(ISNA(VLOOKUP(A234,Declarations!B$6:F$185,4,FALSE)),"",IF(VLOOKUP(A234,Declarations!B$6:F$185,4,FALSE)="","---",VLOOKUP(A234,Declarations!B$6:F$185,4,FALSE)))</f>
        <v/>
      </c>
      <c r="E234" s="245" t="s">
        <v>137</v>
      </c>
      <c r="F234" s="245" t="s">
        <v>137</v>
      </c>
      <c r="G234" s="245" t="s">
        <v>137</v>
      </c>
      <c r="H234" s="320"/>
    </row>
    <row r="235" spans="1:8" ht="15.6">
      <c r="A235" s="69"/>
      <c r="B235" s="70"/>
      <c r="C235" s="70"/>
      <c r="D235" s="70"/>
      <c r="E235" s="71"/>
      <c r="F235" s="71"/>
      <c r="G235" s="71"/>
      <c r="H235" s="71"/>
    </row>
    <row r="236" spans="1:8" ht="15.6">
      <c r="A236" s="69"/>
      <c r="B236" s="70"/>
      <c r="C236" s="70"/>
      <c r="D236" s="70"/>
      <c r="E236" s="498" t="s">
        <v>138</v>
      </c>
      <c r="F236" s="498"/>
      <c r="G236" s="490" t="s">
        <v>139</v>
      </c>
      <c r="H236" s="490"/>
    </row>
    <row r="237" spans="1:8" ht="15.6">
      <c r="A237" s="69"/>
      <c r="B237" s="499" t="s">
        <v>140</v>
      </c>
      <c r="C237" s="500"/>
      <c r="D237" s="70"/>
      <c r="E237" s="490"/>
      <c r="F237" s="490"/>
      <c r="G237" s="490"/>
      <c r="H237" s="490"/>
    </row>
    <row r="238" spans="1:8" ht="15.6">
      <c r="A238" s="69"/>
      <c r="B238" s="501"/>
      <c r="C238" s="502"/>
      <c r="D238" s="70"/>
      <c r="E238" s="490"/>
      <c r="F238" s="490"/>
      <c r="G238" s="490"/>
      <c r="H238" s="490"/>
    </row>
    <row r="239" spans="1:8" ht="15.6">
      <c r="A239" s="69"/>
      <c r="B239" s="70"/>
      <c r="C239" s="70"/>
      <c r="D239" s="70"/>
      <c r="E239" s="490"/>
      <c r="F239" s="490"/>
      <c r="G239" s="490"/>
      <c r="H239" s="490"/>
    </row>
    <row r="240" spans="1:8" ht="7.95" customHeight="1">
      <c r="A240" s="69"/>
      <c r="B240" s="70"/>
      <c r="C240" s="70"/>
      <c r="D240" s="70"/>
      <c r="E240" s="93"/>
      <c r="F240" s="93"/>
      <c r="G240" s="93"/>
      <c r="H240" s="93"/>
    </row>
    <row r="241" spans="1:8" ht="20.399999999999999">
      <c r="A241" s="491" t="str">
        <f>'Read Me First'!A1:F1</f>
        <v>Wessex Young Athletes Track and Field League 2026</v>
      </c>
      <c r="B241" s="492"/>
      <c r="C241" s="492"/>
      <c r="D241" s="492"/>
      <c r="E241" s="492"/>
      <c r="F241" s="492"/>
      <c r="G241" s="492"/>
      <c r="H241" s="493"/>
    </row>
    <row r="242" spans="1:8" ht="17.399999999999999">
      <c r="A242" s="60" t="s">
        <v>13</v>
      </c>
      <c r="B242" s="61">
        <f>'Read Me First'!$C$10</f>
        <v>46201</v>
      </c>
      <c r="C242" s="92">
        <v>0.55208333333333337</v>
      </c>
      <c r="D242" s="60" t="s">
        <v>70</v>
      </c>
      <c r="E242" s="494" t="str">
        <f>$E$2</f>
        <v>Camberley &amp; District AC @ Woking</v>
      </c>
      <c r="F242" s="495"/>
      <c r="G242" s="495"/>
      <c r="H242" s="496"/>
    </row>
    <row r="243" spans="1:8" ht="17.399999999999999">
      <c r="A243" s="497" t="s">
        <v>146</v>
      </c>
      <c r="B243" s="497"/>
      <c r="C243" s="497"/>
      <c r="D243" s="497"/>
      <c r="E243" s="59">
        <v>1</v>
      </c>
      <c r="F243" s="59">
        <v>2</v>
      </c>
      <c r="G243" s="59">
        <v>3</v>
      </c>
      <c r="H243" s="59" t="s">
        <v>136</v>
      </c>
    </row>
    <row r="244" spans="1:8" ht="17.399999999999999">
      <c r="A244" s="65"/>
      <c r="B244" s="65"/>
      <c r="C244" s="65"/>
      <c r="D244" s="65"/>
      <c r="E244" s="66"/>
      <c r="F244" s="66"/>
      <c r="G244" s="66"/>
      <c r="H244" s="66"/>
    </row>
    <row r="245" spans="1:8" ht="19.95" customHeight="1">
      <c r="A245" s="67" cm="1">
        <f t="array" ref="A245:A270">IFERROR(_xlfn.TEXTSPLIT(IFERROR(_xlfn.TEXTJOIN(",",TRUE,_xlfn._xlws.FILTER(BlockAllocations!$F$3:$F$20,BlockAllocations!$E$3:$E$20=BlockAllocations!$G$6)),""),,",")+0,"!")</f>
        <v>11</v>
      </c>
      <c r="B245" s="68" t="str">
        <f>IF(ISNA(VLOOKUP(A245,Declarations!B$6:C$185,2,FALSE)),"",IF(VLOOKUP(A245,Declarations!B$6:C$185,2,FALSE)="","---",VLOOKUP(A245,Declarations!B$6:C$185,2,FALSE)))</f>
        <v>MATTHEW SCALES</v>
      </c>
      <c r="C245" s="68" t="str">
        <f>IF(ISNA(VLOOKUP(A245,Declarations!B$6:F$185,5,FALSE)),"",IF(VLOOKUP(A245,Declarations!B$6:F$185,5,FALSE)="","---",VLOOKUP(A245,Declarations!B$6:F$185,5,FALSE)))</f>
        <v>Camberley &amp; District AC</v>
      </c>
      <c r="D245" s="319" t="str">
        <f>IF(ISNA(VLOOKUP(A245,Declarations!B$6:F$185,4,FALSE)),"",IF(VLOOKUP(A245,Declarations!B$6:F$185,4,FALSE)="","---",VLOOKUP(A245,Declarations!B$6:F$185,4,FALSE)))</f>
        <v>BOYS</v>
      </c>
      <c r="E245" s="67"/>
      <c r="F245" s="320"/>
      <c r="G245" s="244" t="s">
        <v>147</v>
      </c>
      <c r="H245" s="320"/>
    </row>
    <row r="246" spans="1:8" ht="19.95" customHeight="1">
      <c r="A246" s="67">
        <v>12</v>
      </c>
      <c r="B246" s="68" t="str">
        <f>IF(ISNA(VLOOKUP(A246,Declarations!B$6:C$185,2,FALSE)),"",IF(VLOOKUP(A246,Declarations!B$6:C$185,2,FALSE)="","---",VLOOKUP(A246,Declarations!B$6:C$185,2,FALSE)))</f>
        <v>OSCAR FROST</v>
      </c>
      <c r="C246" s="68" t="str">
        <f>IF(ISNA(VLOOKUP(A246,Declarations!B$6:F$185,5,FALSE)),"",IF(VLOOKUP(A246,Declarations!B$6:F$185,5,FALSE)="","---",VLOOKUP(A246,Declarations!B$6:F$185,5,FALSE)))</f>
        <v>Camberley &amp; District AC</v>
      </c>
      <c r="D246" s="319" t="str">
        <f>IF(ISNA(VLOOKUP(A246,Declarations!B$6:F$185,4,FALSE)),"",IF(VLOOKUP(A246,Declarations!B$6:F$185,4,FALSE)="","---",VLOOKUP(A246,Declarations!B$6:F$185,4,FALSE)))</f>
        <v>BOYS</v>
      </c>
      <c r="E246" s="67"/>
      <c r="F246" s="320"/>
      <c r="G246" s="244" t="s">
        <v>147</v>
      </c>
      <c r="H246" s="320"/>
    </row>
    <row r="247" spans="1:8" ht="19.95" customHeight="1">
      <c r="A247" s="67">
        <v>13</v>
      </c>
      <c r="B247" s="68" t="str">
        <f>IF(ISNA(VLOOKUP(A247,Declarations!B$6:C$185,2,FALSE)),"",IF(VLOOKUP(A247,Declarations!B$6:C$185,2,FALSE)="","---",VLOOKUP(A247,Declarations!B$6:C$185,2,FALSE)))</f>
        <v>HARRY COLLINS</v>
      </c>
      <c r="C247" s="68" t="str">
        <f>IF(ISNA(VLOOKUP(A247,Declarations!B$6:F$185,5,FALSE)),"",IF(VLOOKUP(A247,Declarations!B$6:F$185,5,FALSE)="","---",VLOOKUP(A247,Declarations!B$6:F$185,5,FALSE)))</f>
        <v>Camberley &amp; District AC</v>
      </c>
      <c r="D247" s="319" t="str">
        <f>IF(ISNA(VLOOKUP(A247,Declarations!B$6:F$185,4,FALSE)),"",IF(VLOOKUP(A247,Declarations!B$6:F$185,4,FALSE)="","---",VLOOKUP(A247,Declarations!B$6:F$185,4,FALSE)))</f>
        <v>BOYS</v>
      </c>
      <c r="E247" s="67"/>
      <c r="F247" s="320"/>
      <c r="G247" s="244" t="s">
        <v>147</v>
      </c>
      <c r="H247" s="320"/>
    </row>
    <row r="248" spans="1:8" ht="19.95" customHeight="1">
      <c r="A248" s="67">
        <v>14</v>
      </c>
      <c r="B248" s="68" t="str">
        <f>IF(ISNA(VLOOKUP(A248,Declarations!B$6:C$185,2,FALSE)),"",IF(VLOOKUP(A248,Declarations!B$6:C$185,2,FALSE)="","---",VLOOKUP(A248,Declarations!B$6:C$185,2,FALSE)))</f>
        <v>DANIEL BURDON</v>
      </c>
      <c r="C248" s="68" t="str">
        <f>IF(ISNA(VLOOKUP(A248,Declarations!B$6:F$185,5,FALSE)),"",IF(VLOOKUP(A248,Declarations!B$6:F$185,5,FALSE)="","---",VLOOKUP(A248,Declarations!B$6:F$185,5,FALSE)))</f>
        <v>Camberley &amp; District AC</v>
      </c>
      <c r="D248" s="319" t="str">
        <f>IF(ISNA(VLOOKUP(A248,Declarations!B$6:F$185,4,FALSE)),"",IF(VLOOKUP(A248,Declarations!B$6:F$185,4,FALSE)="","---",VLOOKUP(A248,Declarations!B$6:F$185,4,FALSE)))</f>
        <v>BOYS</v>
      </c>
      <c r="E248" s="67"/>
      <c r="F248" s="320"/>
      <c r="G248" s="244" t="s">
        <v>147</v>
      </c>
      <c r="H248" s="320"/>
    </row>
    <row r="249" spans="1:8" ht="19.95" customHeight="1">
      <c r="A249" s="67">
        <v>15</v>
      </c>
      <c r="B249" s="68" t="str">
        <f>IF(ISNA(VLOOKUP(A249,Declarations!B$6:C$185,2,FALSE)),"",IF(VLOOKUP(A249,Declarations!B$6:C$185,2,FALSE)="","---",VLOOKUP(A249,Declarations!B$6:C$185,2,FALSE)))</f>
        <v>TOBI AKINLUYI</v>
      </c>
      <c r="C249" s="68" t="str">
        <f>IF(ISNA(VLOOKUP(A249,Declarations!B$6:F$185,5,FALSE)),"",IF(VLOOKUP(A249,Declarations!B$6:F$185,5,FALSE)="","---",VLOOKUP(A249,Declarations!B$6:F$185,5,FALSE)))</f>
        <v>Camberley &amp; District AC</v>
      </c>
      <c r="D249" s="319" t="str">
        <f>IF(ISNA(VLOOKUP(A249,Declarations!B$6:F$185,4,FALSE)),"",IF(VLOOKUP(A249,Declarations!B$6:F$185,4,FALSE)="","---",VLOOKUP(A249,Declarations!B$6:F$185,4,FALSE)))</f>
        <v>BOYS</v>
      </c>
      <c r="E249" s="67"/>
      <c r="F249" s="320"/>
      <c r="G249" s="244" t="s">
        <v>147</v>
      </c>
      <c r="H249" s="320"/>
    </row>
    <row r="250" spans="1:8" ht="19.95" customHeight="1">
      <c r="A250" s="67">
        <v>16</v>
      </c>
      <c r="B250" s="68" t="str">
        <f>IF(ISNA(VLOOKUP(A250,Declarations!B$6:C$185,2,FALSE)),"",IF(VLOOKUP(A250,Declarations!B$6:C$185,2,FALSE)="","---",VLOOKUP(A250,Declarations!B$6:C$185,2,FALSE)))</f>
        <v>RAFI PAYNE</v>
      </c>
      <c r="C250" s="68" t="str">
        <f>IF(ISNA(VLOOKUP(A250,Declarations!B$6:F$185,5,FALSE)),"",IF(VLOOKUP(A250,Declarations!B$6:F$185,5,FALSE)="","---",VLOOKUP(A250,Declarations!B$6:F$185,5,FALSE)))</f>
        <v>Camberley &amp; District AC</v>
      </c>
      <c r="D250" s="319" t="str">
        <f>IF(ISNA(VLOOKUP(A250,Declarations!B$6:F$185,4,FALSE)),"",IF(VLOOKUP(A250,Declarations!B$6:F$185,4,FALSE)="","---",VLOOKUP(A250,Declarations!B$6:F$185,4,FALSE)))</f>
        <v>BOYS</v>
      </c>
      <c r="E250" s="67"/>
      <c r="F250" s="320"/>
      <c r="G250" s="244" t="s">
        <v>147</v>
      </c>
      <c r="H250" s="320"/>
    </row>
    <row r="251" spans="1:8" ht="19.95" customHeight="1">
      <c r="A251" s="67">
        <v>17</v>
      </c>
      <c r="B251" s="68" t="str">
        <f>IF(ISNA(VLOOKUP(A251,Declarations!B$6:C$185,2,FALSE)),"",IF(VLOOKUP(A251,Declarations!B$6:C$185,2,FALSE)="","---",VLOOKUP(A251,Declarations!B$6:C$185,2,FALSE)))</f>
        <v>FELIX POWERS</v>
      </c>
      <c r="C251" s="68" t="str">
        <f>IF(ISNA(VLOOKUP(A251,Declarations!B$6:F$185,5,FALSE)),"",IF(VLOOKUP(A251,Declarations!B$6:F$185,5,FALSE)="","---",VLOOKUP(A251,Declarations!B$6:F$185,5,FALSE)))</f>
        <v>Camberley &amp; District AC</v>
      </c>
      <c r="D251" s="319" t="str">
        <f>IF(ISNA(VLOOKUP(A251,Declarations!B$6:F$185,4,FALSE)),"",IF(VLOOKUP(A251,Declarations!B$6:F$185,4,FALSE)="","---",VLOOKUP(A251,Declarations!B$6:F$185,4,FALSE)))</f>
        <v>BOYS</v>
      </c>
      <c r="E251" s="67"/>
      <c r="F251" s="320"/>
      <c r="G251" s="244" t="s">
        <v>147</v>
      </c>
      <c r="H251" s="320"/>
    </row>
    <row r="252" spans="1:8" ht="19.95" customHeight="1">
      <c r="A252" s="67">
        <v>18</v>
      </c>
      <c r="B252" s="68" t="str">
        <f>IF(ISNA(VLOOKUP(A252,Declarations!B$6:C$185,2,FALSE)),"",IF(VLOOKUP(A252,Declarations!B$6:C$185,2,FALSE)="","---",VLOOKUP(A252,Declarations!B$6:C$185,2,FALSE)))</f>
        <v>CADEN LUCAS</v>
      </c>
      <c r="C252" s="68" t="str">
        <f>IF(ISNA(VLOOKUP(A252,Declarations!B$6:F$185,5,FALSE)),"",IF(VLOOKUP(A252,Declarations!B$6:F$185,5,FALSE)="","---",VLOOKUP(A252,Declarations!B$6:F$185,5,FALSE)))</f>
        <v>Camberley &amp; District AC</v>
      </c>
      <c r="D252" s="319" t="str">
        <f>IF(ISNA(VLOOKUP(A252,Declarations!B$6:F$185,4,FALSE)),"",IF(VLOOKUP(A252,Declarations!B$6:F$185,4,FALSE)="","---",VLOOKUP(A252,Declarations!B$6:F$185,4,FALSE)))</f>
        <v>BOYS</v>
      </c>
      <c r="E252" s="67"/>
      <c r="F252" s="320"/>
      <c r="G252" s="244" t="s">
        <v>147</v>
      </c>
      <c r="H252" s="320"/>
    </row>
    <row r="253" spans="1:8" ht="19.95" customHeight="1">
      <c r="A253" s="67">
        <v>31</v>
      </c>
      <c r="B253" s="68" t="str">
        <f>IF(ISNA(VLOOKUP(A253,Declarations!B$6:C$185,2,FALSE)),"",IF(VLOOKUP(A253,Declarations!B$6:C$185,2,FALSE)="","---",VLOOKUP(A253,Declarations!B$6:C$185,2,FALSE)))</f>
        <v>OLI THOMPSON</v>
      </c>
      <c r="C253" s="68" t="str">
        <f>IF(ISNA(VLOOKUP(A253,Declarations!B$6:F$185,5,FALSE)),"",IF(VLOOKUP(A253,Declarations!B$6:F$185,5,FALSE)="","---",VLOOKUP(A253,Declarations!B$6:F$185,5,FALSE)))</f>
        <v>Woking AC</v>
      </c>
      <c r="D253" s="319" t="str">
        <f>IF(ISNA(VLOOKUP(A253,Declarations!B$6:F$185,4,FALSE)),"",IF(VLOOKUP(A253,Declarations!B$6:F$185,4,FALSE)="","---",VLOOKUP(A253,Declarations!B$6:F$185,4,FALSE)))</f>
        <v>BOYS</v>
      </c>
      <c r="E253" s="67"/>
      <c r="F253" s="320"/>
      <c r="G253" s="244" t="s">
        <v>147</v>
      </c>
      <c r="H253" s="320"/>
    </row>
    <row r="254" spans="1:8" ht="19.95" customHeight="1">
      <c r="A254" s="67">
        <v>32</v>
      </c>
      <c r="B254" s="68" t="str">
        <f>IF(ISNA(VLOOKUP(A254,Declarations!B$6:C$185,2,FALSE)),"",IF(VLOOKUP(A254,Declarations!B$6:C$185,2,FALSE)="","---",VLOOKUP(A254,Declarations!B$6:C$185,2,FALSE)))</f>
        <v>ISAAC HUTCHISON</v>
      </c>
      <c r="C254" s="68" t="str">
        <f>IF(ISNA(VLOOKUP(A254,Declarations!B$6:F$185,5,FALSE)),"",IF(VLOOKUP(A254,Declarations!B$6:F$185,5,FALSE)="","---",VLOOKUP(A254,Declarations!B$6:F$185,5,FALSE)))</f>
        <v>Woking AC</v>
      </c>
      <c r="D254" s="319" t="str">
        <f>IF(ISNA(VLOOKUP(A254,Declarations!B$6:F$185,4,FALSE)),"",IF(VLOOKUP(A254,Declarations!B$6:F$185,4,FALSE)="","---",VLOOKUP(A254,Declarations!B$6:F$185,4,FALSE)))</f>
        <v>BOYS</v>
      </c>
      <c r="E254" s="67"/>
      <c r="F254" s="320"/>
      <c r="G254" s="244" t="s">
        <v>147</v>
      </c>
      <c r="H254" s="320"/>
    </row>
    <row r="255" spans="1:8" ht="19.95" customHeight="1">
      <c r="A255" s="67">
        <v>33</v>
      </c>
      <c r="B255" s="68" t="str">
        <f>IF(ISNA(VLOOKUP(A255,Declarations!B$6:C$185,2,FALSE)),"",IF(VLOOKUP(A255,Declarations!B$6:C$185,2,FALSE)="","---",VLOOKUP(A255,Declarations!B$6:C$185,2,FALSE)))</f>
        <v>WILLIAM PEARCE</v>
      </c>
      <c r="C255" s="68" t="str">
        <f>IF(ISNA(VLOOKUP(A255,Declarations!B$6:F$185,5,FALSE)),"",IF(VLOOKUP(A255,Declarations!B$6:F$185,5,FALSE)="","---",VLOOKUP(A255,Declarations!B$6:F$185,5,FALSE)))</f>
        <v>Woking AC</v>
      </c>
      <c r="D255" s="319" t="str">
        <f>IF(ISNA(VLOOKUP(A255,Declarations!B$6:F$185,4,FALSE)),"",IF(VLOOKUP(A255,Declarations!B$6:F$185,4,FALSE)="","---",VLOOKUP(A255,Declarations!B$6:F$185,4,FALSE)))</f>
        <v>BOYS</v>
      </c>
      <c r="E255" s="67"/>
      <c r="F255" s="320"/>
      <c r="G255" s="244" t="s">
        <v>147</v>
      </c>
      <c r="H255" s="320"/>
    </row>
    <row r="256" spans="1:8" ht="19.95" customHeight="1">
      <c r="A256" s="67">
        <v>34</v>
      </c>
      <c r="B256" s="68" t="str">
        <f>IF(ISNA(VLOOKUP(A256,Declarations!B$6:C$185,2,FALSE)),"",IF(VLOOKUP(A256,Declarations!B$6:C$185,2,FALSE)="","---",VLOOKUP(A256,Declarations!B$6:C$185,2,FALSE)))</f>
        <v>LOUIS MASON</v>
      </c>
      <c r="C256" s="68" t="str">
        <f>IF(ISNA(VLOOKUP(A256,Declarations!B$6:F$185,5,FALSE)),"",IF(VLOOKUP(A256,Declarations!B$6:F$185,5,FALSE)="","---",VLOOKUP(A256,Declarations!B$6:F$185,5,FALSE)))</f>
        <v>Woking AC</v>
      </c>
      <c r="D256" s="319" t="str">
        <f>IF(ISNA(VLOOKUP(A256,Declarations!B$6:F$185,4,FALSE)),"",IF(VLOOKUP(A256,Declarations!B$6:F$185,4,FALSE)="","---",VLOOKUP(A256,Declarations!B$6:F$185,4,FALSE)))</f>
        <v>BOYS</v>
      </c>
      <c r="E256" s="67"/>
      <c r="F256" s="320"/>
      <c r="G256" s="244" t="s">
        <v>147</v>
      </c>
      <c r="H256" s="320"/>
    </row>
    <row r="257" spans="1:8" ht="19.95" customHeight="1">
      <c r="A257" s="67">
        <v>35</v>
      </c>
      <c r="B257" s="68" t="str">
        <f>IF(ISNA(VLOOKUP(A257,Declarations!B$6:C$185,2,FALSE)),"",IF(VLOOKUP(A257,Declarations!B$6:C$185,2,FALSE)="","---",VLOOKUP(A257,Declarations!B$6:C$185,2,FALSE)))</f>
        <v>MATTHIAS DE PAULA DENS</v>
      </c>
      <c r="C257" s="68" t="str">
        <f>IF(ISNA(VLOOKUP(A257,Declarations!B$6:F$185,5,FALSE)),"",IF(VLOOKUP(A257,Declarations!B$6:F$185,5,FALSE)="","---",VLOOKUP(A257,Declarations!B$6:F$185,5,FALSE)))</f>
        <v>Woking AC</v>
      </c>
      <c r="D257" s="319" t="str">
        <f>IF(ISNA(VLOOKUP(A257,Declarations!B$6:F$185,4,FALSE)),"",IF(VLOOKUP(A257,Declarations!B$6:F$185,4,FALSE)="","---",VLOOKUP(A257,Declarations!B$6:F$185,4,FALSE)))</f>
        <v>BOYS</v>
      </c>
      <c r="E257" s="67"/>
      <c r="F257" s="320"/>
      <c r="G257" s="244" t="s">
        <v>147</v>
      </c>
      <c r="H257" s="320"/>
    </row>
    <row r="258" spans="1:8" ht="19.95" customHeight="1">
      <c r="A258" s="67">
        <v>36</v>
      </c>
      <c r="B258" s="68" t="str">
        <f>IF(ISNA(VLOOKUP(A258,Declarations!B$6:C$185,2,FALSE)),"",IF(VLOOKUP(A258,Declarations!B$6:C$185,2,FALSE)="","---",VLOOKUP(A258,Declarations!B$6:C$185,2,FALSE)))</f>
        <v>KAI TEGG</v>
      </c>
      <c r="C258" s="68" t="str">
        <f>IF(ISNA(VLOOKUP(A258,Declarations!B$6:F$185,5,FALSE)),"",IF(VLOOKUP(A258,Declarations!B$6:F$185,5,FALSE)="","---",VLOOKUP(A258,Declarations!B$6:F$185,5,FALSE)))</f>
        <v>Woking AC</v>
      </c>
      <c r="D258" s="319" t="str">
        <f>IF(ISNA(VLOOKUP(A258,Declarations!B$6:F$185,4,FALSE)),"",IF(VLOOKUP(A258,Declarations!B$6:F$185,4,FALSE)="","---",VLOOKUP(A258,Declarations!B$6:F$185,4,FALSE)))</f>
        <v>BOYS</v>
      </c>
      <c r="E258" s="67"/>
      <c r="F258" s="320"/>
      <c r="G258" s="244" t="s">
        <v>147</v>
      </c>
      <c r="H258" s="320"/>
    </row>
    <row r="259" spans="1:8" ht="19.95" customHeight="1">
      <c r="A259" s="67">
        <v>37</v>
      </c>
      <c r="B259" s="68" t="str">
        <f>IF(ISNA(VLOOKUP(A259,Declarations!B$6:C$185,2,FALSE)),"",IF(VLOOKUP(A259,Declarations!B$6:C$185,2,FALSE)="","---",VLOOKUP(A259,Declarations!B$6:C$185,2,FALSE)))</f>
        <v>ADAM PRICE</v>
      </c>
      <c r="C259" s="68" t="str">
        <f>IF(ISNA(VLOOKUP(A259,Declarations!B$6:F$185,5,FALSE)),"",IF(VLOOKUP(A259,Declarations!B$6:F$185,5,FALSE)="","---",VLOOKUP(A259,Declarations!B$6:F$185,5,FALSE)))</f>
        <v>Woking AC</v>
      </c>
      <c r="D259" s="319" t="str">
        <f>IF(ISNA(VLOOKUP(A259,Declarations!B$6:F$185,4,FALSE)),"",IF(VLOOKUP(A259,Declarations!B$6:F$185,4,FALSE)="","---",VLOOKUP(A259,Declarations!B$6:F$185,4,FALSE)))</f>
        <v>BOYS</v>
      </c>
      <c r="E259" s="67"/>
      <c r="F259" s="320"/>
      <c r="G259" s="244" t="s">
        <v>147</v>
      </c>
      <c r="H259" s="320"/>
    </row>
    <row r="260" spans="1:8" ht="19.95" customHeight="1">
      <c r="A260" s="67">
        <v>38</v>
      </c>
      <c r="B260" s="68" t="str">
        <f>IF(ISNA(VLOOKUP(A260,Declarations!B$6:C$185,2,FALSE)),"",IF(VLOOKUP(A260,Declarations!B$6:C$185,2,FALSE)="","---",VLOOKUP(A260,Declarations!B$6:C$185,2,FALSE)))</f>
        <v>MATTHEW LEWIS</v>
      </c>
      <c r="C260" s="68" t="str">
        <f>IF(ISNA(VLOOKUP(A260,Declarations!B$6:F$185,5,FALSE)),"",IF(VLOOKUP(A260,Declarations!B$6:F$185,5,FALSE)="","---",VLOOKUP(A260,Declarations!B$6:F$185,5,FALSE)))</f>
        <v>Woking AC</v>
      </c>
      <c r="D260" s="319" t="str">
        <f>IF(ISNA(VLOOKUP(A260,Declarations!B$6:F$185,4,FALSE)),"",IF(VLOOKUP(A260,Declarations!B$6:F$185,4,FALSE)="","---",VLOOKUP(A260,Declarations!B$6:F$185,4,FALSE)))</f>
        <v>BOYS</v>
      </c>
      <c r="E260" s="67"/>
      <c r="F260" s="320"/>
      <c r="G260" s="244" t="s">
        <v>147</v>
      </c>
      <c r="H260" s="320"/>
    </row>
    <row r="261" spans="1:8" ht="19.95" customHeight="1">
      <c r="A261" s="67">
        <v>39</v>
      </c>
      <c r="B261" s="68" t="str">
        <f>IF(ISNA(VLOOKUP(A261,Declarations!B$6:C$185,2,FALSE)),"",IF(VLOOKUP(A261,Declarations!B$6:C$185,2,FALSE)="","---",VLOOKUP(A261,Declarations!B$6:C$185,2,FALSE)))</f>
        <v>FREDDIE SMITH</v>
      </c>
      <c r="C261" s="68" t="str">
        <f>IF(ISNA(VLOOKUP(A261,Declarations!B$6:F$185,5,FALSE)),"",IF(VLOOKUP(A261,Declarations!B$6:F$185,5,FALSE)="","---",VLOOKUP(A261,Declarations!B$6:F$185,5,FALSE)))</f>
        <v>Woking AC</v>
      </c>
      <c r="D261" s="319" t="str">
        <f>IF(ISNA(VLOOKUP(A261,Declarations!B$6:F$185,4,FALSE)),"",IF(VLOOKUP(A261,Declarations!B$6:F$185,4,FALSE)="","---",VLOOKUP(A261,Declarations!B$6:F$185,4,FALSE)))</f>
        <v>BOYS</v>
      </c>
      <c r="E261" s="320"/>
      <c r="F261" s="320"/>
      <c r="G261" s="244" t="s">
        <v>147</v>
      </c>
      <c r="H261" s="320"/>
    </row>
    <row r="262" spans="1:8" ht="19.95" customHeight="1">
      <c r="A262" s="67">
        <v>40</v>
      </c>
      <c r="B262" s="68" t="str">
        <f>IF(ISNA(VLOOKUP(A262,Declarations!B$6:C$185,2,FALSE)),"",IF(VLOOKUP(A262,Declarations!B$6:C$185,2,FALSE)="","---",VLOOKUP(A262,Declarations!B$6:C$185,2,FALSE)))</f>
        <v>OWEN BRAYBOOKE</v>
      </c>
      <c r="C262" s="68" t="str">
        <f>IF(ISNA(VLOOKUP(A262,Declarations!B$6:F$185,5,FALSE)),"",IF(VLOOKUP(A262,Declarations!B$6:F$185,5,FALSE)="","---",VLOOKUP(A262,Declarations!B$6:F$185,5,FALSE)))</f>
        <v>Woking AC</v>
      </c>
      <c r="D262" s="319" t="str">
        <f>IF(ISNA(VLOOKUP(A262,Declarations!B$6:F$185,4,FALSE)),"",IF(VLOOKUP(A262,Declarations!B$6:F$185,4,FALSE)="","---",VLOOKUP(A262,Declarations!B$6:F$185,4,FALSE)))</f>
        <v>BOYS</v>
      </c>
      <c r="E262" s="320"/>
      <c r="F262" s="320"/>
      <c r="G262" s="244" t="s">
        <v>147</v>
      </c>
      <c r="H262" s="320"/>
    </row>
    <row r="263" spans="1:8" ht="19.95" customHeight="1">
      <c r="A263" s="67">
        <v>51</v>
      </c>
      <c r="B263" s="68" t="str">
        <f>IF(ISNA(VLOOKUP(A263,Declarations!B$6:C$185,2,FALSE)),"",IF(VLOOKUP(A263,Declarations!B$6:C$185,2,FALSE)="","---",VLOOKUP(A263,Declarations!B$6:C$185,2,FALSE)))</f>
        <v>OSCAR CARTWRIGHT</v>
      </c>
      <c r="C263" s="68" t="str">
        <f>IF(ISNA(VLOOKUP(A263,Declarations!B$6:F$185,5,FALSE)),"",IF(VLOOKUP(A263,Declarations!B$6:F$185,5,FALSE)="","---",VLOOKUP(A263,Declarations!B$6:F$185,5,FALSE)))</f>
        <v>Poole Runners</v>
      </c>
      <c r="D263" s="319" t="str">
        <f>IF(ISNA(VLOOKUP(A263,Declarations!B$6:F$185,4,FALSE)),"",IF(VLOOKUP(A263,Declarations!B$6:F$185,4,FALSE)="","---",VLOOKUP(A263,Declarations!B$6:F$185,4,FALSE)))</f>
        <v>BOYS</v>
      </c>
      <c r="E263" s="320"/>
      <c r="F263" s="320"/>
      <c r="G263" s="244" t="s">
        <v>147</v>
      </c>
      <c r="H263" s="320"/>
    </row>
    <row r="264" spans="1:8" ht="19.95" customHeight="1">
      <c r="A264" s="67">
        <v>52</v>
      </c>
      <c r="B264" s="68" t="str">
        <f>IF(ISNA(VLOOKUP(A264,Declarations!B$6:C$185,2,FALSE)),"",IF(VLOOKUP(A264,Declarations!B$6:C$185,2,FALSE)="","---",VLOOKUP(A264,Declarations!B$6:C$185,2,FALSE)))</f>
        <v>MARLOWE PEACH</v>
      </c>
      <c r="C264" s="68" t="str">
        <f>IF(ISNA(VLOOKUP(A264,Declarations!B$6:F$185,5,FALSE)),"",IF(VLOOKUP(A264,Declarations!B$6:F$185,5,FALSE)="","---",VLOOKUP(A264,Declarations!B$6:F$185,5,FALSE)))</f>
        <v>Poole Runners</v>
      </c>
      <c r="D264" s="319" t="str">
        <f>IF(ISNA(VLOOKUP(A264,Declarations!B$6:F$185,4,FALSE)),"",IF(VLOOKUP(A264,Declarations!B$6:F$185,4,FALSE)="","---",VLOOKUP(A264,Declarations!B$6:F$185,4,FALSE)))</f>
        <v>BOYS</v>
      </c>
      <c r="E264" s="320"/>
      <c r="F264" s="320"/>
      <c r="G264" s="244" t="s">
        <v>147</v>
      </c>
      <c r="H264" s="320"/>
    </row>
    <row r="265" spans="1:8" ht="19.95" customHeight="1">
      <c r="A265" s="67">
        <v>53</v>
      </c>
      <c r="B265" s="68" t="str">
        <f>IF(ISNA(VLOOKUP(A265,Declarations!B$6:C$185,2,FALSE)),"",IF(VLOOKUP(A265,Declarations!B$6:C$185,2,FALSE)="","---",VLOOKUP(A265,Declarations!B$6:C$185,2,FALSE)))</f>
        <v>OAKLEY SHEAN-STEVENS</v>
      </c>
      <c r="C265" s="68" t="str">
        <f>IF(ISNA(VLOOKUP(A265,Declarations!B$6:F$185,5,FALSE)),"",IF(VLOOKUP(A265,Declarations!B$6:F$185,5,FALSE)="","---",VLOOKUP(A265,Declarations!B$6:F$185,5,FALSE)))</f>
        <v>Poole Runners</v>
      </c>
      <c r="D265" s="319" t="str">
        <f>IF(ISNA(VLOOKUP(A265,Declarations!B$6:F$185,4,FALSE)),"",IF(VLOOKUP(A265,Declarations!B$6:F$185,4,FALSE)="","---",VLOOKUP(A265,Declarations!B$6:F$185,4,FALSE)))</f>
        <v>BOYS</v>
      </c>
      <c r="E265" s="320"/>
      <c r="F265" s="320"/>
      <c r="G265" s="244" t="s">
        <v>147</v>
      </c>
      <c r="H265" s="320"/>
    </row>
    <row r="266" spans="1:8" ht="19.95" customHeight="1">
      <c r="A266" s="67">
        <v>54</v>
      </c>
      <c r="B266" s="68" t="str">
        <f>IF(ISNA(VLOOKUP(A266,Declarations!B$6:C$185,2,FALSE)),"",IF(VLOOKUP(A266,Declarations!B$6:C$185,2,FALSE)="","---",VLOOKUP(A266,Declarations!B$6:C$185,2,FALSE)))</f>
        <v>FERGUS STANNING</v>
      </c>
      <c r="C266" s="68" t="str">
        <f>IF(ISNA(VLOOKUP(A266,Declarations!B$6:F$185,5,FALSE)),"",IF(VLOOKUP(A266,Declarations!B$6:F$185,5,FALSE)="","---",VLOOKUP(A266,Declarations!B$6:F$185,5,FALSE)))</f>
        <v>Poole Runners</v>
      </c>
      <c r="D266" s="319" t="str">
        <f>IF(ISNA(VLOOKUP(A266,Declarations!B$6:F$185,4,FALSE)),"",IF(VLOOKUP(A266,Declarations!B$6:F$185,4,FALSE)="","---",VLOOKUP(A266,Declarations!B$6:F$185,4,FALSE)))</f>
        <v>BOYS</v>
      </c>
      <c r="E266" s="320"/>
      <c r="F266" s="320"/>
      <c r="G266" s="244" t="s">
        <v>147</v>
      </c>
      <c r="H266" s="320"/>
    </row>
    <row r="267" spans="1:8" ht="19.95" customHeight="1">
      <c r="A267" s="67">
        <v>55</v>
      </c>
      <c r="B267" s="68" t="str">
        <f>IF(ISNA(VLOOKUP(A267,Declarations!B$6:C$185,2,FALSE)),"",IF(VLOOKUP(A267,Declarations!B$6:C$185,2,FALSE)="","---",VLOOKUP(A267,Declarations!B$6:C$185,2,FALSE)))</f>
        <v>BERTIE LEIGH</v>
      </c>
      <c r="C267" s="68" t="str">
        <f>IF(ISNA(VLOOKUP(A267,Declarations!B$6:F$185,5,FALSE)),"",IF(VLOOKUP(A267,Declarations!B$6:F$185,5,FALSE)="","---",VLOOKUP(A267,Declarations!B$6:F$185,5,FALSE)))</f>
        <v>Poole Runners</v>
      </c>
      <c r="D267" s="319" t="str">
        <f>IF(ISNA(VLOOKUP(A267,Declarations!B$6:F$185,4,FALSE)),"",IF(VLOOKUP(A267,Declarations!B$6:F$185,4,FALSE)="","---",VLOOKUP(A267,Declarations!B$6:F$185,4,FALSE)))</f>
        <v>BOYS</v>
      </c>
      <c r="E267" s="320"/>
      <c r="F267" s="320"/>
      <c r="G267" s="244" t="s">
        <v>147</v>
      </c>
      <c r="H267" s="320"/>
    </row>
    <row r="268" spans="1:8" ht="19.95" customHeight="1">
      <c r="A268" s="67">
        <v>56</v>
      </c>
      <c r="B268" s="68" t="str">
        <f>IF(ISNA(VLOOKUP(A268,Declarations!B$6:C$185,2,FALSE)),"",IF(VLOOKUP(A268,Declarations!B$6:C$185,2,FALSE)="","---",VLOOKUP(A268,Declarations!B$6:C$185,2,FALSE)))</f>
        <v>LEO AMEY</v>
      </c>
      <c r="C268" s="68" t="str">
        <f>IF(ISNA(VLOOKUP(A268,Declarations!B$6:F$185,5,FALSE)),"",IF(VLOOKUP(A268,Declarations!B$6:F$185,5,FALSE)="","---",VLOOKUP(A268,Declarations!B$6:F$185,5,FALSE)))</f>
        <v>Poole Runners</v>
      </c>
      <c r="D268" s="319" t="str">
        <f>IF(ISNA(VLOOKUP(A268,Declarations!B$6:F$185,4,FALSE)),"",IF(VLOOKUP(A268,Declarations!B$6:F$185,4,FALSE)="","---",VLOOKUP(A268,Declarations!B$6:F$185,4,FALSE)))</f>
        <v>BOYS</v>
      </c>
      <c r="E268" s="320"/>
      <c r="F268" s="320"/>
      <c r="G268" s="244" t="s">
        <v>147</v>
      </c>
      <c r="H268" s="320"/>
    </row>
    <row r="269" spans="1:8" ht="19.95" customHeight="1">
      <c r="A269" s="67">
        <v>57</v>
      </c>
      <c r="B269" s="68" t="str">
        <f>IF(ISNA(VLOOKUP(A269,Declarations!B$6:C$185,2,FALSE)),"",IF(VLOOKUP(A269,Declarations!B$6:C$185,2,FALSE)="","---",VLOOKUP(A269,Declarations!B$6:C$185,2,FALSE)))</f>
        <v>SAM SUCKLING</v>
      </c>
      <c r="C269" s="68" t="str">
        <f>IF(ISNA(VLOOKUP(A269,Declarations!B$6:F$185,5,FALSE)),"",IF(VLOOKUP(A269,Declarations!B$6:F$185,5,FALSE)="","---",VLOOKUP(A269,Declarations!B$6:F$185,5,FALSE)))</f>
        <v>Poole Runners</v>
      </c>
      <c r="D269" s="319" t="str">
        <f>IF(ISNA(VLOOKUP(A269,Declarations!B$6:F$185,4,FALSE)),"",IF(VLOOKUP(A269,Declarations!B$6:F$185,4,FALSE)="","---",VLOOKUP(A269,Declarations!B$6:F$185,4,FALSE)))</f>
        <v>BOYS</v>
      </c>
      <c r="E269" s="320"/>
      <c r="F269" s="320"/>
      <c r="G269" s="244" t="s">
        <v>147</v>
      </c>
      <c r="H269" s="320"/>
    </row>
    <row r="270" spans="1:8" ht="19.95" customHeight="1">
      <c r="A270" s="67">
        <v>58</v>
      </c>
      <c r="B270" s="68" t="str">
        <f>IF(ISNA(VLOOKUP(A270,Declarations!B$6:C$185,2,FALSE)),"",IF(VLOOKUP(A270,Declarations!B$6:C$185,2,FALSE)="","---",VLOOKUP(A270,Declarations!B$6:C$185,2,FALSE)))</f>
        <v>FINLAY KENYON</v>
      </c>
      <c r="C270" s="68" t="str">
        <f>IF(ISNA(VLOOKUP(A270,Declarations!B$6:F$185,5,FALSE)),"",IF(VLOOKUP(A270,Declarations!B$6:F$185,5,FALSE)="","---",VLOOKUP(A270,Declarations!B$6:F$185,5,FALSE)))</f>
        <v>Poole Runners</v>
      </c>
      <c r="D270" s="319" t="str">
        <f>IF(ISNA(VLOOKUP(A270,Declarations!B$6:F$185,4,FALSE)),"",IF(VLOOKUP(A270,Declarations!B$6:F$185,4,FALSE)="","---",VLOOKUP(A270,Declarations!B$6:F$185,4,FALSE)))</f>
        <v>BOYS</v>
      </c>
      <c r="E270" s="320"/>
      <c r="F270" s="320"/>
      <c r="G270" s="244" t="s">
        <v>147</v>
      </c>
      <c r="H270" s="320"/>
    </row>
    <row r="271" spans="1:8" ht="19.95" customHeight="1">
      <c r="A271" s="67"/>
      <c r="B271" s="68" t="str">
        <f>IF(ISNA(VLOOKUP(A271,Declarations!B$6:C$185,2,FALSE)),"",IF(VLOOKUP(A271,Declarations!B$6:C$185,2,FALSE)="","---",VLOOKUP(A271,Declarations!B$6:C$185,2,FALSE)))</f>
        <v/>
      </c>
      <c r="C271" s="68" t="str">
        <f>IF(ISNA(VLOOKUP(A271,Declarations!B$6:F$185,5,FALSE)),"",IF(VLOOKUP(A271,Declarations!B$6:F$185,5,FALSE)="","---",VLOOKUP(A271,Declarations!B$6:F$185,5,FALSE)))</f>
        <v/>
      </c>
      <c r="D271" s="319" t="str">
        <f>IF(ISNA(VLOOKUP(A271,Declarations!B$6:F$185,4,FALSE)),"",IF(VLOOKUP(A271,Declarations!B$6:F$185,4,FALSE)="","---",VLOOKUP(A271,Declarations!B$6:F$185,4,FALSE)))</f>
        <v/>
      </c>
      <c r="E271" s="320"/>
      <c r="F271" s="320"/>
      <c r="G271" s="244" t="s">
        <v>147</v>
      </c>
      <c r="H271" s="320"/>
    </row>
    <row r="272" spans="1:8" ht="19.95" customHeight="1">
      <c r="A272" s="67"/>
      <c r="B272" s="68" t="str">
        <f>IF(ISNA(VLOOKUP(A272,Declarations!B$6:C$185,2,FALSE)),"",IF(VLOOKUP(A272,Declarations!B$6:C$185,2,FALSE)="","---",VLOOKUP(A272,Declarations!B$6:C$185,2,FALSE)))</f>
        <v/>
      </c>
      <c r="C272" s="68" t="str">
        <f>IF(ISNA(VLOOKUP(A272,Declarations!B$6:F$185,5,FALSE)),"",IF(VLOOKUP(A272,Declarations!B$6:F$185,5,FALSE)="","---",VLOOKUP(A272,Declarations!B$6:F$185,5,FALSE)))</f>
        <v/>
      </c>
      <c r="D272" s="319" t="str">
        <f>IF(ISNA(VLOOKUP(A272,Declarations!B$6:F$185,4,FALSE)),"",IF(VLOOKUP(A272,Declarations!B$6:F$185,4,FALSE)="","---",VLOOKUP(A272,Declarations!B$6:F$185,4,FALSE)))</f>
        <v/>
      </c>
      <c r="E272" s="320"/>
      <c r="F272" s="320"/>
      <c r="G272" s="244" t="s">
        <v>147</v>
      </c>
      <c r="H272" s="320"/>
    </row>
    <row r="273" spans="1:8" ht="19.95" customHeight="1">
      <c r="A273" s="67"/>
      <c r="B273" s="68" t="str">
        <f>IF(ISNA(VLOOKUP(A273,Declarations!B$6:C$185,2,FALSE)),"",IF(VLOOKUP(A273,Declarations!B$6:C$185,2,FALSE)="","---",VLOOKUP(A273,Declarations!B$6:C$185,2,FALSE)))</f>
        <v/>
      </c>
      <c r="C273" s="68" t="str">
        <f>IF(ISNA(VLOOKUP(A273,Declarations!B$6:F$185,5,FALSE)),"",IF(VLOOKUP(A273,Declarations!B$6:F$185,5,FALSE)="","---",VLOOKUP(A273,Declarations!B$6:F$185,5,FALSE)))</f>
        <v/>
      </c>
      <c r="D273" s="319" t="str">
        <f>IF(ISNA(VLOOKUP(A273,Declarations!B$6:F$185,4,FALSE)),"",IF(VLOOKUP(A273,Declarations!B$6:F$185,4,FALSE)="","---",VLOOKUP(A273,Declarations!B$6:F$185,4,FALSE)))</f>
        <v/>
      </c>
      <c r="E273" s="320"/>
      <c r="F273" s="320"/>
      <c r="G273" s="244" t="s">
        <v>147</v>
      </c>
      <c r="H273" s="320"/>
    </row>
    <row r="274" spans="1:8" ht="19.95" customHeight="1">
      <c r="A274" s="67"/>
      <c r="B274" s="68" t="str">
        <f>IF(ISNA(VLOOKUP(A274,Declarations!B$6:C$185,2,FALSE)),"",IF(VLOOKUP(A274,Declarations!B$6:C$185,2,FALSE)="","---",VLOOKUP(A274,Declarations!B$6:C$185,2,FALSE)))</f>
        <v/>
      </c>
      <c r="C274" s="68" t="str">
        <f>IF(ISNA(VLOOKUP(A274,Declarations!B$6:F$185,5,FALSE)),"",IF(VLOOKUP(A274,Declarations!B$6:F$185,5,FALSE)="","---",VLOOKUP(A274,Declarations!B$6:F$185,5,FALSE)))</f>
        <v/>
      </c>
      <c r="D274" s="319" t="str">
        <f>IF(ISNA(VLOOKUP(A274,Declarations!B$6:F$185,4,FALSE)),"",IF(VLOOKUP(A274,Declarations!B$6:F$185,4,FALSE)="","---",VLOOKUP(A274,Declarations!B$6:F$185,4,FALSE)))</f>
        <v/>
      </c>
      <c r="E274" s="320"/>
      <c r="F274" s="320"/>
      <c r="G274" s="244" t="s">
        <v>147</v>
      </c>
      <c r="H274" s="320"/>
    </row>
    <row r="275" spans="1:8" ht="15.6">
      <c r="A275" s="69"/>
      <c r="B275" s="70"/>
      <c r="C275" s="70"/>
      <c r="D275" s="70"/>
      <c r="E275" s="71"/>
      <c r="F275" s="71"/>
      <c r="G275" s="71"/>
      <c r="H275" s="71"/>
    </row>
    <row r="276" spans="1:8" ht="15.6">
      <c r="A276" s="69"/>
      <c r="B276" s="70"/>
      <c r="C276" s="70"/>
      <c r="D276" s="70"/>
      <c r="E276" s="498" t="s">
        <v>138</v>
      </c>
      <c r="F276" s="498"/>
      <c r="G276" s="490" t="s">
        <v>139</v>
      </c>
      <c r="H276" s="490"/>
    </row>
    <row r="277" spans="1:8" ht="15.6">
      <c r="A277" s="69"/>
      <c r="B277" s="503" t="s">
        <v>148</v>
      </c>
      <c r="C277" s="504"/>
      <c r="D277" s="70"/>
      <c r="E277" s="490"/>
      <c r="F277" s="490"/>
      <c r="G277" s="490"/>
      <c r="H277" s="490"/>
    </row>
    <row r="278" spans="1:8" ht="15.6">
      <c r="A278" s="69"/>
      <c r="B278" s="505"/>
      <c r="C278" s="506"/>
      <c r="D278" s="70"/>
      <c r="E278" s="490"/>
      <c r="F278" s="490"/>
      <c r="G278" s="490"/>
      <c r="H278" s="490"/>
    </row>
    <row r="279" spans="1:8" ht="15.6">
      <c r="A279" s="69"/>
      <c r="B279" s="70"/>
      <c r="C279" s="70"/>
      <c r="D279" s="70"/>
      <c r="E279" s="490"/>
      <c r="F279" s="490"/>
      <c r="G279" s="490"/>
      <c r="H279" s="490"/>
    </row>
    <row r="280" spans="1:8" ht="7.95" customHeight="1">
      <c r="A280" s="69"/>
      <c r="B280" s="70"/>
      <c r="C280" s="70"/>
      <c r="D280" s="70"/>
      <c r="E280" s="71"/>
      <c r="F280" s="71"/>
      <c r="G280" s="71"/>
      <c r="H280" s="71"/>
    </row>
    <row r="281" spans="1:8" ht="20.399999999999999">
      <c r="A281" s="491" t="str">
        <f>'Read Me First'!A1:F1</f>
        <v>Wessex Young Athletes Track and Field League 2026</v>
      </c>
      <c r="B281" s="492"/>
      <c r="C281" s="492"/>
      <c r="D281" s="492"/>
      <c r="E281" s="492"/>
      <c r="F281" s="492"/>
      <c r="G281" s="492"/>
      <c r="H281" s="493"/>
    </row>
    <row r="282" spans="1:8" ht="17.399999999999999">
      <c r="A282" s="60" t="s">
        <v>13</v>
      </c>
      <c r="B282" s="61">
        <f>'Read Me First'!$C$10</f>
        <v>46201</v>
      </c>
      <c r="C282" s="92">
        <v>0.57291666666666663</v>
      </c>
      <c r="D282" s="60" t="s">
        <v>70</v>
      </c>
      <c r="E282" s="494" t="str">
        <f>$E$2</f>
        <v>Camberley &amp; District AC @ Woking</v>
      </c>
      <c r="F282" s="495"/>
      <c r="G282" s="495"/>
      <c r="H282" s="496"/>
    </row>
    <row r="283" spans="1:8" ht="17.399999999999999">
      <c r="A283" s="497" t="s">
        <v>149</v>
      </c>
      <c r="B283" s="497"/>
      <c r="C283" s="497"/>
      <c r="D283" s="497"/>
      <c r="E283" s="59">
        <v>1</v>
      </c>
      <c r="F283" s="59">
        <v>2</v>
      </c>
      <c r="G283" s="59">
        <v>3</v>
      </c>
      <c r="H283" s="59" t="s">
        <v>136</v>
      </c>
    </row>
    <row r="284" spans="1:8" ht="17.399999999999999">
      <c r="A284" s="65"/>
      <c r="B284" s="65"/>
      <c r="C284" s="65"/>
      <c r="D284" s="65"/>
      <c r="E284" s="66"/>
      <c r="F284" s="66"/>
      <c r="G284" s="66"/>
      <c r="H284" s="66"/>
    </row>
    <row r="285" spans="1:8" ht="19.95" customHeight="1">
      <c r="A285" s="67" cm="1">
        <f t="array" ref="A285:A307">IFERROR(_xlfn.TEXTSPLIT(IFERROR(_xlfn.TEXTJOIN(",",TRUE,_xlfn._xlws.FILTER(BlockAllocations!$F$3:$F$20,BlockAllocations!$E$3:$E$20=BlockAllocations!$G$7)),""),,",")+0,"!")</f>
        <v>71</v>
      </c>
      <c r="B285" s="68" t="str">
        <f>IF(ISNA(VLOOKUP(A285,Declarations!B$6:C$185,2,FALSE)),"",IF(VLOOKUP(A285,Declarations!B$6:C$185,2,FALSE)="","---",VLOOKUP(A285,Declarations!B$6:C$185,2,FALSE)))</f>
        <v>JESSE MCDONNELL</v>
      </c>
      <c r="C285" s="68" t="str">
        <f>IF(ISNA(VLOOKUP(A285,Declarations!B$6:F$185,5,FALSE)),"",IF(VLOOKUP(A285,Declarations!B$6:F$185,5,FALSE)="","---",VLOOKUP(A285,Declarations!B$6:F$185,5,FALSE)))</f>
        <v>Fleet &amp; Crookham AC</v>
      </c>
      <c r="D285" s="319" t="str">
        <f>IF(ISNA(VLOOKUP(A285,Declarations!B$6:F$185,4,FALSE)),"",IF(VLOOKUP(A285,Declarations!B$6:F$185,4,FALSE)="","---",VLOOKUP(A285,Declarations!B$6:F$185,4,FALSE)))</f>
        <v>BOYS</v>
      </c>
      <c r="E285" s="67"/>
      <c r="F285" s="320"/>
      <c r="G285" s="244" t="s">
        <v>147</v>
      </c>
      <c r="H285" s="320"/>
    </row>
    <row r="286" spans="1:8" ht="19.95" customHeight="1">
      <c r="A286" s="67">
        <v>72</v>
      </c>
      <c r="B286" s="68" t="str">
        <f>IF(ISNA(VLOOKUP(A286,Declarations!B$6:C$185,2,FALSE)),"",IF(VLOOKUP(A286,Declarations!B$6:C$185,2,FALSE)="","---",VLOOKUP(A286,Declarations!B$6:C$185,2,FALSE)))</f>
        <v>LEVI KIRWAN</v>
      </c>
      <c r="C286" s="68" t="str">
        <f>IF(ISNA(VLOOKUP(A286,Declarations!B$6:F$185,5,FALSE)),"",IF(VLOOKUP(A286,Declarations!B$6:F$185,5,FALSE)="","---",VLOOKUP(A286,Declarations!B$6:F$185,5,FALSE)))</f>
        <v>Fleet &amp; Crookham AC</v>
      </c>
      <c r="D286" s="319" t="str">
        <f>IF(ISNA(VLOOKUP(A286,Declarations!B$6:F$185,4,FALSE)),"",IF(VLOOKUP(A286,Declarations!B$6:F$185,4,FALSE)="","---",VLOOKUP(A286,Declarations!B$6:F$185,4,FALSE)))</f>
        <v>BOYS</v>
      </c>
      <c r="E286" s="67"/>
      <c r="F286" s="320"/>
      <c r="G286" s="244" t="s">
        <v>147</v>
      </c>
      <c r="H286" s="320"/>
    </row>
    <row r="287" spans="1:8" ht="19.95" customHeight="1">
      <c r="A287" s="67">
        <v>73</v>
      </c>
      <c r="B287" s="68" t="str">
        <f>IF(ISNA(VLOOKUP(A287,Declarations!B$6:C$185,2,FALSE)),"",IF(VLOOKUP(A287,Declarations!B$6:C$185,2,FALSE)="","---",VLOOKUP(A287,Declarations!B$6:C$185,2,FALSE)))</f>
        <v>CHARLIE BLACKWELL</v>
      </c>
      <c r="C287" s="68" t="str">
        <f>IF(ISNA(VLOOKUP(A287,Declarations!B$6:F$185,5,FALSE)),"",IF(VLOOKUP(A287,Declarations!B$6:F$185,5,FALSE)="","---",VLOOKUP(A287,Declarations!B$6:F$185,5,FALSE)))</f>
        <v>Fleet &amp; Crookham AC</v>
      </c>
      <c r="D287" s="319" t="str">
        <f>IF(ISNA(VLOOKUP(A287,Declarations!B$6:F$185,4,FALSE)),"",IF(VLOOKUP(A287,Declarations!B$6:F$185,4,FALSE)="","---",VLOOKUP(A287,Declarations!B$6:F$185,4,FALSE)))</f>
        <v>BOYS</v>
      </c>
      <c r="E287" s="67"/>
      <c r="F287" s="320"/>
      <c r="G287" s="244" t="s">
        <v>147</v>
      </c>
      <c r="H287" s="320"/>
    </row>
    <row r="288" spans="1:8" ht="19.95" customHeight="1">
      <c r="A288" s="67">
        <v>74</v>
      </c>
      <c r="B288" s="68" t="str">
        <f>IF(ISNA(VLOOKUP(A288,Declarations!B$6:C$185,2,FALSE)),"",IF(VLOOKUP(A288,Declarations!B$6:C$185,2,FALSE)="","---",VLOOKUP(A288,Declarations!B$6:C$185,2,FALSE)))</f>
        <v>THOMAS MOORE</v>
      </c>
      <c r="C288" s="68" t="str">
        <f>IF(ISNA(VLOOKUP(A288,Declarations!B$6:F$185,5,FALSE)),"",IF(VLOOKUP(A288,Declarations!B$6:F$185,5,FALSE)="","---",VLOOKUP(A288,Declarations!B$6:F$185,5,FALSE)))</f>
        <v>Fleet &amp; Crookham AC</v>
      </c>
      <c r="D288" s="319" t="str">
        <f>IF(ISNA(VLOOKUP(A288,Declarations!B$6:F$185,4,FALSE)),"",IF(VLOOKUP(A288,Declarations!B$6:F$185,4,FALSE)="","---",VLOOKUP(A288,Declarations!B$6:F$185,4,FALSE)))</f>
        <v>BOYS</v>
      </c>
      <c r="E288" s="67"/>
      <c r="F288" s="320"/>
      <c r="G288" s="244" t="s">
        <v>147</v>
      </c>
      <c r="H288" s="320"/>
    </row>
    <row r="289" spans="1:8" ht="19.95" customHeight="1">
      <c r="A289" s="67">
        <v>75</v>
      </c>
      <c r="B289" s="68" t="str">
        <f>IF(ISNA(VLOOKUP(A289,Declarations!B$6:C$185,2,FALSE)),"",IF(VLOOKUP(A289,Declarations!B$6:C$185,2,FALSE)="","---",VLOOKUP(A289,Declarations!B$6:C$185,2,FALSE)))</f>
        <v>MURRAY VOADEN</v>
      </c>
      <c r="C289" s="68" t="str">
        <f>IF(ISNA(VLOOKUP(A289,Declarations!B$6:F$185,5,FALSE)),"",IF(VLOOKUP(A289,Declarations!B$6:F$185,5,FALSE)="","---",VLOOKUP(A289,Declarations!B$6:F$185,5,FALSE)))</f>
        <v>Fleet &amp; Crookham AC</v>
      </c>
      <c r="D289" s="319" t="str">
        <f>IF(ISNA(VLOOKUP(A289,Declarations!B$6:F$185,4,FALSE)),"",IF(VLOOKUP(A289,Declarations!B$6:F$185,4,FALSE)="","---",VLOOKUP(A289,Declarations!B$6:F$185,4,FALSE)))</f>
        <v>BOYS</v>
      </c>
      <c r="E289" s="67"/>
      <c r="F289" s="320"/>
      <c r="G289" s="244" t="s">
        <v>147</v>
      </c>
      <c r="H289" s="320"/>
    </row>
    <row r="290" spans="1:8" ht="19.95" customHeight="1">
      <c r="A290" s="67">
        <v>76</v>
      </c>
      <c r="B290" s="68" t="str">
        <f>IF(ISNA(VLOOKUP(A290,Declarations!B$6:C$185,2,FALSE)),"",IF(VLOOKUP(A290,Declarations!B$6:C$185,2,FALSE)="","---",VLOOKUP(A290,Declarations!B$6:C$185,2,FALSE)))</f>
        <v>DYLAN MARLEY</v>
      </c>
      <c r="C290" s="68" t="str">
        <f>IF(ISNA(VLOOKUP(A290,Declarations!B$6:F$185,5,FALSE)),"",IF(VLOOKUP(A290,Declarations!B$6:F$185,5,FALSE)="","---",VLOOKUP(A290,Declarations!B$6:F$185,5,FALSE)))</f>
        <v>Fleet &amp; Crookham AC</v>
      </c>
      <c r="D290" s="319" t="str">
        <f>IF(ISNA(VLOOKUP(A290,Declarations!B$6:F$185,4,FALSE)),"",IF(VLOOKUP(A290,Declarations!B$6:F$185,4,FALSE)="","---",VLOOKUP(A290,Declarations!B$6:F$185,4,FALSE)))</f>
        <v>BOYS</v>
      </c>
      <c r="E290" s="67"/>
      <c r="F290" s="320"/>
      <c r="G290" s="244" t="s">
        <v>147</v>
      </c>
      <c r="H290" s="320"/>
    </row>
    <row r="291" spans="1:8" ht="19.95" customHeight="1">
      <c r="A291" s="67">
        <v>91</v>
      </c>
      <c r="B291" s="68" t="str">
        <f>IF(ISNA(VLOOKUP(A291,Declarations!B$6:C$185,2,FALSE)),"",IF(VLOOKUP(A291,Declarations!B$6:C$185,2,FALSE)="","---",VLOOKUP(A291,Declarations!B$6:C$185,2,FALSE)))</f>
        <v>NOAH BARKER</v>
      </c>
      <c r="C291" s="68" t="str">
        <f>IF(ISNA(VLOOKUP(A291,Declarations!B$6:F$185,5,FALSE)),"",IF(VLOOKUP(A291,Declarations!B$6:F$185,5,FALSE)="","---",VLOOKUP(A291,Declarations!B$6:F$185,5,FALSE)))</f>
        <v>Waverley Athletics Club</v>
      </c>
      <c r="D291" s="319" t="str">
        <f>IF(ISNA(VLOOKUP(A291,Declarations!B$6:F$185,4,FALSE)),"",IF(VLOOKUP(A291,Declarations!B$6:F$185,4,FALSE)="","---",VLOOKUP(A291,Declarations!B$6:F$185,4,FALSE)))</f>
        <v>BOYS</v>
      </c>
      <c r="E291" s="67"/>
      <c r="F291" s="320"/>
      <c r="G291" s="244" t="s">
        <v>147</v>
      </c>
      <c r="H291" s="320"/>
    </row>
    <row r="292" spans="1:8" ht="19.95" customHeight="1">
      <c r="A292" s="67">
        <v>92</v>
      </c>
      <c r="B292" s="68" t="str">
        <f>IF(ISNA(VLOOKUP(A292,Declarations!B$6:C$185,2,FALSE)),"",IF(VLOOKUP(A292,Declarations!B$6:C$185,2,FALSE)="","---",VLOOKUP(A292,Declarations!B$6:C$185,2,FALSE)))</f>
        <v>BLAKE BARNES</v>
      </c>
      <c r="C292" s="68" t="str">
        <f>IF(ISNA(VLOOKUP(A292,Declarations!B$6:F$185,5,FALSE)),"",IF(VLOOKUP(A292,Declarations!B$6:F$185,5,FALSE)="","---",VLOOKUP(A292,Declarations!B$6:F$185,5,FALSE)))</f>
        <v>Waverley Athletics Club</v>
      </c>
      <c r="D292" s="319" t="str">
        <f>IF(ISNA(VLOOKUP(A292,Declarations!B$6:F$185,4,FALSE)),"",IF(VLOOKUP(A292,Declarations!B$6:F$185,4,FALSE)="","---",VLOOKUP(A292,Declarations!B$6:F$185,4,FALSE)))</f>
        <v>BOYS</v>
      </c>
      <c r="E292" s="67"/>
      <c r="F292" s="320"/>
      <c r="G292" s="244" t="s">
        <v>147</v>
      </c>
      <c r="H292" s="320"/>
    </row>
    <row r="293" spans="1:8" ht="19.95" customHeight="1">
      <c r="A293" s="67">
        <v>93</v>
      </c>
      <c r="B293" s="68" t="str">
        <f>IF(ISNA(VLOOKUP(A293,Declarations!B$6:C$185,2,FALSE)),"",IF(VLOOKUP(A293,Declarations!B$6:C$185,2,FALSE)="","---",VLOOKUP(A293,Declarations!B$6:C$185,2,FALSE)))</f>
        <v>BEN QUICK</v>
      </c>
      <c r="C293" s="68" t="str">
        <f>IF(ISNA(VLOOKUP(A293,Declarations!B$6:F$185,5,FALSE)),"",IF(VLOOKUP(A293,Declarations!B$6:F$185,5,FALSE)="","---",VLOOKUP(A293,Declarations!B$6:F$185,5,FALSE)))</f>
        <v>Waverley Athletics Club</v>
      </c>
      <c r="D293" s="319" t="str">
        <f>IF(ISNA(VLOOKUP(A293,Declarations!B$6:F$185,4,FALSE)),"",IF(VLOOKUP(A293,Declarations!B$6:F$185,4,FALSE)="","---",VLOOKUP(A293,Declarations!B$6:F$185,4,FALSE)))</f>
        <v>BOYS</v>
      </c>
      <c r="E293" s="67"/>
      <c r="F293" s="320"/>
      <c r="G293" s="244" t="s">
        <v>147</v>
      </c>
      <c r="H293" s="320"/>
    </row>
    <row r="294" spans="1:8" ht="19.95" customHeight="1">
      <c r="A294" s="67">
        <v>94</v>
      </c>
      <c r="B294" s="68" t="str">
        <f>IF(ISNA(VLOOKUP(A294,Declarations!B$6:C$185,2,FALSE)),"",IF(VLOOKUP(A294,Declarations!B$6:C$185,2,FALSE)="","---",VLOOKUP(A294,Declarations!B$6:C$185,2,FALSE)))</f>
        <v>DANIEL BURKE</v>
      </c>
      <c r="C294" s="68" t="str">
        <f>IF(ISNA(VLOOKUP(A294,Declarations!B$6:F$185,5,FALSE)),"",IF(VLOOKUP(A294,Declarations!B$6:F$185,5,FALSE)="","---",VLOOKUP(A294,Declarations!B$6:F$185,5,FALSE)))</f>
        <v>Waverley Athletics Club</v>
      </c>
      <c r="D294" s="319" t="str">
        <f>IF(ISNA(VLOOKUP(A294,Declarations!B$6:F$185,4,FALSE)),"",IF(VLOOKUP(A294,Declarations!B$6:F$185,4,FALSE)="","---",VLOOKUP(A294,Declarations!B$6:F$185,4,FALSE)))</f>
        <v>BOYS</v>
      </c>
      <c r="E294" s="67"/>
      <c r="F294" s="320"/>
      <c r="G294" s="244" t="s">
        <v>147</v>
      </c>
      <c r="H294" s="320"/>
    </row>
    <row r="295" spans="1:8" ht="19.95" customHeight="1">
      <c r="A295" s="67">
        <v>95</v>
      </c>
      <c r="B295" s="68" t="str">
        <f>IF(ISNA(VLOOKUP(A295,Declarations!B$6:C$185,2,FALSE)),"",IF(VLOOKUP(A295,Declarations!B$6:C$185,2,FALSE)="","---",VLOOKUP(A295,Declarations!B$6:C$185,2,FALSE)))</f>
        <v>LEONARDO OLALEMI</v>
      </c>
      <c r="C295" s="68" t="str">
        <f>IF(ISNA(VLOOKUP(A295,Declarations!B$6:F$185,5,FALSE)),"",IF(VLOOKUP(A295,Declarations!B$6:F$185,5,FALSE)="","---",VLOOKUP(A295,Declarations!B$6:F$185,5,FALSE)))</f>
        <v>Waverley Athletics Club</v>
      </c>
      <c r="D295" s="319" t="str">
        <f>IF(ISNA(VLOOKUP(A295,Declarations!B$6:F$185,4,FALSE)),"",IF(VLOOKUP(A295,Declarations!B$6:F$185,4,FALSE)="","---",VLOOKUP(A295,Declarations!B$6:F$185,4,FALSE)))</f>
        <v>BOYS</v>
      </c>
      <c r="E295" s="67"/>
      <c r="F295" s="320"/>
      <c r="G295" s="244" t="s">
        <v>147</v>
      </c>
      <c r="H295" s="320"/>
    </row>
    <row r="296" spans="1:8" ht="19.95" customHeight="1">
      <c r="A296" s="67">
        <v>96</v>
      </c>
      <c r="B296" s="68" t="str">
        <f>IF(ISNA(VLOOKUP(A296,Declarations!B$6:C$185,2,FALSE)),"",IF(VLOOKUP(A296,Declarations!B$6:C$185,2,FALSE)="","---",VLOOKUP(A296,Declarations!B$6:C$185,2,FALSE)))</f>
        <v>TADHG WATSON</v>
      </c>
      <c r="C296" s="68" t="str">
        <f>IF(ISNA(VLOOKUP(A296,Declarations!B$6:F$185,5,FALSE)),"",IF(VLOOKUP(A296,Declarations!B$6:F$185,5,FALSE)="","---",VLOOKUP(A296,Declarations!B$6:F$185,5,FALSE)))</f>
        <v>Waverley Athletics Club</v>
      </c>
      <c r="D296" s="319" t="str">
        <f>IF(ISNA(VLOOKUP(A296,Declarations!B$6:F$185,4,FALSE)),"",IF(VLOOKUP(A296,Declarations!B$6:F$185,4,FALSE)="","---",VLOOKUP(A296,Declarations!B$6:F$185,4,FALSE)))</f>
        <v>BOYS</v>
      </c>
      <c r="E296" s="67"/>
      <c r="F296" s="320"/>
      <c r="G296" s="244" t="s">
        <v>147</v>
      </c>
      <c r="H296" s="320"/>
    </row>
    <row r="297" spans="1:8" ht="19.95" customHeight="1">
      <c r="A297" s="67">
        <v>97</v>
      </c>
      <c r="B297" s="68" t="str">
        <f>IF(ISNA(VLOOKUP(A297,Declarations!B$6:C$185,2,FALSE)),"",IF(VLOOKUP(A297,Declarations!B$6:C$185,2,FALSE)="","---",VLOOKUP(A297,Declarations!B$6:C$185,2,FALSE)))</f>
        <v>STAN CLIPSHAM</v>
      </c>
      <c r="C297" s="68" t="str">
        <f>IF(ISNA(VLOOKUP(A297,Declarations!B$6:F$185,5,FALSE)),"",IF(VLOOKUP(A297,Declarations!B$6:F$185,5,FALSE)="","---",VLOOKUP(A297,Declarations!B$6:F$185,5,FALSE)))</f>
        <v>Waverley Athletics Club</v>
      </c>
      <c r="D297" s="319" t="str">
        <f>IF(ISNA(VLOOKUP(A297,Declarations!B$6:F$185,4,FALSE)),"",IF(VLOOKUP(A297,Declarations!B$6:F$185,4,FALSE)="","---",VLOOKUP(A297,Declarations!B$6:F$185,4,FALSE)))</f>
        <v>BOYS</v>
      </c>
      <c r="E297" s="67"/>
      <c r="F297" s="320"/>
      <c r="G297" s="244" t="s">
        <v>147</v>
      </c>
      <c r="H297" s="320"/>
    </row>
    <row r="298" spans="1:8" ht="19.95" customHeight="1">
      <c r="A298" s="67">
        <v>111</v>
      </c>
      <c r="B298" s="68" t="str">
        <f>IF(ISNA(VLOOKUP(A298,Declarations!B$6:C$185,2,FALSE)),"",IF(VLOOKUP(A298,Declarations!B$6:C$185,2,FALSE)="","---",VLOOKUP(A298,Declarations!B$6:C$185,2,FALSE)))</f>
        <v>JENSON PROUT</v>
      </c>
      <c r="C298" s="68" t="str">
        <f>IF(ISNA(VLOOKUP(A298,Declarations!B$6:F$185,5,FALSE)),"",IF(VLOOKUP(A298,Declarations!B$6:F$185,5,FALSE)="","---",VLOOKUP(A298,Declarations!B$6:F$185,5,FALSE)))</f>
        <v>Basingstoke &amp; Mid Hants AC</v>
      </c>
      <c r="D298" s="319" t="str">
        <f>IF(ISNA(VLOOKUP(A298,Declarations!B$6:F$185,4,FALSE)),"",IF(VLOOKUP(A298,Declarations!B$6:F$185,4,FALSE)="","---",VLOOKUP(A298,Declarations!B$6:F$185,4,FALSE)))</f>
        <v>BOYS</v>
      </c>
      <c r="E298" s="67"/>
      <c r="F298" s="320"/>
      <c r="G298" s="244" t="s">
        <v>147</v>
      </c>
      <c r="H298" s="320"/>
    </row>
    <row r="299" spans="1:8" ht="19.95" customHeight="1">
      <c r="A299" s="67">
        <v>112</v>
      </c>
      <c r="B299" s="68" t="str">
        <f>IF(ISNA(VLOOKUP(A299,Declarations!B$6:C$185,2,FALSE)),"",IF(VLOOKUP(A299,Declarations!B$6:C$185,2,FALSE)="","---",VLOOKUP(A299,Declarations!B$6:C$185,2,FALSE)))</f>
        <v>NOAH GRAHAM</v>
      </c>
      <c r="C299" s="68" t="str">
        <f>IF(ISNA(VLOOKUP(A299,Declarations!B$6:F$185,5,FALSE)),"",IF(VLOOKUP(A299,Declarations!B$6:F$185,5,FALSE)="","---",VLOOKUP(A299,Declarations!B$6:F$185,5,FALSE)))</f>
        <v>Basingstoke &amp; Mid Hants AC</v>
      </c>
      <c r="D299" s="319" t="str">
        <f>IF(ISNA(VLOOKUP(A299,Declarations!B$6:F$185,4,FALSE)),"",IF(VLOOKUP(A299,Declarations!B$6:F$185,4,FALSE)="","---",VLOOKUP(A299,Declarations!B$6:F$185,4,FALSE)))</f>
        <v>BOYS</v>
      </c>
      <c r="E299" s="67"/>
      <c r="F299" s="320"/>
      <c r="G299" s="244" t="s">
        <v>147</v>
      </c>
      <c r="H299" s="320"/>
    </row>
    <row r="300" spans="1:8" ht="19.95" customHeight="1">
      <c r="A300" s="67">
        <v>113</v>
      </c>
      <c r="B300" s="68" t="str">
        <f>IF(ISNA(VLOOKUP(A300,Declarations!B$6:C$185,2,FALSE)),"",IF(VLOOKUP(A300,Declarations!B$6:C$185,2,FALSE)="","---",VLOOKUP(A300,Declarations!B$6:C$185,2,FALSE)))</f>
        <v>ROME ALEXANDER SOLOMAN</v>
      </c>
      <c r="C300" s="68" t="str">
        <f>IF(ISNA(VLOOKUP(A300,Declarations!B$6:F$185,5,FALSE)),"",IF(VLOOKUP(A300,Declarations!B$6:F$185,5,FALSE)="","---",VLOOKUP(A300,Declarations!B$6:F$185,5,FALSE)))</f>
        <v>Basingstoke &amp; Mid Hants AC</v>
      </c>
      <c r="D300" s="319" t="str">
        <f>IF(ISNA(VLOOKUP(A300,Declarations!B$6:F$185,4,FALSE)),"",IF(VLOOKUP(A300,Declarations!B$6:F$185,4,FALSE)="","---",VLOOKUP(A300,Declarations!B$6:F$185,4,FALSE)))</f>
        <v>BOYS</v>
      </c>
      <c r="E300" s="67"/>
      <c r="F300" s="320"/>
      <c r="G300" s="244" t="s">
        <v>147</v>
      </c>
      <c r="H300" s="320"/>
    </row>
    <row r="301" spans="1:8" ht="19.95" customHeight="1">
      <c r="A301" s="67">
        <v>114</v>
      </c>
      <c r="B301" s="68" t="str">
        <f>IF(ISNA(VLOOKUP(A301,Declarations!B$6:C$185,2,FALSE)),"",IF(VLOOKUP(A301,Declarations!B$6:C$185,2,FALSE)="","---",VLOOKUP(A301,Declarations!B$6:C$185,2,FALSE)))</f>
        <v>ISAAC STEWART</v>
      </c>
      <c r="C301" s="68" t="str">
        <f>IF(ISNA(VLOOKUP(A301,Declarations!B$6:F$185,5,FALSE)),"",IF(VLOOKUP(A301,Declarations!B$6:F$185,5,FALSE)="","---",VLOOKUP(A301,Declarations!B$6:F$185,5,FALSE)))</f>
        <v>Basingstoke &amp; Mid Hants AC</v>
      </c>
      <c r="D301" s="319" t="str">
        <f>IF(ISNA(VLOOKUP(A301,Declarations!B$6:F$185,4,FALSE)),"",IF(VLOOKUP(A301,Declarations!B$6:F$185,4,FALSE)="","---",VLOOKUP(A301,Declarations!B$6:F$185,4,FALSE)))</f>
        <v>BOYS</v>
      </c>
      <c r="E301" s="320"/>
      <c r="F301" s="320"/>
      <c r="G301" s="244" t="s">
        <v>147</v>
      </c>
      <c r="H301" s="320"/>
    </row>
    <row r="302" spans="1:8" ht="19.95" customHeight="1">
      <c r="A302" s="67">
        <v>115</v>
      </c>
      <c r="B302" s="68" t="str">
        <f>IF(ISNA(VLOOKUP(A302,Declarations!B$6:C$185,2,FALSE)),"",IF(VLOOKUP(A302,Declarations!B$6:C$185,2,FALSE)="","---",VLOOKUP(A302,Declarations!B$6:C$185,2,FALSE)))</f>
        <v>ELLIOTT LEAVEY</v>
      </c>
      <c r="C302" s="68" t="str">
        <f>IF(ISNA(VLOOKUP(A302,Declarations!B$6:F$185,5,FALSE)),"",IF(VLOOKUP(A302,Declarations!B$6:F$185,5,FALSE)="","---",VLOOKUP(A302,Declarations!B$6:F$185,5,FALSE)))</f>
        <v>Basingstoke &amp; Mid Hants AC</v>
      </c>
      <c r="D302" s="319" t="str">
        <f>IF(ISNA(VLOOKUP(A302,Declarations!B$6:F$185,4,FALSE)),"",IF(VLOOKUP(A302,Declarations!B$6:F$185,4,FALSE)="","---",VLOOKUP(A302,Declarations!B$6:F$185,4,FALSE)))</f>
        <v>BOYS</v>
      </c>
      <c r="E302" s="320"/>
      <c r="F302" s="320"/>
      <c r="G302" s="244" t="s">
        <v>147</v>
      </c>
      <c r="H302" s="320"/>
    </row>
    <row r="303" spans="1:8" ht="19.95" customHeight="1">
      <c r="A303" s="67">
        <v>116</v>
      </c>
      <c r="B303" s="68" t="str">
        <f>IF(ISNA(VLOOKUP(A303,Declarations!B$6:C$185,2,FALSE)),"",IF(VLOOKUP(A303,Declarations!B$6:C$185,2,FALSE)="","---",VLOOKUP(A303,Declarations!B$6:C$185,2,FALSE)))</f>
        <v>MYLES GODDARD</v>
      </c>
      <c r="C303" s="68" t="str">
        <f>IF(ISNA(VLOOKUP(A303,Declarations!B$6:F$185,5,FALSE)),"",IF(VLOOKUP(A303,Declarations!B$6:F$185,5,FALSE)="","---",VLOOKUP(A303,Declarations!B$6:F$185,5,FALSE)))</f>
        <v>Basingstoke &amp; Mid Hants AC</v>
      </c>
      <c r="D303" s="319" t="str">
        <f>IF(ISNA(VLOOKUP(A303,Declarations!B$6:F$185,4,FALSE)),"",IF(VLOOKUP(A303,Declarations!B$6:F$185,4,FALSE)="","---",VLOOKUP(A303,Declarations!B$6:F$185,4,FALSE)))</f>
        <v>BOYS</v>
      </c>
      <c r="E303" s="320"/>
      <c r="F303" s="320"/>
      <c r="G303" s="244" t="s">
        <v>147</v>
      </c>
      <c r="H303" s="320"/>
    </row>
    <row r="304" spans="1:8" ht="19.95" customHeight="1">
      <c r="A304" s="67">
        <v>117</v>
      </c>
      <c r="B304" s="68" t="str">
        <f>IF(ISNA(VLOOKUP(A304,Declarations!B$6:C$185,2,FALSE)),"",IF(VLOOKUP(A304,Declarations!B$6:C$185,2,FALSE)="","---",VLOOKUP(A304,Declarations!B$6:C$185,2,FALSE)))</f>
        <v>JAY GOVIND</v>
      </c>
      <c r="C304" s="68" t="str">
        <f>IF(ISNA(VLOOKUP(A304,Declarations!B$6:F$185,5,FALSE)),"",IF(VLOOKUP(A304,Declarations!B$6:F$185,5,FALSE)="","---",VLOOKUP(A304,Declarations!B$6:F$185,5,FALSE)))</f>
        <v>Basingstoke &amp; Mid Hants AC</v>
      </c>
      <c r="D304" s="319" t="str">
        <f>IF(ISNA(VLOOKUP(A304,Declarations!B$6:F$185,4,FALSE)),"",IF(VLOOKUP(A304,Declarations!B$6:F$185,4,FALSE)="","---",VLOOKUP(A304,Declarations!B$6:F$185,4,FALSE)))</f>
        <v>BOYS</v>
      </c>
      <c r="E304" s="320"/>
      <c r="F304" s="320"/>
      <c r="G304" s="244" t="s">
        <v>147</v>
      </c>
      <c r="H304" s="320"/>
    </row>
    <row r="305" spans="1:8" ht="19.95" customHeight="1">
      <c r="A305" s="67">
        <v>118</v>
      </c>
      <c r="B305" s="68" t="str">
        <f>IF(ISNA(VLOOKUP(A305,Declarations!B$6:C$185,2,FALSE)),"",IF(VLOOKUP(A305,Declarations!B$6:C$185,2,FALSE)="","---",VLOOKUP(A305,Declarations!B$6:C$185,2,FALSE)))</f>
        <v>TOBY POWELL</v>
      </c>
      <c r="C305" s="68" t="str">
        <f>IF(ISNA(VLOOKUP(A305,Declarations!B$6:F$185,5,FALSE)),"",IF(VLOOKUP(A305,Declarations!B$6:F$185,5,FALSE)="","---",VLOOKUP(A305,Declarations!B$6:F$185,5,FALSE)))</f>
        <v>Basingstoke &amp; Mid Hants AC</v>
      </c>
      <c r="D305" s="319" t="str">
        <f>IF(ISNA(VLOOKUP(A305,Declarations!B$6:F$185,4,FALSE)),"",IF(VLOOKUP(A305,Declarations!B$6:F$185,4,FALSE)="","---",VLOOKUP(A305,Declarations!B$6:F$185,4,FALSE)))</f>
        <v>BOYS</v>
      </c>
      <c r="E305" s="320"/>
      <c r="F305" s="320"/>
      <c r="G305" s="244" t="s">
        <v>147</v>
      </c>
      <c r="H305" s="320"/>
    </row>
    <row r="306" spans="1:8" ht="19.95" customHeight="1">
      <c r="A306" s="67">
        <v>119</v>
      </c>
      <c r="B306" s="68" t="str">
        <f>IF(ISNA(VLOOKUP(A306,Declarations!B$6:C$185,2,FALSE)),"",IF(VLOOKUP(A306,Declarations!B$6:C$185,2,FALSE)="","---",VLOOKUP(A306,Declarations!B$6:C$185,2,FALSE)))</f>
        <v>ALEX WILKINSON</v>
      </c>
      <c r="C306" s="68" t="str">
        <f>IF(ISNA(VLOOKUP(A306,Declarations!B$6:F$185,5,FALSE)),"",IF(VLOOKUP(A306,Declarations!B$6:F$185,5,FALSE)="","---",VLOOKUP(A306,Declarations!B$6:F$185,5,FALSE)))</f>
        <v>Basingstoke &amp; Mid Hants AC</v>
      </c>
      <c r="D306" s="319" t="str">
        <f>IF(ISNA(VLOOKUP(A306,Declarations!B$6:F$185,4,FALSE)),"",IF(VLOOKUP(A306,Declarations!B$6:F$185,4,FALSE)="","---",VLOOKUP(A306,Declarations!B$6:F$185,4,FALSE)))</f>
        <v>BOYS</v>
      </c>
      <c r="E306" s="320"/>
      <c r="F306" s="320"/>
      <c r="G306" s="244" t="s">
        <v>147</v>
      </c>
      <c r="H306" s="320"/>
    </row>
    <row r="307" spans="1:8" ht="19.95" customHeight="1">
      <c r="A307" s="67">
        <v>120</v>
      </c>
      <c r="B307" s="68" t="str">
        <f>IF(ISNA(VLOOKUP(A307,Declarations!B$6:C$185,2,FALSE)),"",IF(VLOOKUP(A307,Declarations!B$6:C$185,2,FALSE)="","---",VLOOKUP(A307,Declarations!B$6:C$185,2,FALSE)))</f>
        <v>ETHAN WEIGHT</v>
      </c>
      <c r="C307" s="68" t="str">
        <f>IF(ISNA(VLOOKUP(A307,Declarations!B$6:F$185,5,FALSE)),"",IF(VLOOKUP(A307,Declarations!B$6:F$185,5,FALSE)="","---",VLOOKUP(A307,Declarations!B$6:F$185,5,FALSE)))</f>
        <v>Basingstoke &amp; Mid Hants AC</v>
      </c>
      <c r="D307" s="319" t="str">
        <f>IF(ISNA(VLOOKUP(A307,Declarations!B$6:F$185,4,FALSE)),"",IF(VLOOKUP(A307,Declarations!B$6:F$185,4,FALSE)="","---",VLOOKUP(A307,Declarations!B$6:F$185,4,FALSE)))</f>
        <v>BOYS</v>
      </c>
      <c r="E307" s="320"/>
      <c r="F307" s="320"/>
      <c r="G307" s="244" t="s">
        <v>147</v>
      </c>
      <c r="H307" s="320"/>
    </row>
    <row r="308" spans="1:8" ht="19.95" customHeight="1">
      <c r="A308" s="67"/>
      <c r="B308" s="68" t="str">
        <f>IF(ISNA(VLOOKUP(A308,Declarations!B$6:C$185,2,FALSE)),"",IF(VLOOKUP(A308,Declarations!B$6:C$185,2,FALSE)="","---",VLOOKUP(A308,Declarations!B$6:C$185,2,FALSE)))</f>
        <v/>
      </c>
      <c r="C308" s="68" t="str">
        <f>IF(ISNA(VLOOKUP(A308,Declarations!B$6:F$185,5,FALSE)),"",IF(VLOOKUP(A308,Declarations!B$6:F$185,5,FALSE)="","---",VLOOKUP(A308,Declarations!B$6:F$185,5,FALSE)))</f>
        <v/>
      </c>
      <c r="D308" s="319" t="str">
        <f>IF(ISNA(VLOOKUP(A308,Declarations!B$6:F$185,4,FALSE)),"",IF(VLOOKUP(A308,Declarations!B$6:F$185,4,FALSE)="","---",VLOOKUP(A308,Declarations!B$6:F$185,4,FALSE)))</f>
        <v/>
      </c>
      <c r="E308" s="320"/>
      <c r="F308" s="320"/>
      <c r="G308" s="244" t="s">
        <v>147</v>
      </c>
      <c r="H308" s="320"/>
    </row>
    <row r="309" spans="1:8" ht="19.95" customHeight="1">
      <c r="A309" s="67"/>
      <c r="B309" s="68" t="str">
        <f>IF(ISNA(VLOOKUP(A309,Declarations!B$6:C$185,2,FALSE)),"",IF(VLOOKUP(A309,Declarations!B$6:C$185,2,FALSE)="","---",VLOOKUP(A309,Declarations!B$6:C$185,2,FALSE)))</f>
        <v/>
      </c>
      <c r="C309" s="68" t="str">
        <f>IF(ISNA(VLOOKUP(A309,Declarations!B$6:F$185,5,FALSE)),"",IF(VLOOKUP(A309,Declarations!B$6:F$185,5,FALSE)="","---",VLOOKUP(A309,Declarations!B$6:F$185,5,FALSE)))</f>
        <v/>
      </c>
      <c r="D309" s="319" t="str">
        <f>IF(ISNA(VLOOKUP(A309,Declarations!B$6:F$185,4,FALSE)),"",IF(VLOOKUP(A309,Declarations!B$6:F$185,4,FALSE)="","---",VLOOKUP(A309,Declarations!B$6:F$185,4,FALSE)))</f>
        <v/>
      </c>
      <c r="E309" s="320"/>
      <c r="F309" s="320"/>
      <c r="G309" s="244" t="s">
        <v>147</v>
      </c>
      <c r="H309" s="320"/>
    </row>
    <row r="310" spans="1:8" ht="19.95" customHeight="1">
      <c r="A310" s="67"/>
      <c r="B310" s="68" t="str">
        <f>IF(ISNA(VLOOKUP(A310,Declarations!B$6:C$185,2,FALSE)),"",IF(VLOOKUP(A310,Declarations!B$6:C$185,2,FALSE)="","---",VLOOKUP(A310,Declarations!B$6:C$185,2,FALSE)))</f>
        <v/>
      </c>
      <c r="C310" s="68" t="str">
        <f>IF(ISNA(VLOOKUP(A310,Declarations!B$6:F$185,5,FALSE)),"",IF(VLOOKUP(A310,Declarations!B$6:F$185,5,FALSE)="","---",VLOOKUP(A310,Declarations!B$6:F$185,5,FALSE)))</f>
        <v/>
      </c>
      <c r="D310" s="319" t="str">
        <f>IF(ISNA(VLOOKUP(A310,Declarations!B$6:F$185,4,FALSE)),"",IF(VLOOKUP(A310,Declarations!B$6:F$185,4,FALSE)="","---",VLOOKUP(A310,Declarations!B$6:F$185,4,FALSE)))</f>
        <v/>
      </c>
      <c r="E310" s="320"/>
      <c r="F310" s="320"/>
      <c r="G310" s="244" t="s">
        <v>147</v>
      </c>
      <c r="H310" s="320"/>
    </row>
    <row r="311" spans="1:8" ht="19.95" customHeight="1">
      <c r="A311" s="67"/>
      <c r="B311" s="68" t="str">
        <f>IF(ISNA(VLOOKUP(A311,Declarations!B$6:C$185,2,FALSE)),"",IF(VLOOKUP(A311,Declarations!B$6:C$185,2,FALSE)="","---",VLOOKUP(A311,Declarations!B$6:C$185,2,FALSE)))</f>
        <v/>
      </c>
      <c r="C311" s="68" t="str">
        <f>IF(ISNA(VLOOKUP(A311,Declarations!B$6:F$185,5,FALSE)),"",IF(VLOOKUP(A311,Declarations!B$6:F$185,5,FALSE)="","---",VLOOKUP(A311,Declarations!B$6:F$185,5,FALSE)))</f>
        <v/>
      </c>
      <c r="D311" s="319" t="str">
        <f>IF(ISNA(VLOOKUP(A311,Declarations!B$6:F$185,4,FALSE)),"",IF(VLOOKUP(A311,Declarations!B$6:F$185,4,FALSE)="","---",VLOOKUP(A311,Declarations!B$6:F$185,4,FALSE)))</f>
        <v/>
      </c>
      <c r="E311" s="320"/>
      <c r="F311" s="320"/>
      <c r="G311" s="244" t="s">
        <v>147</v>
      </c>
      <c r="H311" s="320"/>
    </row>
    <row r="312" spans="1:8" ht="19.95" customHeight="1">
      <c r="A312" s="67"/>
      <c r="B312" s="68" t="str">
        <f>IF(ISNA(VLOOKUP(A312,Declarations!B$6:C$185,2,FALSE)),"",IF(VLOOKUP(A312,Declarations!B$6:C$185,2,FALSE)="","---",VLOOKUP(A312,Declarations!B$6:C$185,2,FALSE)))</f>
        <v/>
      </c>
      <c r="C312" s="68" t="str">
        <f>IF(ISNA(VLOOKUP(A312,Declarations!B$6:F$185,5,FALSE)),"",IF(VLOOKUP(A312,Declarations!B$6:F$185,5,FALSE)="","---",VLOOKUP(A312,Declarations!B$6:F$185,5,FALSE)))</f>
        <v/>
      </c>
      <c r="D312" s="319" t="str">
        <f>IF(ISNA(VLOOKUP(A312,Declarations!B$6:F$185,4,FALSE)),"",IF(VLOOKUP(A312,Declarations!B$6:F$185,4,FALSE)="","---",VLOOKUP(A312,Declarations!B$6:F$185,4,FALSE)))</f>
        <v/>
      </c>
      <c r="E312" s="320"/>
      <c r="F312" s="320"/>
      <c r="G312" s="244" t="s">
        <v>147</v>
      </c>
      <c r="H312" s="320"/>
    </row>
    <row r="313" spans="1:8" ht="19.95" customHeight="1">
      <c r="A313" s="67"/>
      <c r="B313" s="68" t="str">
        <f>IF(ISNA(VLOOKUP(A313,Declarations!B$6:C$185,2,FALSE)),"",IF(VLOOKUP(A313,Declarations!B$6:C$185,2,FALSE)="","---",VLOOKUP(A313,Declarations!B$6:C$185,2,FALSE)))</f>
        <v/>
      </c>
      <c r="C313" s="68" t="str">
        <f>IF(ISNA(VLOOKUP(A313,Declarations!B$6:F$185,5,FALSE)),"",IF(VLOOKUP(A313,Declarations!B$6:F$185,5,FALSE)="","---",VLOOKUP(A313,Declarations!B$6:F$185,5,FALSE)))</f>
        <v/>
      </c>
      <c r="D313" s="319" t="str">
        <f>IF(ISNA(VLOOKUP(A313,Declarations!B$6:F$185,4,FALSE)),"",IF(VLOOKUP(A313,Declarations!B$6:F$185,4,FALSE)="","---",VLOOKUP(A313,Declarations!B$6:F$185,4,FALSE)))</f>
        <v/>
      </c>
      <c r="E313" s="320"/>
      <c r="F313" s="320"/>
      <c r="G313" s="244" t="s">
        <v>147</v>
      </c>
      <c r="H313" s="320"/>
    </row>
    <row r="314" spans="1:8" ht="19.95" customHeight="1">
      <c r="A314" s="67"/>
      <c r="B314" s="68" t="str">
        <f>IF(ISNA(VLOOKUP(A314,Declarations!B$6:C$185,2,FALSE)),"",IF(VLOOKUP(A314,Declarations!B$6:C$185,2,FALSE)="","---",VLOOKUP(A314,Declarations!B$6:C$185,2,FALSE)))</f>
        <v/>
      </c>
      <c r="C314" s="68" t="str">
        <f>IF(ISNA(VLOOKUP(A314,Declarations!B$6:F$185,5,FALSE)),"",IF(VLOOKUP(A314,Declarations!B$6:F$185,5,FALSE)="","---",VLOOKUP(A314,Declarations!B$6:F$185,5,FALSE)))</f>
        <v/>
      </c>
      <c r="D314" s="319" t="str">
        <f>IF(ISNA(VLOOKUP(A314,Declarations!B$6:F$185,4,FALSE)),"",IF(VLOOKUP(A314,Declarations!B$6:F$185,4,FALSE)="","---",VLOOKUP(A314,Declarations!B$6:F$185,4,FALSE)))</f>
        <v/>
      </c>
      <c r="E314" s="320"/>
      <c r="F314" s="320"/>
      <c r="G314" s="244" t="s">
        <v>147</v>
      </c>
      <c r="H314" s="320"/>
    </row>
    <row r="315" spans="1:8" ht="15.6">
      <c r="A315" s="69"/>
      <c r="B315" s="70"/>
      <c r="C315" s="70"/>
      <c r="D315" s="70"/>
      <c r="E315" s="71"/>
      <c r="F315" s="71"/>
      <c r="G315" s="71"/>
      <c r="H315" s="71"/>
    </row>
    <row r="316" spans="1:8" ht="15.6">
      <c r="A316" s="69"/>
      <c r="B316" s="70"/>
      <c r="C316" s="70"/>
      <c r="D316" s="70"/>
      <c r="E316" s="498" t="s">
        <v>138</v>
      </c>
      <c r="F316" s="498"/>
      <c r="G316" s="490" t="s">
        <v>139</v>
      </c>
      <c r="H316" s="490"/>
    </row>
    <row r="317" spans="1:8" ht="15.6">
      <c r="A317" s="69"/>
      <c r="B317" s="503" t="s">
        <v>148</v>
      </c>
      <c r="C317" s="504"/>
      <c r="D317" s="70"/>
      <c r="E317" s="490"/>
      <c r="F317" s="490"/>
      <c r="G317" s="490"/>
      <c r="H317" s="490"/>
    </row>
    <row r="318" spans="1:8" ht="15.6">
      <c r="A318" s="69"/>
      <c r="B318" s="505"/>
      <c r="C318" s="506"/>
      <c r="D318" s="70"/>
      <c r="E318" s="490"/>
      <c r="F318" s="490"/>
      <c r="G318" s="490"/>
      <c r="H318" s="490"/>
    </row>
    <row r="319" spans="1:8" ht="15.6">
      <c r="A319" s="69"/>
      <c r="B319" s="70"/>
      <c r="C319" s="70"/>
      <c r="D319" s="70"/>
      <c r="E319" s="490"/>
      <c r="F319" s="490"/>
      <c r="G319" s="490"/>
      <c r="H319" s="490"/>
    </row>
    <row r="320" spans="1:8" ht="7.95" customHeight="1">
      <c r="A320" s="69"/>
      <c r="B320" s="70"/>
      <c r="C320" s="70"/>
      <c r="D320" s="70"/>
      <c r="E320" s="71"/>
      <c r="F320" s="71"/>
      <c r="G320" s="71"/>
      <c r="H320" s="71"/>
    </row>
    <row r="321" spans="1:8" ht="20.399999999999999">
      <c r="A321" s="491" t="str">
        <f>'Read Me First'!A1:F1</f>
        <v>Wessex Young Athletes Track and Field League 2026</v>
      </c>
      <c r="B321" s="492"/>
      <c r="C321" s="492"/>
      <c r="D321" s="492"/>
      <c r="E321" s="492"/>
      <c r="F321" s="492"/>
      <c r="G321" s="492"/>
      <c r="H321" s="493"/>
    </row>
    <row r="322" spans="1:8" ht="17.399999999999999">
      <c r="A322" s="60" t="s">
        <v>13</v>
      </c>
      <c r="B322" s="61">
        <f>'Read Me First'!$C$10</f>
        <v>46201</v>
      </c>
      <c r="C322" s="92">
        <v>0.57291666666666663</v>
      </c>
      <c r="D322" s="60" t="s">
        <v>70</v>
      </c>
      <c r="E322" s="494" t="str">
        <f>$E$2</f>
        <v>Camberley &amp; District AC @ Woking</v>
      </c>
      <c r="F322" s="495"/>
      <c r="G322" s="495"/>
      <c r="H322" s="496"/>
    </row>
    <row r="323" spans="1:8" ht="17.399999999999999">
      <c r="A323" s="497" t="s">
        <v>150</v>
      </c>
      <c r="B323" s="497"/>
      <c r="C323" s="497"/>
      <c r="D323" s="497"/>
      <c r="E323" s="59">
        <v>1</v>
      </c>
      <c r="F323" s="59">
        <v>2</v>
      </c>
      <c r="G323" s="59">
        <v>3</v>
      </c>
      <c r="H323" s="59" t="s">
        <v>136</v>
      </c>
    </row>
    <row r="324" spans="1:8" ht="17.399999999999999">
      <c r="A324" s="65"/>
      <c r="B324" s="65"/>
      <c r="C324" s="65"/>
      <c r="D324" s="65"/>
      <c r="E324" s="66"/>
      <c r="F324" s="66"/>
      <c r="G324" s="66"/>
      <c r="H324" s="66"/>
    </row>
    <row r="325" spans="1:8" ht="19.95" customHeight="1">
      <c r="A325" s="67" t="str" cm="1">
        <f t="array" ref="A325">IFERROR(_xlfn.TEXTSPLIT(IFERROR(_xlfn.TEXTJOIN(",",TRUE,_xlfn._xlws.FILTER(BlockAllocations!$F$3:$F$20,BlockAllocations!$E$3:$E$20=BlockAllocations!$G$8)),""),,",")+0,"!")</f>
        <v>!</v>
      </c>
      <c r="B325" s="68" t="str">
        <f>IF(ISNA(VLOOKUP(A325,Declarations!B$6:C$185,2,FALSE)),"",IF(VLOOKUP(A325,Declarations!B$6:C$185,2,FALSE)="","---",VLOOKUP(A325,Declarations!B$6:C$185,2,FALSE)))</f>
        <v/>
      </c>
      <c r="C325" s="68" t="str">
        <f>IF(ISNA(VLOOKUP(A325,Declarations!B$6:F$185,5,FALSE)),"",IF(VLOOKUP(A325,Declarations!B$6:F$185,5,FALSE)="","---",VLOOKUP(A325,Declarations!B$6:F$185,5,FALSE)))</f>
        <v/>
      </c>
      <c r="D325" s="319" t="str">
        <f>IF(ISNA(VLOOKUP(A325,Declarations!B$6:F$185,4,FALSE)),"",IF(VLOOKUP(A325,Declarations!B$6:F$185,4,FALSE)="","---",VLOOKUP(A325,Declarations!B$6:F$185,4,FALSE)))</f>
        <v/>
      </c>
      <c r="E325" s="67"/>
      <c r="F325" s="320"/>
      <c r="G325" s="244" t="s">
        <v>147</v>
      </c>
      <c r="H325" s="320"/>
    </row>
    <row r="326" spans="1:8" ht="19.95" customHeight="1">
      <c r="A326" s="67"/>
      <c r="B326" s="68" t="str">
        <f>IF(ISNA(VLOOKUP(A326,Declarations!B$6:C$185,2,FALSE)),"",IF(VLOOKUP(A326,Declarations!B$6:C$185,2,FALSE)="","---",VLOOKUP(A326,Declarations!B$6:C$185,2,FALSE)))</f>
        <v/>
      </c>
      <c r="C326" s="68" t="str">
        <f>IF(ISNA(VLOOKUP(A326,Declarations!B$6:F$185,5,FALSE)),"",IF(VLOOKUP(A326,Declarations!B$6:F$185,5,FALSE)="","---",VLOOKUP(A326,Declarations!B$6:F$185,5,FALSE)))</f>
        <v/>
      </c>
      <c r="D326" s="319" t="str">
        <f>IF(ISNA(VLOOKUP(A326,Declarations!B$6:F$185,4,FALSE)),"",IF(VLOOKUP(A326,Declarations!B$6:F$185,4,FALSE)="","---",VLOOKUP(A326,Declarations!B$6:F$185,4,FALSE)))</f>
        <v/>
      </c>
      <c r="E326" s="67"/>
      <c r="F326" s="320"/>
      <c r="G326" s="244" t="s">
        <v>147</v>
      </c>
      <c r="H326" s="320"/>
    </row>
    <row r="327" spans="1:8" ht="19.95" customHeight="1">
      <c r="A327" s="67"/>
      <c r="B327" s="68" t="str">
        <f>IF(ISNA(VLOOKUP(A327,Declarations!B$6:C$185,2,FALSE)),"",IF(VLOOKUP(A327,Declarations!B$6:C$185,2,FALSE)="","---",VLOOKUP(A327,Declarations!B$6:C$185,2,FALSE)))</f>
        <v/>
      </c>
      <c r="C327" s="68" t="str">
        <f>IF(ISNA(VLOOKUP(A327,Declarations!B$6:F$185,5,FALSE)),"",IF(VLOOKUP(A327,Declarations!B$6:F$185,5,FALSE)="","---",VLOOKUP(A327,Declarations!B$6:F$185,5,FALSE)))</f>
        <v/>
      </c>
      <c r="D327" s="319" t="str">
        <f>IF(ISNA(VLOOKUP(A327,Declarations!B$6:F$185,4,FALSE)),"",IF(VLOOKUP(A327,Declarations!B$6:F$185,4,FALSE)="","---",VLOOKUP(A327,Declarations!B$6:F$185,4,FALSE)))</f>
        <v/>
      </c>
      <c r="E327" s="67"/>
      <c r="F327" s="320"/>
      <c r="G327" s="244" t="s">
        <v>147</v>
      </c>
      <c r="H327" s="320"/>
    </row>
    <row r="328" spans="1:8" ht="19.95" customHeight="1">
      <c r="A328" s="67"/>
      <c r="B328" s="68" t="str">
        <f>IF(ISNA(VLOOKUP(A328,Declarations!B$6:C$185,2,FALSE)),"",IF(VLOOKUP(A328,Declarations!B$6:C$185,2,FALSE)="","---",VLOOKUP(A328,Declarations!B$6:C$185,2,FALSE)))</f>
        <v/>
      </c>
      <c r="C328" s="68" t="str">
        <f>IF(ISNA(VLOOKUP(A328,Declarations!B$6:F$185,5,FALSE)),"",IF(VLOOKUP(A328,Declarations!B$6:F$185,5,FALSE)="","---",VLOOKUP(A328,Declarations!B$6:F$185,5,FALSE)))</f>
        <v/>
      </c>
      <c r="D328" s="319" t="str">
        <f>IF(ISNA(VLOOKUP(A328,Declarations!B$6:F$185,4,FALSE)),"",IF(VLOOKUP(A328,Declarations!B$6:F$185,4,FALSE)="","---",VLOOKUP(A328,Declarations!B$6:F$185,4,FALSE)))</f>
        <v/>
      </c>
      <c r="E328" s="67"/>
      <c r="F328" s="320"/>
      <c r="G328" s="244" t="s">
        <v>147</v>
      </c>
      <c r="H328" s="320"/>
    </row>
    <row r="329" spans="1:8" ht="19.95" customHeight="1">
      <c r="A329" s="67"/>
      <c r="B329" s="68" t="str">
        <f>IF(ISNA(VLOOKUP(A329,Declarations!B$6:C$185,2,FALSE)),"",IF(VLOOKUP(A329,Declarations!B$6:C$185,2,FALSE)="","---",VLOOKUP(A329,Declarations!B$6:C$185,2,FALSE)))</f>
        <v/>
      </c>
      <c r="C329" s="68" t="str">
        <f>IF(ISNA(VLOOKUP(A329,Declarations!B$6:F$185,5,FALSE)),"",IF(VLOOKUP(A329,Declarations!B$6:F$185,5,FALSE)="","---",VLOOKUP(A329,Declarations!B$6:F$185,5,FALSE)))</f>
        <v/>
      </c>
      <c r="D329" s="319" t="str">
        <f>IF(ISNA(VLOOKUP(A329,Declarations!B$6:F$185,4,FALSE)),"",IF(VLOOKUP(A329,Declarations!B$6:F$185,4,FALSE)="","---",VLOOKUP(A329,Declarations!B$6:F$185,4,FALSE)))</f>
        <v/>
      </c>
      <c r="E329" s="67"/>
      <c r="F329" s="320"/>
      <c r="G329" s="244" t="s">
        <v>147</v>
      </c>
      <c r="H329" s="320"/>
    </row>
    <row r="330" spans="1:8" ht="19.95" customHeight="1">
      <c r="A330" s="67"/>
      <c r="B330" s="68" t="str">
        <f>IF(ISNA(VLOOKUP(A330,Declarations!B$6:C$185,2,FALSE)),"",IF(VLOOKUP(A330,Declarations!B$6:C$185,2,FALSE)="","---",VLOOKUP(A330,Declarations!B$6:C$185,2,FALSE)))</f>
        <v/>
      </c>
      <c r="C330" s="68" t="str">
        <f>IF(ISNA(VLOOKUP(A330,Declarations!B$6:F$185,5,FALSE)),"",IF(VLOOKUP(A330,Declarations!B$6:F$185,5,FALSE)="","---",VLOOKUP(A330,Declarations!B$6:F$185,5,FALSE)))</f>
        <v/>
      </c>
      <c r="D330" s="319" t="str">
        <f>IF(ISNA(VLOOKUP(A330,Declarations!B$6:F$185,4,FALSE)),"",IF(VLOOKUP(A330,Declarations!B$6:F$185,4,FALSE)="","---",VLOOKUP(A330,Declarations!B$6:F$185,4,FALSE)))</f>
        <v/>
      </c>
      <c r="E330" s="67"/>
      <c r="F330" s="320"/>
      <c r="G330" s="244" t="s">
        <v>147</v>
      </c>
      <c r="H330" s="320"/>
    </row>
    <row r="331" spans="1:8" ht="19.95" customHeight="1">
      <c r="A331" s="67"/>
      <c r="B331" s="68" t="str">
        <f>IF(ISNA(VLOOKUP(A331,Declarations!B$6:C$185,2,FALSE)),"",IF(VLOOKUP(A331,Declarations!B$6:C$185,2,FALSE)="","---",VLOOKUP(A331,Declarations!B$6:C$185,2,FALSE)))</f>
        <v/>
      </c>
      <c r="C331" s="68" t="str">
        <f>IF(ISNA(VLOOKUP(A331,Declarations!B$6:F$185,5,FALSE)),"",IF(VLOOKUP(A331,Declarations!B$6:F$185,5,FALSE)="","---",VLOOKUP(A331,Declarations!B$6:F$185,5,FALSE)))</f>
        <v/>
      </c>
      <c r="D331" s="319" t="str">
        <f>IF(ISNA(VLOOKUP(A331,Declarations!B$6:F$185,4,FALSE)),"",IF(VLOOKUP(A331,Declarations!B$6:F$185,4,FALSE)="","---",VLOOKUP(A331,Declarations!B$6:F$185,4,FALSE)))</f>
        <v/>
      </c>
      <c r="E331" s="67"/>
      <c r="F331" s="320"/>
      <c r="G331" s="244" t="s">
        <v>147</v>
      </c>
      <c r="H331" s="320"/>
    </row>
    <row r="332" spans="1:8" ht="19.95" customHeight="1">
      <c r="A332" s="67"/>
      <c r="B332" s="68" t="str">
        <f>IF(ISNA(VLOOKUP(A332,Declarations!B$6:C$185,2,FALSE)),"",IF(VLOOKUP(A332,Declarations!B$6:C$185,2,FALSE)="","---",VLOOKUP(A332,Declarations!B$6:C$185,2,FALSE)))</f>
        <v/>
      </c>
      <c r="C332" s="68" t="str">
        <f>IF(ISNA(VLOOKUP(A332,Declarations!B$6:F$185,5,FALSE)),"",IF(VLOOKUP(A332,Declarations!B$6:F$185,5,FALSE)="","---",VLOOKUP(A332,Declarations!B$6:F$185,5,FALSE)))</f>
        <v/>
      </c>
      <c r="D332" s="319" t="str">
        <f>IF(ISNA(VLOOKUP(A332,Declarations!B$6:F$185,4,FALSE)),"",IF(VLOOKUP(A332,Declarations!B$6:F$185,4,FALSE)="","---",VLOOKUP(A332,Declarations!B$6:F$185,4,FALSE)))</f>
        <v/>
      </c>
      <c r="E332" s="67"/>
      <c r="F332" s="320"/>
      <c r="G332" s="244" t="s">
        <v>147</v>
      </c>
      <c r="H332" s="320"/>
    </row>
    <row r="333" spans="1:8" ht="19.95" customHeight="1">
      <c r="A333" s="67"/>
      <c r="B333" s="68" t="str">
        <f>IF(ISNA(VLOOKUP(A333,Declarations!B$6:C$185,2,FALSE)),"",IF(VLOOKUP(A333,Declarations!B$6:C$185,2,FALSE)="","---",VLOOKUP(A333,Declarations!B$6:C$185,2,FALSE)))</f>
        <v/>
      </c>
      <c r="C333" s="68" t="str">
        <f>IF(ISNA(VLOOKUP(A333,Declarations!B$6:F$185,5,FALSE)),"",IF(VLOOKUP(A333,Declarations!B$6:F$185,5,FALSE)="","---",VLOOKUP(A333,Declarations!B$6:F$185,5,FALSE)))</f>
        <v/>
      </c>
      <c r="D333" s="319" t="str">
        <f>IF(ISNA(VLOOKUP(A333,Declarations!B$6:F$185,4,FALSE)),"",IF(VLOOKUP(A333,Declarations!B$6:F$185,4,FALSE)="","---",VLOOKUP(A333,Declarations!B$6:F$185,4,FALSE)))</f>
        <v/>
      </c>
      <c r="E333" s="67"/>
      <c r="F333" s="320"/>
      <c r="G333" s="244" t="s">
        <v>147</v>
      </c>
      <c r="H333" s="320"/>
    </row>
    <row r="334" spans="1:8" ht="19.95" customHeight="1">
      <c r="A334" s="67"/>
      <c r="B334" s="68" t="str">
        <f>IF(ISNA(VLOOKUP(A334,Declarations!B$6:C$185,2,FALSE)),"",IF(VLOOKUP(A334,Declarations!B$6:C$185,2,FALSE)="","---",VLOOKUP(A334,Declarations!B$6:C$185,2,FALSE)))</f>
        <v/>
      </c>
      <c r="C334" s="68" t="str">
        <f>IF(ISNA(VLOOKUP(A334,Declarations!B$6:F$185,5,FALSE)),"",IF(VLOOKUP(A334,Declarations!B$6:F$185,5,FALSE)="","---",VLOOKUP(A334,Declarations!B$6:F$185,5,FALSE)))</f>
        <v/>
      </c>
      <c r="D334" s="319" t="str">
        <f>IF(ISNA(VLOOKUP(A334,Declarations!B$6:F$185,4,FALSE)),"",IF(VLOOKUP(A334,Declarations!B$6:F$185,4,FALSE)="","---",VLOOKUP(A334,Declarations!B$6:F$185,4,FALSE)))</f>
        <v/>
      </c>
      <c r="E334" s="67"/>
      <c r="F334" s="320"/>
      <c r="G334" s="244" t="s">
        <v>147</v>
      </c>
      <c r="H334" s="320"/>
    </row>
    <row r="335" spans="1:8" ht="19.95" customHeight="1">
      <c r="A335" s="67"/>
      <c r="B335" s="68" t="str">
        <f>IF(ISNA(VLOOKUP(A335,Declarations!B$6:C$185,2,FALSE)),"",IF(VLOOKUP(A335,Declarations!B$6:C$185,2,FALSE)="","---",VLOOKUP(A335,Declarations!B$6:C$185,2,FALSE)))</f>
        <v/>
      </c>
      <c r="C335" s="68" t="str">
        <f>IF(ISNA(VLOOKUP(A335,Declarations!B$6:F$185,5,FALSE)),"",IF(VLOOKUP(A335,Declarations!B$6:F$185,5,FALSE)="","---",VLOOKUP(A335,Declarations!B$6:F$185,5,FALSE)))</f>
        <v/>
      </c>
      <c r="D335" s="319" t="str">
        <f>IF(ISNA(VLOOKUP(A335,Declarations!B$6:F$185,4,FALSE)),"",IF(VLOOKUP(A335,Declarations!B$6:F$185,4,FALSE)="","---",VLOOKUP(A335,Declarations!B$6:F$185,4,FALSE)))</f>
        <v/>
      </c>
      <c r="E335" s="67"/>
      <c r="F335" s="320"/>
      <c r="G335" s="244" t="s">
        <v>147</v>
      </c>
      <c r="H335" s="320"/>
    </row>
    <row r="336" spans="1:8" ht="19.95" customHeight="1">
      <c r="A336" s="67"/>
      <c r="B336" s="68" t="str">
        <f>IF(ISNA(VLOOKUP(A336,Declarations!B$6:C$185,2,FALSE)),"",IF(VLOOKUP(A336,Declarations!B$6:C$185,2,FALSE)="","---",VLOOKUP(A336,Declarations!B$6:C$185,2,FALSE)))</f>
        <v/>
      </c>
      <c r="C336" s="68" t="str">
        <f>IF(ISNA(VLOOKUP(A336,Declarations!B$6:F$185,5,FALSE)),"",IF(VLOOKUP(A336,Declarations!B$6:F$185,5,FALSE)="","---",VLOOKUP(A336,Declarations!B$6:F$185,5,FALSE)))</f>
        <v/>
      </c>
      <c r="D336" s="319" t="str">
        <f>IF(ISNA(VLOOKUP(A336,Declarations!B$6:F$185,4,FALSE)),"",IF(VLOOKUP(A336,Declarations!B$6:F$185,4,FALSE)="","---",VLOOKUP(A336,Declarations!B$6:F$185,4,FALSE)))</f>
        <v/>
      </c>
      <c r="E336" s="67"/>
      <c r="F336" s="320"/>
      <c r="G336" s="244" t="s">
        <v>147</v>
      </c>
      <c r="H336" s="320"/>
    </row>
    <row r="337" spans="1:8" ht="19.95" customHeight="1">
      <c r="A337" s="67"/>
      <c r="B337" s="68" t="str">
        <f>IF(ISNA(VLOOKUP(A337,Declarations!B$6:C$185,2,FALSE)),"",IF(VLOOKUP(A337,Declarations!B$6:C$185,2,FALSE)="","---",VLOOKUP(A337,Declarations!B$6:C$185,2,FALSE)))</f>
        <v/>
      </c>
      <c r="C337" s="68" t="str">
        <f>IF(ISNA(VLOOKUP(A337,Declarations!B$6:F$185,5,FALSE)),"",IF(VLOOKUP(A337,Declarations!B$6:F$185,5,FALSE)="","---",VLOOKUP(A337,Declarations!B$6:F$185,5,FALSE)))</f>
        <v/>
      </c>
      <c r="D337" s="319" t="str">
        <f>IF(ISNA(VLOOKUP(A337,Declarations!B$6:F$185,4,FALSE)),"",IF(VLOOKUP(A337,Declarations!B$6:F$185,4,FALSE)="","---",VLOOKUP(A337,Declarations!B$6:F$185,4,FALSE)))</f>
        <v/>
      </c>
      <c r="E337" s="67"/>
      <c r="F337" s="320"/>
      <c r="G337" s="244" t="s">
        <v>147</v>
      </c>
      <c r="H337" s="320"/>
    </row>
    <row r="338" spans="1:8" ht="19.95" customHeight="1">
      <c r="A338" s="67"/>
      <c r="B338" s="68" t="str">
        <f>IF(ISNA(VLOOKUP(A338,Declarations!B$6:C$185,2,FALSE)),"",IF(VLOOKUP(A338,Declarations!B$6:C$185,2,FALSE)="","---",VLOOKUP(A338,Declarations!B$6:C$185,2,FALSE)))</f>
        <v/>
      </c>
      <c r="C338" s="68" t="str">
        <f>IF(ISNA(VLOOKUP(A338,Declarations!B$6:F$185,5,FALSE)),"",IF(VLOOKUP(A338,Declarations!B$6:F$185,5,FALSE)="","---",VLOOKUP(A338,Declarations!B$6:F$185,5,FALSE)))</f>
        <v/>
      </c>
      <c r="D338" s="319" t="str">
        <f>IF(ISNA(VLOOKUP(A338,Declarations!B$6:F$185,4,FALSE)),"",IF(VLOOKUP(A338,Declarations!B$6:F$185,4,FALSE)="","---",VLOOKUP(A338,Declarations!B$6:F$185,4,FALSE)))</f>
        <v/>
      </c>
      <c r="E338" s="67"/>
      <c r="F338" s="320"/>
      <c r="G338" s="244" t="s">
        <v>147</v>
      </c>
      <c r="H338" s="320"/>
    </row>
    <row r="339" spans="1:8" ht="19.95" customHeight="1">
      <c r="A339" s="67"/>
      <c r="B339" s="68" t="str">
        <f>IF(ISNA(VLOOKUP(A339,Declarations!B$6:C$185,2,FALSE)),"",IF(VLOOKUP(A339,Declarations!B$6:C$185,2,FALSE)="","---",VLOOKUP(A339,Declarations!B$6:C$185,2,FALSE)))</f>
        <v/>
      </c>
      <c r="C339" s="68" t="str">
        <f>IF(ISNA(VLOOKUP(A339,Declarations!B$6:F$185,5,FALSE)),"",IF(VLOOKUP(A339,Declarations!B$6:F$185,5,FALSE)="","---",VLOOKUP(A339,Declarations!B$6:F$185,5,FALSE)))</f>
        <v/>
      </c>
      <c r="D339" s="319" t="str">
        <f>IF(ISNA(VLOOKUP(A339,Declarations!B$6:F$185,4,FALSE)),"",IF(VLOOKUP(A339,Declarations!B$6:F$185,4,FALSE)="","---",VLOOKUP(A339,Declarations!B$6:F$185,4,FALSE)))</f>
        <v/>
      </c>
      <c r="E339" s="67"/>
      <c r="F339" s="320"/>
      <c r="G339" s="244" t="s">
        <v>147</v>
      </c>
      <c r="H339" s="320"/>
    </row>
    <row r="340" spans="1:8" ht="19.95" customHeight="1">
      <c r="A340" s="67"/>
      <c r="B340" s="68" t="str">
        <f>IF(ISNA(VLOOKUP(A340,Declarations!B$6:C$185,2,FALSE)),"",IF(VLOOKUP(A340,Declarations!B$6:C$185,2,FALSE)="","---",VLOOKUP(A340,Declarations!B$6:C$185,2,FALSE)))</f>
        <v/>
      </c>
      <c r="C340" s="68" t="str">
        <f>IF(ISNA(VLOOKUP(A340,Declarations!B$6:F$185,5,FALSE)),"",IF(VLOOKUP(A340,Declarations!B$6:F$185,5,FALSE)="","---",VLOOKUP(A340,Declarations!B$6:F$185,5,FALSE)))</f>
        <v/>
      </c>
      <c r="D340" s="319" t="str">
        <f>IF(ISNA(VLOOKUP(A340,Declarations!B$6:F$185,4,FALSE)),"",IF(VLOOKUP(A340,Declarations!B$6:F$185,4,FALSE)="","---",VLOOKUP(A340,Declarations!B$6:F$185,4,FALSE)))</f>
        <v/>
      </c>
      <c r="E340" s="67"/>
      <c r="F340" s="320"/>
      <c r="G340" s="244" t="s">
        <v>147</v>
      </c>
      <c r="H340" s="320"/>
    </row>
    <row r="341" spans="1:8" ht="19.95" customHeight="1">
      <c r="A341" s="67"/>
      <c r="B341" s="68" t="str">
        <f>IF(ISNA(VLOOKUP(A341,Declarations!B$6:C$185,2,FALSE)),"",IF(VLOOKUP(A341,Declarations!B$6:C$185,2,FALSE)="","---",VLOOKUP(A341,Declarations!B$6:C$185,2,FALSE)))</f>
        <v/>
      </c>
      <c r="C341" s="68" t="str">
        <f>IF(ISNA(VLOOKUP(A341,Declarations!B$6:F$185,5,FALSE)),"",IF(VLOOKUP(A341,Declarations!B$6:F$185,5,FALSE)="","---",VLOOKUP(A341,Declarations!B$6:F$185,5,FALSE)))</f>
        <v/>
      </c>
      <c r="D341" s="319" t="str">
        <f>IF(ISNA(VLOOKUP(A341,Declarations!B$6:F$185,4,FALSE)),"",IF(VLOOKUP(A341,Declarations!B$6:F$185,4,FALSE)="","---",VLOOKUP(A341,Declarations!B$6:F$185,4,FALSE)))</f>
        <v/>
      </c>
      <c r="E341" s="320"/>
      <c r="F341" s="320"/>
      <c r="G341" s="244" t="s">
        <v>147</v>
      </c>
      <c r="H341" s="320"/>
    </row>
    <row r="342" spans="1:8" ht="19.95" customHeight="1">
      <c r="A342" s="67"/>
      <c r="B342" s="68" t="str">
        <f>IF(ISNA(VLOOKUP(A342,Declarations!B$6:C$185,2,FALSE)),"",IF(VLOOKUP(A342,Declarations!B$6:C$185,2,FALSE)="","---",VLOOKUP(A342,Declarations!B$6:C$185,2,FALSE)))</f>
        <v/>
      </c>
      <c r="C342" s="68" t="str">
        <f>IF(ISNA(VLOOKUP(A342,Declarations!B$6:F$185,5,FALSE)),"",IF(VLOOKUP(A342,Declarations!B$6:F$185,5,FALSE)="","---",VLOOKUP(A342,Declarations!B$6:F$185,5,FALSE)))</f>
        <v/>
      </c>
      <c r="D342" s="319" t="str">
        <f>IF(ISNA(VLOOKUP(A342,Declarations!B$6:F$185,4,FALSE)),"",IF(VLOOKUP(A342,Declarations!B$6:F$185,4,FALSE)="","---",VLOOKUP(A342,Declarations!B$6:F$185,4,FALSE)))</f>
        <v/>
      </c>
      <c r="E342" s="320"/>
      <c r="F342" s="320"/>
      <c r="G342" s="244" t="s">
        <v>147</v>
      </c>
      <c r="H342" s="320"/>
    </row>
    <row r="343" spans="1:8" ht="19.95" customHeight="1">
      <c r="A343" s="67"/>
      <c r="B343" s="68" t="str">
        <f>IF(ISNA(VLOOKUP(A343,Declarations!B$6:C$185,2,FALSE)),"",IF(VLOOKUP(A343,Declarations!B$6:C$185,2,FALSE)="","---",VLOOKUP(A343,Declarations!B$6:C$185,2,FALSE)))</f>
        <v/>
      </c>
      <c r="C343" s="68" t="str">
        <f>IF(ISNA(VLOOKUP(A343,Declarations!B$6:F$185,5,FALSE)),"",IF(VLOOKUP(A343,Declarations!B$6:F$185,5,FALSE)="","---",VLOOKUP(A343,Declarations!B$6:F$185,5,FALSE)))</f>
        <v/>
      </c>
      <c r="D343" s="319" t="str">
        <f>IF(ISNA(VLOOKUP(A343,Declarations!B$6:F$185,4,FALSE)),"",IF(VLOOKUP(A343,Declarations!B$6:F$185,4,FALSE)="","---",VLOOKUP(A343,Declarations!B$6:F$185,4,FALSE)))</f>
        <v/>
      </c>
      <c r="E343" s="320"/>
      <c r="F343" s="320"/>
      <c r="G343" s="244" t="s">
        <v>147</v>
      </c>
      <c r="H343" s="320"/>
    </row>
    <row r="344" spans="1:8" ht="19.95" customHeight="1">
      <c r="A344" s="67"/>
      <c r="B344" s="68" t="str">
        <f>IF(ISNA(VLOOKUP(A344,Declarations!B$6:C$185,2,FALSE)),"",IF(VLOOKUP(A344,Declarations!B$6:C$185,2,FALSE)="","---",VLOOKUP(A344,Declarations!B$6:C$185,2,FALSE)))</f>
        <v/>
      </c>
      <c r="C344" s="68" t="str">
        <f>IF(ISNA(VLOOKUP(A344,Declarations!B$6:F$185,5,FALSE)),"",IF(VLOOKUP(A344,Declarations!B$6:F$185,5,FALSE)="","---",VLOOKUP(A344,Declarations!B$6:F$185,5,FALSE)))</f>
        <v/>
      </c>
      <c r="D344" s="319" t="str">
        <f>IF(ISNA(VLOOKUP(A344,Declarations!B$6:F$185,4,FALSE)),"",IF(VLOOKUP(A344,Declarations!B$6:F$185,4,FALSE)="","---",VLOOKUP(A344,Declarations!B$6:F$185,4,FALSE)))</f>
        <v/>
      </c>
      <c r="E344" s="320"/>
      <c r="F344" s="320"/>
      <c r="G344" s="244" t="s">
        <v>147</v>
      </c>
      <c r="H344" s="320"/>
    </row>
    <row r="345" spans="1:8" ht="19.95" customHeight="1">
      <c r="A345" s="67"/>
      <c r="B345" s="68" t="str">
        <f>IF(ISNA(VLOOKUP(A345,Declarations!B$6:C$185,2,FALSE)),"",IF(VLOOKUP(A345,Declarations!B$6:C$185,2,FALSE)="","---",VLOOKUP(A345,Declarations!B$6:C$185,2,FALSE)))</f>
        <v/>
      </c>
      <c r="C345" s="68" t="str">
        <f>IF(ISNA(VLOOKUP(A345,Declarations!B$6:F$185,5,FALSE)),"",IF(VLOOKUP(A345,Declarations!B$6:F$185,5,FALSE)="","---",VLOOKUP(A345,Declarations!B$6:F$185,5,FALSE)))</f>
        <v/>
      </c>
      <c r="D345" s="319" t="str">
        <f>IF(ISNA(VLOOKUP(A345,Declarations!B$6:F$185,4,FALSE)),"",IF(VLOOKUP(A345,Declarations!B$6:F$185,4,FALSE)="","---",VLOOKUP(A345,Declarations!B$6:F$185,4,FALSE)))</f>
        <v/>
      </c>
      <c r="E345" s="320"/>
      <c r="F345" s="320"/>
      <c r="G345" s="244" t="s">
        <v>147</v>
      </c>
      <c r="H345" s="320"/>
    </row>
    <row r="346" spans="1:8" ht="19.95" customHeight="1">
      <c r="A346" s="67"/>
      <c r="B346" s="68" t="str">
        <f>IF(ISNA(VLOOKUP(A346,Declarations!B$6:C$185,2,FALSE)),"",IF(VLOOKUP(A346,Declarations!B$6:C$185,2,FALSE)="","---",VLOOKUP(A346,Declarations!B$6:C$185,2,FALSE)))</f>
        <v/>
      </c>
      <c r="C346" s="68" t="str">
        <f>IF(ISNA(VLOOKUP(A346,Declarations!B$6:F$185,5,FALSE)),"",IF(VLOOKUP(A346,Declarations!B$6:F$185,5,FALSE)="","---",VLOOKUP(A346,Declarations!B$6:F$185,5,FALSE)))</f>
        <v/>
      </c>
      <c r="D346" s="319" t="str">
        <f>IF(ISNA(VLOOKUP(A346,Declarations!B$6:F$185,4,FALSE)),"",IF(VLOOKUP(A346,Declarations!B$6:F$185,4,FALSE)="","---",VLOOKUP(A346,Declarations!B$6:F$185,4,FALSE)))</f>
        <v/>
      </c>
      <c r="E346" s="320"/>
      <c r="F346" s="320"/>
      <c r="G346" s="244" t="s">
        <v>147</v>
      </c>
      <c r="H346" s="320"/>
    </row>
    <row r="347" spans="1:8" ht="19.95" customHeight="1">
      <c r="A347" s="67"/>
      <c r="B347" s="68" t="str">
        <f>IF(ISNA(VLOOKUP(A347,Declarations!B$6:C$185,2,FALSE)),"",IF(VLOOKUP(A347,Declarations!B$6:C$185,2,FALSE)="","---",VLOOKUP(A347,Declarations!B$6:C$185,2,FALSE)))</f>
        <v/>
      </c>
      <c r="C347" s="68" t="str">
        <f>IF(ISNA(VLOOKUP(A347,Declarations!B$6:F$185,5,FALSE)),"",IF(VLOOKUP(A347,Declarations!B$6:F$185,5,FALSE)="","---",VLOOKUP(A347,Declarations!B$6:F$185,5,FALSE)))</f>
        <v/>
      </c>
      <c r="D347" s="319" t="str">
        <f>IF(ISNA(VLOOKUP(A347,Declarations!B$6:F$185,4,FALSE)),"",IF(VLOOKUP(A347,Declarations!B$6:F$185,4,FALSE)="","---",VLOOKUP(A347,Declarations!B$6:F$185,4,FALSE)))</f>
        <v/>
      </c>
      <c r="E347" s="320"/>
      <c r="F347" s="320"/>
      <c r="G347" s="244" t="s">
        <v>147</v>
      </c>
      <c r="H347" s="320"/>
    </row>
    <row r="348" spans="1:8" ht="19.95" customHeight="1">
      <c r="A348" s="67"/>
      <c r="B348" s="68" t="str">
        <f>IF(ISNA(VLOOKUP(A348,Declarations!B$6:C$185,2,FALSE)),"",IF(VLOOKUP(A348,Declarations!B$6:C$185,2,FALSE)="","---",VLOOKUP(A348,Declarations!B$6:C$185,2,FALSE)))</f>
        <v/>
      </c>
      <c r="C348" s="68" t="str">
        <f>IF(ISNA(VLOOKUP(A348,Declarations!B$6:F$185,5,FALSE)),"",IF(VLOOKUP(A348,Declarations!B$6:F$185,5,FALSE)="","---",VLOOKUP(A348,Declarations!B$6:F$185,5,FALSE)))</f>
        <v/>
      </c>
      <c r="D348" s="319" t="str">
        <f>IF(ISNA(VLOOKUP(A348,Declarations!B$6:F$185,4,FALSE)),"",IF(VLOOKUP(A348,Declarations!B$6:F$185,4,FALSE)="","---",VLOOKUP(A348,Declarations!B$6:F$185,4,FALSE)))</f>
        <v/>
      </c>
      <c r="E348" s="320"/>
      <c r="F348" s="320"/>
      <c r="G348" s="244" t="s">
        <v>147</v>
      </c>
      <c r="H348" s="320"/>
    </row>
    <row r="349" spans="1:8" ht="19.95" customHeight="1">
      <c r="A349" s="67"/>
      <c r="B349" s="68" t="str">
        <f>IF(ISNA(VLOOKUP(A349,Declarations!B$6:C$185,2,FALSE)),"",IF(VLOOKUP(A349,Declarations!B$6:C$185,2,FALSE)="","---",VLOOKUP(A349,Declarations!B$6:C$185,2,FALSE)))</f>
        <v/>
      </c>
      <c r="C349" s="68" t="str">
        <f>IF(ISNA(VLOOKUP(A349,Declarations!B$6:F$185,5,FALSE)),"",IF(VLOOKUP(A349,Declarations!B$6:F$185,5,FALSE)="","---",VLOOKUP(A349,Declarations!B$6:F$185,5,FALSE)))</f>
        <v/>
      </c>
      <c r="D349" s="319" t="str">
        <f>IF(ISNA(VLOOKUP(A349,Declarations!B$6:F$185,4,FALSE)),"",IF(VLOOKUP(A349,Declarations!B$6:F$185,4,FALSE)="","---",VLOOKUP(A349,Declarations!B$6:F$185,4,FALSE)))</f>
        <v/>
      </c>
      <c r="E349" s="320"/>
      <c r="F349" s="320"/>
      <c r="G349" s="244" t="s">
        <v>147</v>
      </c>
      <c r="H349" s="320"/>
    </row>
    <row r="350" spans="1:8" ht="19.95" customHeight="1">
      <c r="A350" s="67"/>
      <c r="B350" s="68" t="str">
        <f>IF(ISNA(VLOOKUP(A350,Declarations!B$6:C$185,2,FALSE)),"",IF(VLOOKUP(A350,Declarations!B$6:C$185,2,FALSE)="","---",VLOOKUP(A350,Declarations!B$6:C$185,2,FALSE)))</f>
        <v/>
      </c>
      <c r="C350" s="68" t="str">
        <f>IF(ISNA(VLOOKUP(A350,Declarations!B$6:F$185,5,FALSE)),"",IF(VLOOKUP(A350,Declarations!B$6:F$185,5,FALSE)="","---",VLOOKUP(A350,Declarations!B$6:F$185,5,FALSE)))</f>
        <v/>
      </c>
      <c r="D350" s="319" t="str">
        <f>IF(ISNA(VLOOKUP(A350,Declarations!B$6:F$185,4,FALSE)),"",IF(VLOOKUP(A350,Declarations!B$6:F$185,4,FALSE)="","---",VLOOKUP(A350,Declarations!B$6:F$185,4,FALSE)))</f>
        <v/>
      </c>
      <c r="E350" s="320"/>
      <c r="F350" s="320"/>
      <c r="G350" s="244" t="s">
        <v>147</v>
      </c>
      <c r="H350" s="320"/>
    </row>
    <row r="351" spans="1:8" ht="19.95" customHeight="1">
      <c r="A351" s="67"/>
      <c r="B351" s="68" t="str">
        <f>IF(ISNA(VLOOKUP(A351,Declarations!B$6:C$185,2,FALSE)),"",IF(VLOOKUP(A351,Declarations!B$6:C$185,2,FALSE)="","---",VLOOKUP(A351,Declarations!B$6:C$185,2,FALSE)))</f>
        <v/>
      </c>
      <c r="C351" s="68" t="str">
        <f>IF(ISNA(VLOOKUP(A351,Declarations!B$6:F$185,5,FALSE)),"",IF(VLOOKUP(A351,Declarations!B$6:F$185,5,FALSE)="","---",VLOOKUP(A351,Declarations!B$6:F$185,5,FALSE)))</f>
        <v/>
      </c>
      <c r="D351" s="319" t="str">
        <f>IF(ISNA(VLOOKUP(A351,Declarations!B$6:F$185,4,FALSE)),"",IF(VLOOKUP(A351,Declarations!B$6:F$185,4,FALSE)="","---",VLOOKUP(A351,Declarations!B$6:F$185,4,FALSE)))</f>
        <v/>
      </c>
      <c r="E351" s="320"/>
      <c r="F351" s="320"/>
      <c r="G351" s="244" t="s">
        <v>147</v>
      </c>
      <c r="H351" s="320"/>
    </row>
    <row r="352" spans="1:8" ht="19.95" customHeight="1">
      <c r="A352" s="67"/>
      <c r="B352" s="68" t="str">
        <f>IF(ISNA(VLOOKUP(A352,Declarations!B$6:C$185,2,FALSE)),"",IF(VLOOKUP(A352,Declarations!B$6:C$185,2,FALSE)="","---",VLOOKUP(A352,Declarations!B$6:C$185,2,FALSE)))</f>
        <v/>
      </c>
      <c r="C352" s="68" t="str">
        <f>IF(ISNA(VLOOKUP(A352,Declarations!B$6:F$185,5,FALSE)),"",IF(VLOOKUP(A352,Declarations!B$6:F$185,5,FALSE)="","---",VLOOKUP(A352,Declarations!B$6:F$185,5,FALSE)))</f>
        <v/>
      </c>
      <c r="D352" s="319" t="str">
        <f>IF(ISNA(VLOOKUP(A352,Declarations!B$6:F$185,4,FALSE)),"",IF(VLOOKUP(A352,Declarations!B$6:F$185,4,FALSE)="","---",VLOOKUP(A352,Declarations!B$6:F$185,4,FALSE)))</f>
        <v/>
      </c>
      <c r="E352" s="320"/>
      <c r="F352" s="320"/>
      <c r="G352" s="244" t="s">
        <v>147</v>
      </c>
      <c r="H352" s="320"/>
    </row>
    <row r="353" spans="1:8" ht="19.95" customHeight="1">
      <c r="A353" s="67"/>
      <c r="B353" s="68" t="str">
        <f>IF(ISNA(VLOOKUP(A353,Declarations!B$6:C$185,2,FALSE)),"",IF(VLOOKUP(A353,Declarations!B$6:C$185,2,FALSE)="","---",VLOOKUP(A353,Declarations!B$6:C$185,2,FALSE)))</f>
        <v/>
      </c>
      <c r="C353" s="68" t="str">
        <f>IF(ISNA(VLOOKUP(A353,Declarations!B$6:F$185,5,FALSE)),"",IF(VLOOKUP(A353,Declarations!B$6:F$185,5,FALSE)="","---",VLOOKUP(A353,Declarations!B$6:F$185,5,FALSE)))</f>
        <v/>
      </c>
      <c r="D353" s="319" t="str">
        <f>IF(ISNA(VLOOKUP(A353,Declarations!B$6:F$185,4,FALSE)),"",IF(VLOOKUP(A353,Declarations!B$6:F$185,4,FALSE)="","---",VLOOKUP(A353,Declarations!B$6:F$185,4,FALSE)))</f>
        <v/>
      </c>
      <c r="E353" s="320"/>
      <c r="F353" s="320"/>
      <c r="G353" s="244" t="s">
        <v>147</v>
      </c>
      <c r="H353" s="320"/>
    </row>
    <row r="354" spans="1:8" ht="19.95" customHeight="1">
      <c r="A354" s="67"/>
      <c r="B354" s="68" t="str">
        <f>IF(ISNA(VLOOKUP(A354,Declarations!B$6:C$185,2,FALSE)),"",IF(VLOOKUP(A354,Declarations!B$6:C$185,2,FALSE)="","---",VLOOKUP(A354,Declarations!B$6:C$185,2,FALSE)))</f>
        <v/>
      </c>
      <c r="C354" s="68" t="str">
        <f>IF(ISNA(VLOOKUP(A354,Declarations!B$6:F$185,5,FALSE)),"",IF(VLOOKUP(A354,Declarations!B$6:F$185,5,FALSE)="","---",VLOOKUP(A354,Declarations!B$6:F$185,5,FALSE)))</f>
        <v/>
      </c>
      <c r="D354" s="319" t="str">
        <f>IF(ISNA(VLOOKUP(A354,Declarations!B$6:F$185,4,FALSE)),"",IF(VLOOKUP(A354,Declarations!B$6:F$185,4,FALSE)="","---",VLOOKUP(A354,Declarations!B$6:F$185,4,FALSE)))</f>
        <v/>
      </c>
      <c r="E354" s="320"/>
      <c r="F354" s="320"/>
      <c r="G354" s="244" t="s">
        <v>147</v>
      </c>
      <c r="H354" s="320"/>
    </row>
    <row r="355" spans="1:8" ht="15.6">
      <c r="A355" s="69"/>
      <c r="B355" s="70"/>
      <c r="C355" s="70"/>
      <c r="D355" s="70"/>
      <c r="E355" s="71"/>
      <c r="F355" s="71"/>
      <c r="G355" s="71"/>
      <c r="H355" s="71"/>
    </row>
    <row r="356" spans="1:8" ht="15.6">
      <c r="A356" s="69"/>
      <c r="B356" s="70"/>
      <c r="C356" s="70"/>
      <c r="D356" s="70"/>
      <c r="E356" s="498" t="s">
        <v>138</v>
      </c>
      <c r="F356" s="498"/>
      <c r="G356" s="490" t="s">
        <v>139</v>
      </c>
      <c r="H356" s="490"/>
    </row>
    <row r="357" spans="1:8" ht="15.6">
      <c r="A357" s="69"/>
      <c r="B357" s="503" t="s">
        <v>148</v>
      </c>
      <c r="C357" s="504"/>
      <c r="D357" s="70"/>
      <c r="E357" s="490"/>
      <c r="F357" s="490"/>
      <c r="G357" s="490"/>
      <c r="H357" s="490"/>
    </row>
    <row r="358" spans="1:8" ht="15.6">
      <c r="A358" s="69"/>
      <c r="B358" s="505"/>
      <c r="C358" s="506"/>
      <c r="D358" s="70"/>
      <c r="E358" s="490"/>
      <c r="F358" s="490"/>
      <c r="G358" s="490"/>
      <c r="H358" s="490"/>
    </row>
    <row r="359" spans="1:8" ht="15.6">
      <c r="A359" s="69"/>
      <c r="B359" s="70"/>
      <c r="C359" s="70"/>
      <c r="D359" s="70"/>
      <c r="E359" s="490"/>
      <c r="F359" s="490"/>
      <c r="G359" s="490"/>
      <c r="H359" s="490"/>
    </row>
    <row r="360" spans="1:8" ht="7.95" customHeight="1">
      <c r="A360" s="69"/>
      <c r="B360" s="70"/>
      <c r="C360" s="70"/>
      <c r="D360" s="70"/>
      <c r="E360" s="71"/>
      <c r="F360" s="71"/>
      <c r="G360" s="71"/>
      <c r="H360" s="71"/>
    </row>
    <row r="361" spans="1:8" ht="20.399999999999999">
      <c r="A361" s="491" t="str">
        <f>'Read Me First'!A1:F1</f>
        <v>Wessex Young Athletes Track and Field League 2026</v>
      </c>
      <c r="B361" s="492"/>
      <c r="C361" s="492"/>
      <c r="D361" s="492"/>
      <c r="E361" s="492"/>
      <c r="F361" s="492"/>
      <c r="G361" s="492"/>
      <c r="H361" s="493"/>
    </row>
    <row r="362" spans="1:8" ht="17.399999999999999">
      <c r="A362" s="60" t="s">
        <v>13</v>
      </c>
      <c r="B362" s="61">
        <f>'Read Me First'!$C$10</f>
        <v>46201</v>
      </c>
      <c r="C362" s="92">
        <v>0.48958333333333331</v>
      </c>
      <c r="D362" s="60" t="s">
        <v>70</v>
      </c>
      <c r="E362" s="494" t="str">
        <f>$E$2</f>
        <v>Camberley &amp; District AC @ Woking</v>
      </c>
      <c r="F362" s="495"/>
      <c r="G362" s="495"/>
      <c r="H362" s="496"/>
    </row>
    <row r="363" spans="1:8" ht="17.399999999999999">
      <c r="A363" s="497" t="s">
        <v>151</v>
      </c>
      <c r="B363" s="497"/>
      <c r="C363" s="497"/>
      <c r="D363" s="497"/>
      <c r="E363" s="59">
        <v>1</v>
      </c>
      <c r="F363" s="59">
        <v>2</v>
      </c>
      <c r="G363" s="59">
        <v>3</v>
      </c>
      <c r="H363" s="59" t="s">
        <v>136</v>
      </c>
    </row>
    <row r="364" spans="1:8" ht="17.399999999999999">
      <c r="A364" s="65"/>
      <c r="B364" s="65"/>
      <c r="C364" s="65"/>
      <c r="D364" s="65"/>
      <c r="E364" s="66"/>
      <c r="F364" s="66"/>
      <c r="G364" s="66"/>
      <c r="H364" s="66"/>
    </row>
    <row r="365" spans="1:8" ht="19.95" customHeight="1">
      <c r="A365" s="67" cm="1">
        <f t="array" ref="A365:A391">IFERROR(_xlfn.TEXTSPLIT(IFERROR(_xlfn.TEXTJOIN(",",TRUE,_xlfn._xlws.FILTER(BlockAllocations!$F$3:$F$20,BlockAllocations!$E$3:$E$20=BlockAllocations!$G$10)),""),,",")+0,"!")</f>
        <v>1</v>
      </c>
      <c r="B365" s="68" t="str">
        <f>IF(ISNA(VLOOKUP(A365,Declarations!B$6:C$185,2,FALSE)),"",IF(VLOOKUP(A365,Declarations!B$6:C$185,2,FALSE)="","---",VLOOKUP(A365,Declarations!B$6:C$185,2,FALSE)))</f>
        <v>EVNI DUNUSINGHE</v>
      </c>
      <c r="C365" s="68" t="str">
        <f>IF(ISNA(VLOOKUP(A365,Declarations!B$6:F$185,5,FALSE)),"",IF(VLOOKUP(A365,Declarations!B$6:F$185,5,FALSE)="","---",VLOOKUP(A365,Declarations!B$6:F$185,5,FALSE)))</f>
        <v>Camberley &amp; District AC</v>
      </c>
      <c r="D365" s="319" t="str">
        <f>IF(ISNA(VLOOKUP(A365,Declarations!B$6:F$185,4,FALSE)),"",IF(VLOOKUP(A365,Declarations!B$6:F$185,4,FALSE)="","---",VLOOKUP(A365,Declarations!B$6:F$185,4,FALSE)))</f>
        <v>GIRLS</v>
      </c>
      <c r="E365" s="67"/>
      <c r="F365" s="320"/>
      <c r="G365" s="244" t="s">
        <v>147</v>
      </c>
      <c r="H365" s="320"/>
    </row>
    <row r="366" spans="1:8" ht="19.95" customHeight="1">
      <c r="A366" s="67">
        <v>2</v>
      </c>
      <c r="B366" s="68" t="str">
        <f>IF(ISNA(VLOOKUP(A366,Declarations!B$6:C$185,2,FALSE)),"",IF(VLOOKUP(A366,Declarations!B$6:C$185,2,FALSE)="","---",VLOOKUP(A366,Declarations!B$6:C$185,2,FALSE)))</f>
        <v>POPPY READ</v>
      </c>
      <c r="C366" s="68" t="str">
        <f>IF(ISNA(VLOOKUP(A366,Declarations!B$6:F$185,5,FALSE)),"",IF(VLOOKUP(A366,Declarations!B$6:F$185,5,FALSE)="","---",VLOOKUP(A366,Declarations!B$6:F$185,5,FALSE)))</f>
        <v>Camberley &amp; District AC</v>
      </c>
      <c r="D366" s="319" t="str">
        <f>IF(ISNA(VLOOKUP(A366,Declarations!B$6:F$185,4,FALSE)),"",IF(VLOOKUP(A366,Declarations!B$6:F$185,4,FALSE)="","---",VLOOKUP(A366,Declarations!B$6:F$185,4,FALSE)))</f>
        <v>GIRLS</v>
      </c>
      <c r="E366" s="67"/>
      <c r="F366" s="320"/>
      <c r="G366" s="244" t="s">
        <v>147</v>
      </c>
      <c r="H366" s="320"/>
    </row>
    <row r="367" spans="1:8" ht="19.95" customHeight="1">
      <c r="A367" s="67">
        <v>3</v>
      </c>
      <c r="B367" s="68" t="str">
        <f>IF(ISNA(VLOOKUP(A367,Declarations!B$6:C$185,2,FALSE)),"",IF(VLOOKUP(A367,Declarations!B$6:C$185,2,FALSE)="","---",VLOOKUP(A367,Declarations!B$6:C$185,2,FALSE)))</f>
        <v>CHARLOTTE SHEPPARD</v>
      </c>
      <c r="C367" s="68" t="str">
        <f>IF(ISNA(VLOOKUP(A367,Declarations!B$6:F$185,5,FALSE)),"",IF(VLOOKUP(A367,Declarations!B$6:F$185,5,FALSE)="","---",VLOOKUP(A367,Declarations!B$6:F$185,5,FALSE)))</f>
        <v>Camberley &amp; District AC</v>
      </c>
      <c r="D367" s="319" t="str">
        <f>IF(ISNA(VLOOKUP(A367,Declarations!B$6:F$185,4,FALSE)),"",IF(VLOOKUP(A367,Declarations!B$6:F$185,4,FALSE)="","---",VLOOKUP(A367,Declarations!B$6:F$185,4,FALSE)))</f>
        <v>GIRLS</v>
      </c>
      <c r="E367" s="67"/>
      <c r="F367" s="320"/>
      <c r="G367" s="244" t="s">
        <v>147</v>
      </c>
      <c r="H367" s="320"/>
    </row>
    <row r="368" spans="1:8" ht="19.95" customHeight="1">
      <c r="A368" s="67">
        <v>4</v>
      </c>
      <c r="B368" s="68" t="str">
        <f>IF(ISNA(VLOOKUP(A368,Declarations!B$6:C$185,2,FALSE)),"",IF(VLOOKUP(A368,Declarations!B$6:C$185,2,FALSE)="","---",VLOOKUP(A368,Declarations!B$6:C$185,2,FALSE)))</f>
        <v>AVA WANLESS</v>
      </c>
      <c r="C368" s="68" t="str">
        <f>IF(ISNA(VLOOKUP(A368,Declarations!B$6:F$185,5,FALSE)),"",IF(VLOOKUP(A368,Declarations!B$6:F$185,5,FALSE)="","---",VLOOKUP(A368,Declarations!B$6:F$185,5,FALSE)))</f>
        <v>Camberley &amp; District AC</v>
      </c>
      <c r="D368" s="319" t="str">
        <f>IF(ISNA(VLOOKUP(A368,Declarations!B$6:F$185,4,FALSE)),"",IF(VLOOKUP(A368,Declarations!B$6:F$185,4,FALSE)="","---",VLOOKUP(A368,Declarations!B$6:F$185,4,FALSE)))</f>
        <v>GIRLS</v>
      </c>
      <c r="E368" s="67"/>
      <c r="F368" s="320"/>
      <c r="G368" s="244" t="s">
        <v>147</v>
      </c>
      <c r="H368" s="320"/>
    </row>
    <row r="369" spans="1:8" ht="19.95" customHeight="1">
      <c r="A369" s="67">
        <v>5</v>
      </c>
      <c r="B369" s="68" t="str">
        <f>IF(ISNA(VLOOKUP(A369,Declarations!B$6:C$185,2,FALSE)),"",IF(VLOOKUP(A369,Declarations!B$6:C$185,2,FALSE)="","---",VLOOKUP(A369,Declarations!B$6:C$185,2,FALSE)))</f>
        <v>EMILIA-MAE O'DWYER</v>
      </c>
      <c r="C369" s="68" t="str">
        <f>IF(ISNA(VLOOKUP(A369,Declarations!B$6:F$185,5,FALSE)),"",IF(VLOOKUP(A369,Declarations!B$6:F$185,5,FALSE)="","---",VLOOKUP(A369,Declarations!B$6:F$185,5,FALSE)))</f>
        <v>Camberley &amp; District AC</v>
      </c>
      <c r="D369" s="319" t="str">
        <f>IF(ISNA(VLOOKUP(A369,Declarations!B$6:F$185,4,FALSE)),"",IF(VLOOKUP(A369,Declarations!B$6:F$185,4,FALSE)="","---",VLOOKUP(A369,Declarations!B$6:F$185,4,FALSE)))</f>
        <v>GIRLS</v>
      </c>
      <c r="E369" s="67"/>
      <c r="F369" s="320"/>
      <c r="G369" s="244" t="s">
        <v>147</v>
      </c>
      <c r="H369" s="320"/>
    </row>
    <row r="370" spans="1:8" ht="19.95" customHeight="1">
      <c r="A370" s="67">
        <v>6</v>
      </c>
      <c r="B370" s="68" t="str">
        <f>IF(ISNA(VLOOKUP(A370,Declarations!B$6:C$185,2,FALSE)),"",IF(VLOOKUP(A370,Declarations!B$6:C$185,2,FALSE)="","---",VLOOKUP(A370,Declarations!B$6:C$185,2,FALSE)))</f>
        <v>RUBY WILLIAMS</v>
      </c>
      <c r="C370" s="68" t="str">
        <f>IF(ISNA(VLOOKUP(A370,Declarations!B$6:F$185,5,FALSE)),"",IF(VLOOKUP(A370,Declarations!B$6:F$185,5,FALSE)="","---",VLOOKUP(A370,Declarations!B$6:F$185,5,FALSE)))</f>
        <v>Camberley &amp; District AC</v>
      </c>
      <c r="D370" s="319" t="str">
        <f>IF(ISNA(VLOOKUP(A370,Declarations!B$6:F$185,4,FALSE)),"",IF(VLOOKUP(A370,Declarations!B$6:F$185,4,FALSE)="","---",VLOOKUP(A370,Declarations!B$6:F$185,4,FALSE)))</f>
        <v>GIRLS</v>
      </c>
      <c r="E370" s="67"/>
      <c r="F370" s="320"/>
      <c r="G370" s="244" t="s">
        <v>147</v>
      </c>
      <c r="H370" s="320"/>
    </row>
    <row r="371" spans="1:8" ht="19.95" customHeight="1">
      <c r="A371" s="67">
        <v>7</v>
      </c>
      <c r="B371" s="68" t="str">
        <f>IF(ISNA(VLOOKUP(A371,Declarations!B$6:C$185,2,FALSE)),"",IF(VLOOKUP(A371,Declarations!B$6:C$185,2,FALSE)="","---",VLOOKUP(A371,Declarations!B$6:C$185,2,FALSE)))</f>
        <v>LEA MIZEN</v>
      </c>
      <c r="C371" s="68" t="str">
        <f>IF(ISNA(VLOOKUP(A371,Declarations!B$6:F$185,5,FALSE)),"",IF(VLOOKUP(A371,Declarations!B$6:F$185,5,FALSE)="","---",VLOOKUP(A371,Declarations!B$6:F$185,5,FALSE)))</f>
        <v>Camberley &amp; District AC</v>
      </c>
      <c r="D371" s="319" t="str">
        <f>IF(ISNA(VLOOKUP(A371,Declarations!B$6:F$185,4,FALSE)),"",IF(VLOOKUP(A371,Declarations!B$6:F$185,4,FALSE)="","---",VLOOKUP(A371,Declarations!B$6:F$185,4,FALSE)))</f>
        <v>GIRLS</v>
      </c>
      <c r="E371" s="67"/>
      <c r="F371" s="320"/>
      <c r="G371" s="244" t="s">
        <v>147</v>
      </c>
      <c r="H371" s="320"/>
    </row>
    <row r="372" spans="1:8" ht="19.95" customHeight="1">
      <c r="A372" s="67">
        <v>8</v>
      </c>
      <c r="B372" s="68" t="str">
        <f>IF(ISNA(VLOOKUP(A372,Declarations!B$6:C$185,2,FALSE)),"",IF(VLOOKUP(A372,Declarations!B$6:C$185,2,FALSE)="","---",VLOOKUP(A372,Declarations!B$6:C$185,2,FALSE)))</f>
        <v>CHLOE HARRISON</v>
      </c>
      <c r="C372" s="68" t="str">
        <f>IF(ISNA(VLOOKUP(A372,Declarations!B$6:F$185,5,FALSE)),"",IF(VLOOKUP(A372,Declarations!B$6:F$185,5,FALSE)="","---",VLOOKUP(A372,Declarations!B$6:F$185,5,FALSE)))</f>
        <v>Camberley &amp; District AC</v>
      </c>
      <c r="D372" s="319" t="str">
        <f>IF(ISNA(VLOOKUP(A372,Declarations!B$6:F$185,4,FALSE)),"",IF(VLOOKUP(A372,Declarations!B$6:F$185,4,FALSE)="","---",VLOOKUP(A372,Declarations!B$6:F$185,4,FALSE)))</f>
        <v>GIRLS</v>
      </c>
      <c r="E372" s="67"/>
      <c r="F372" s="320"/>
      <c r="G372" s="244" t="s">
        <v>147</v>
      </c>
      <c r="H372" s="320"/>
    </row>
    <row r="373" spans="1:8" ht="19.95" customHeight="1">
      <c r="A373" s="67">
        <v>21</v>
      </c>
      <c r="B373" s="68" t="str">
        <f>IF(ISNA(VLOOKUP(A373,Declarations!B$6:C$185,2,FALSE)),"",IF(VLOOKUP(A373,Declarations!B$6:C$185,2,FALSE)="","---",VLOOKUP(A373,Declarations!B$6:C$185,2,FALSE)))</f>
        <v>ELISE ABDELLI</v>
      </c>
      <c r="C373" s="68" t="str">
        <f>IF(ISNA(VLOOKUP(A373,Declarations!B$6:F$185,5,FALSE)),"",IF(VLOOKUP(A373,Declarations!B$6:F$185,5,FALSE)="","---",VLOOKUP(A373,Declarations!B$6:F$185,5,FALSE)))</f>
        <v>Woking AC</v>
      </c>
      <c r="D373" s="319" t="str">
        <f>IF(ISNA(VLOOKUP(A373,Declarations!B$6:F$185,4,FALSE)),"",IF(VLOOKUP(A373,Declarations!B$6:F$185,4,FALSE)="","---",VLOOKUP(A373,Declarations!B$6:F$185,4,FALSE)))</f>
        <v>GIRLS</v>
      </c>
      <c r="E373" s="67"/>
      <c r="F373" s="320"/>
      <c r="G373" s="244" t="s">
        <v>147</v>
      </c>
      <c r="H373" s="320"/>
    </row>
    <row r="374" spans="1:8" ht="19.95" customHeight="1">
      <c r="A374" s="67">
        <v>22</v>
      </c>
      <c r="B374" s="68" t="str">
        <f>IF(ISNA(VLOOKUP(A374,Declarations!B$6:C$185,2,FALSE)),"",IF(VLOOKUP(A374,Declarations!B$6:C$185,2,FALSE)="","---",VLOOKUP(A374,Declarations!B$6:C$185,2,FALSE)))</f>
        <v>FRANKIE ICETON</v>
      </c>
      <c r="C374" s="68" t="str">
        <f>IF(ISNA(VLOOKUP(A374,Declarations!B$6:F$185,5,FALSE)),"",IF(VLOOKUP(A374,Declarations!B$6:F$185,5,FALSE)="","---",VLOOKUP(A374,Declarations!B$6:F$185,5,FALSE)))</f>
        <v>Woking AC</v>
      </c>
      <c r="D374" s="319" t="str">
        <f>IF(ISNA(VLOOKUP(A374,Declarations!B$6:F$185,4,FALSE)),"",IF(VLOOKUP(A374,Declarations!B$6:F$185,4,FALSE)="","---",VLOOKUP(A374,Declarations!B$6:F$185,4,FALSE)))</f>
        <v>GIRLS</v>
      </c>
      <c r="E374" s="67"/>
      <c r="F374" s="320"/>
      <c r="G374" s="244" t="s">
        <v>147</v>
      </c>
      <c r="H374" s="320"/>
    </row>
    <row r="375" spans="1:8" ht="19.95" customHeight="1">
      <c r="A375" s="67">
        <v>23</v>
      </c>
      <c r="B375" s="68" t="str">
        <f>IF(ISNA(VLOOKUP(A375,Declarations!B$6:C$185,2,FALSE)),"",IF(VLOOKUP(A375,Declarations!B$6:C$185,2,FALSE)="","---",VLOOKUP(A375,Declarations!B$6:C$185,2,FALSE)))</f>
        <v>ALIYAH KENNAUGH</v>
      </c>
      <c r="C375" s="68" t="str">
        <f>IF(ISNA(VLOOKUP(A375,Declarations!B$6:F$185,5,FALSE)),"",IF(VLOOKUP(A375,Declarations!B$6:F$185,5,FALSE)="","---",VLOOKUP(A375,Declarations!B$6:F$185,5,FALSE)))</f>
        <v>Woking AC</v>
      </c>
      <c r="D375" s="319" t="str">
        <f>IF(ISNA(VLOOKUP(A375,Declarations!B$6:F$185,4,FALSE)),"",IF(VLOOKUP(A375,Declarations!B$6:F$185,4,FALSE)="","---",VLOOKUP(A375,Declarations!B$6:F$185,4,FALSE)))</f>
        <v>GIRLS</v>
      </c>
      <c r="E375" s="67"/>
      <c r="F375" s="320"/>
      <c r="G375" s="244" t="s">
        <v>147</v>
      </c>
      <c r="H375" s="320"/>
    </row>
    <row r="376" spans="1:8" ht="19.95" customHeight="1">
      <c r="A376" s="67">
        <v>24</v>
      </c>
      <c r="B376" s="68" t="str">
        <f>IF(ISNA(VLOOKUP(A376,Declarations!B$6:C$185,2,FALSE)),"",IF(VLOOKUP(A376,Declarations!B$6:C$185,2,FALSE)="","---",VLOOKUP(A376,Declarations!B$6:C$185,2,FALSE)))</f>
        <v>ELIN PERERA</v>
      </c>
      <c r="C376" s="68" t="str">
        <f>IF(ISNA(VLOOKUP(A376,Declarations!B$6:F$185,5,FALSE)),"",IF(VLOOKUP(A376,Declarations!B$6:F$185,5,FALSE)="","---",VLOOKUP(A376,Declarations!B$6:F$185,5,FALSE)))</f>
        <v>Woking AC</v>
      </c>
      <c r="D376" s="319" t="str">
        <f>IF(ISNA(VLOOKUP(A376,Declarations!B$6:F$185,4,FALSE)),"",IF(VLOOKUP(A376,Declarations!B$6:F$185,4,FALSE)="","---",VLOOKUP(A376,Declarations!B$6:F$185,4,FALSE)))</f>
        <v>GIRLS</v>
      </c>
      <c r="E376" s="67"/>
      <c r="F376" s="320"/>
      <c r="G376" s="244" t="s">
        <v>147</v>
      </c>
      <c r="H376" s="320"/>
    </row>
    <row r="377" spans="1:8" ht="19.95" customHeight="1">
      <c r="A377" s="67">
        <v>25</v>
      </c>
      <c r="B377" s="68" t="str">
        <f>IF(ISNA(VLOOKUP(A377,Declarations!B$6:C$185,2,FALSE)),"",IF(VLOOKUP(A377,Declarations!B$6:C$185,2,FALSE)="","---",VLOOKUP(A377,Declarations!B$6:C$185,2,FALSE)))</f>
        <v>LILY COPP</v>
      </c>
      <c r="C377" s="68" t="str">
        <f>IF(ISNA(VLOOKUP(A377,Declarations!B$6:F$185,5,FALSE)),"",IF(VLOOKUP(A377,Declarations!B$6:F$185,5,FALSE)="","---",VLOOKUP(A377,Declarations!B$6:F$185,5,FALSE)))</f>
        <v>Woking AC</v>
      </c>
      <c r="D377" s="319" t="str">
        <f>IF(ISNA(VLOOKUP(A377,Declarations!B$6:F$185,4,FALSE)),"",IF(VLOOKUP(A377,Declarations!B$6:F$185,4,FALSE)="","---",VLOOKUP(A377,Declarations!B$6:F$185,4,FALSE)))</f>
        <v>GIRLS</v>
      </c>
      <c r="E377" s="67"/>
      <c r="F377" s="320"/>
      <c r="G377" s="244" t="s">
        <v>147</v>
      </c>
      <c r="H377" s="320"/>
    </row>
    <row r="378" spans="1:8" ht="19.95" customHeight="1">
      <c r="A378" s="67">
        <v>26</v>
      </c>
      <c r="B378" s="68" t="str">
        <f>IF(ISNA(VLOOKUP(A378,Declarations!B$6:C$185,2,FALSE)),"",IF(VLOOKUP(A378,Declarations!B$6:C$185,2,FALSE)="","---",VLOOKUP(A378,Declarations!B$6:C$185,2,FALSE)))</f>
        <v>EDEN WECKI</v>
      </c>
      <c r="C378" s="68" t="str">
        <f>IF(ISNA(VLOOKUP(A378,Declarations!B$6:F$185,5,FALSE)),"",IF(VLOOKUP(A378,Declarations!B$6:F$185,5,FALSE)="","---",VLOOKUP(A378,Declarations!B$6:F$185,5,FALSE)))</f>
        <v>Woking AC</v>
      </c>
      <c r="D378" s="319" t="str">
        <f>IF(ISNA(VLOOKUP(A378,Declarations!B$6:F$185,4,FALSE)),"",IF(VLOOKUP(A378,Declarations!B$6:F$185,4,FALSE)="","---",VLOOKUP(A378,Declarations!B$6:F$185,4,FALSE)))</f>
        <v>GIRLS</v>
      </c>
      <c r="E378" s="67"/>
      <c r="F378" s="320"/>
      <c r="G378" s="244" t="s">
        <v>147</v>
      </c>
      <c r="H378" s="320"/>
    </row>
    <row r="379" spans="1:8" ht="19.95" customHeight="1">
      <c r="A379" s="67">
        <v>27</v>
      </c>
      <c r="B379" s="68" t="str">
        <f>IF(ISNA(VLOOKUP(A379,Declarations!B$6:C$185,2,FALSE)),"",IF(VLOOKUP(A379,Declarations!B$6:C$185,2,FALSE)="","---",VLOOKUP(A379,Declarations!B$6:C$185,2,FALSE)))</f>
        <v>SOPHIE GBAJOBI</v>
      </c>
      <c r="C379" s="68" t="str">
        <f>IF(ISNA(VLOOKUP(A379,Declarations!B$6:F$185,5,FALSE)),"",IF(VLOOKUP(A379,Declarations!B$6:F$185,5,FALSE)="","---",VLOOKUP(A379,Declarations!B$6:F$185,5,FALSE)))</f>
        <v>Woking AC</v>
      </c>
      <c r="D379" s="319" t="str">
        <f>IF(ISNA(VLOOKUP(A379,Declarations!B$6:F$185,4,FALSE)),"",IF(VLOOKUP(A379,Declarations!B$6:F$185,4,FALSE)="","---",VLOOKUP(A379,Declarations!B$6:F$185,4,FALSE)))</f>
        <v>GIRLS</v>
      </c>
      <c r="E379" s="67"/>
      <c r="F379" s="320"/>
      <c r="G379" s="244" t="s">
        <v>147</v>
      </c>
      <c r="H379" s="320"/>
    </row>
    <row r="380" spans="1:8" ht="19.95" customHeight="1">
      <c r="A380" s="67">
        <v>28</v>
      </c>
      <c r="B380" s="68" t="str">
        <f>IF(ISNA(VLOOKUP(A380,Declarations!B$6:C$185,2,FALSE)),"",IF(VLOOKUP(A380,Declarations!B$6:C$185,2,FALSE)="","---",VLOOKUP(A380,Declarations!B$6:C$185,2,FALSE)))</f>
        <v>ALANA FOOTE</v>
      </c>
      <c r="C380" s="68" t="str">
        <f>IF(ISNA(VLOOKUP(A380,Declarations!B$6:F$185,5,FALSE)),"",IF(VLOOKUP(A380,Declarations!B$6:F$185,5,FALSE)="","---",VLOOKUP(A380,Declarations!B$6:F$185,5,FALSE)))</f>
        <v>Woking AC</v>
      </c>
      <c r="D380" s="319" t="str">
        <f>IF(ISNA(VLOOKUP(A380,Declarations!B$6:F$185,4,FALSE)),"",IF(VLOOKUP(A380,Declarations!B$6:F$185,4,FALSE)="","---",VLOOKUP(A380,Declarations!B$6:F$185,4,FALSE)))</f>
        <v>GIRLS</v>
      </c>
      <c r="E380" s="67"/>
      <c r="F380" s="320"/>
      <c r="G380" s="244" t="s">
        <v>147</v>
      </c>
      <c r="H380" s="320"/>
    </row>
    <row r="381" spans="1:8" ht="19.95" customHeight="1">
      <c r="A381" s="67">
        <v>29</v>
      </c>
      <c r="B381" s="68" t="str">
        <f>IF(ISNA(VLOOKUP(A381,Declarations!B$6:C$185,2,FALSE)),"",IF(VLOOKUP(A381,Declarations!B$6:C$185,2,FALSE)="","---",VLOOKUP(A381,Declarations!B$6:C$185,2,FALSE)))</f>
        <v>KATIE TAYLOR</v>
      </c>
      <c r="C381" s="68" t="str">
        <f>IF(ISNA(VLOOKUP(A381,Declarations!B$6:F$185,5,FALSE)),"",IF(VLOOKUP(A381,Declarations!B$6:F$185,5,FALSE)="","---",VLOOKUP(A381,Declarations!B$6:F$185,5,FALSE)))</f>
        <v>Woking AC</v>
      </c>
      <c r="D381" s="319" t="str">
        <f>IF(ISNA(VLOOKUP(A381,Declarations!B$6:F$185,4,FALSE)),"",IF(VLOOKUP(A381,Declarations!B$6:F$185,4,FALSE)="","---",VLOOKUP(A381,Declarations!B$6:F$185,4,FALSE)))</f>
        <v>GIRLS</v>
      </c>
      <c r="E381" s="320"/>
      <c r="F381" s="320"/>
      <c r="G381" s="244" t="s">
        <v>147</v>
      </c>
      <c r="H381" s="320"/>
    </row>
    <row r="382" spans="1:8" ht="19.95" customHeight="1">
      <c r="A382" s="67">
        <v>41</v>
      </c>
      <c r="B382" s="68" t="str">
        <f>IF(ISNA(VLOOKUP(A382,Declarations!B$6:C$185,2,FALSE)),"",IF(VLOOKUP(A382,Declarations!B$6:C$185,2,FALSE)="","---",VLOOKUP(A382,Declarations!B$6:C$185,2,FALSE)))</f>
        <v>KAMILA OLATEJU</v>
      </c>
      <c r="C382" s="68" t="str">
        <f>IF(ISNA(VLOOKUP(A382,Declarations!B$6:F$185,5,FALSE)),"",IF(VLOOKUP(A382,Declarations!B$6:F$185,5,FALSE)="","---",VLOOKUP(A382,Declarations!B$6:F$185,5,FALSE)))</f>
        <v>Poole Runners</v>
      </c>
      <c r="D382" s="319" t="str">
        <f>IF(ISNA(VLOOKUP(A382,Declarations!B$6:F$185,4,FALSE)),"",IF(VLOOKUP(A382,Declarations!B$6:F$185,4,FALSE)="","---",VLOOKUP(A382,Declarations!B$6:F$185,4,FALSE)))</f>
        <v>GIRLS</v>
      </c>
      <c r="E382" s="320"/>
      <c r="F382" s="320"/>
      <c r="G382" s="244" t="s">
        <v>147</v>
      </c>
      <c r="H382" s="320"/>
    </row>
    <row r="383" spans="1:8" ht="19.95" customHeight="1">
      <c r="A383" s="67">
        <v>42</v>
      </c>
      <c r="B383" s="68" t="str">
        <f>IF(ISNA(VLOOKUP(A383,Declarations!B$6:C$185,2,FALSE)),"",IF(VLOOKUP(A383,Declarations!B$6:C$185,2,FALSE)="","---",VLOOKUP(A383,Declarations!B$6:C$185,2,FALSE)))</f>
        <v>ROSE NEIL</v>
      </c>
      <c r="C383" s="68" t="str">
        <f>IF(ISNA(VLOOKUP(A383,Declarations!B$6:F$185,5,FALSE)),"",IF(VLOOKUP(A383,Declarations!B$6:F$185,5,FALSE)="","---",VLOOKUP(A383,Declarations!B$6:F$185,5,FALSE)))</f>
        <v>Poole Runners</v>
      </c>
      <c r="D383" s="319" t="str">
        <f>IF(ISNA(VLOOKUP(A383,Declarations!B$6:F$185,4,FALSE)),"",IF(VLOOKUP(A383,Declarations!B$6:F$185,4,FALSE)="","---",VLOOKUP(A383,Declarations!B$6:F$185,4,FALSE)))</f>
        <v>GIRLS</v>
      </c>
      <c r="E383" s="320"/>
      <c r="F383" s="320"/>
      <c r="G383" s="244" t="s">
        <v>147</v>
      </c>
      <c r="H383" s="320"/>
    </row>
    <row r="384" spans="1:8" ht="19.95" customHeight="1">
      <c r="A384" s="67">
        <v>43</v>
      </c>
      <c r="B384" s="68" t="str">
        <f>IF(ISNA(VLOOKUP(A384,Declarations!B$6:C$185,2,FALSE)),"",IF(VLOOKUP(A384,Declarations!B$6:C$185,2,FALSE)="","---",VLOOKUP(A384,Declarations!B$6:C$185,2,FALSE)))</f>
        <v>DORA DOMA</v>
      </c>
      <c r="C384" s="68" t="str">
        <f>IF(ISNA(VLOOKUP(A384,Declarations!B$6:F$185,5,FALSE)),"",IF(VLOOKUP(A384,Declarations!B$6:F$185,5,FALSE)="","---",VLOOKUP(A384,Declarations!B$6:F$185,5,FALSE)))</f>
        <v>Poole Runners</v>
      </c>
      <c r="D384" s="319" t="str">
        <f>IF(ISNA(VLOOKUP(A384,Declarations!B$6:F$185,4,FALSE)),"",IF(VLOOKUP(A384,Declarations!B$6:F$185,4,FALSE)="","---",VLOOKUP(A384,Declarations!B$6:F$185,4,FALSE)))</f>
        <v>GIRLS</v>
      </c>
      <c r="E384" s="320"/>
      <c r="F384" s="320"/>
      <c r="G384" s="244" t="s">
        <v>147</v>
      </c>
      <c r="H384" s="320"/>
    </row>
    <row r="385" spans="1:8" ht="19.95" customHeight="1">
      <c r="A385" s="67">
        <v>44</v>
      </c>
      <c r="B385" s="68" t="str">
        <f>IF(ISNA(VLOOKUP(A385,Declarations!B$6:C$185,2,FALSE)),"",IF(VLOOKUP(A385,Declarations!B$6:C$185,2,FALSE)="","---",VLOOKUP(A385,Declarations!B$6:C$185,2,FALSE)))</f>
        <v>POLLY WARBOYS</v>
      </c>
      <c r="C385" s="68" t="str">
        <f>IF(ISNA(VLOOKUP(A385,Declarations!B$6:F$185,5,FALSE)),"",IF(VLOOKUP(A385,Declarations!B$6:F$185,5,FALSE)="","---",VLOOKUP(A385,Declarations!B$6:F$185,5,FALSE)))</f>
        <v>Poole Runners</v>
      </c>
      <c r="D385" s="319" t="str">
        <f>IF(ISNA(VLOOKUP(A385,Declarations!B$6:F$185,4,FALSE)),"",IF(VLOOKUP(A385,Declarations!B$6:F$185,4,FALSE)="","---",VLOOKUP(A385,Declarations!B$6:F$185,4,FALSE)))</f>
        <v>GIRLS</v>
      </c>
      <c r="E385" s="320"/>
      <c r="F385" s="320"/>
      <c r="G385" s="244" t="s">
        <v>147</v>
      </c>
      <c r="H385" s="320"/>
    </row>
    <row r="386" spans="1:8" ht="19.95" customHeight="1">
      <c r="A386" s="67">
        <v>45</v>
      </c>
      <c r="B386" s="68" t="str">
        <f>IF(ISNA(VLOOKUP(A386,Declarations!B$6:C$185,2,FALSE)),"",IF(VLOOKUP(A386,Declarations!B$6:C$185,2,FALSE)="","---",VLOOKUP(A386,Declarations!B$6:C$185,2,FALSE)))</f>
        <v>VIOLET FULLING</v>
      </c>
      <c r="C386" s="68" t="str">
        <f>IF(ISNA(VLOOKUP(A386,Declarations!B$6:F$185,5,FALSE)),"",IF(VLOOKUP(A386,Declarations!B$6:F$185,5,FALSE)="","---",VLOOKUP(A386,Declarations!B$6:F$185,5,FALSE)))</f>
        <v>Poole Runners</v>
      </c>
      <c r="D386" s="319" t="str">
        <f>IF(ISNA(VLOOKUP(A386,Declarations!B$6:F$185,4,FALSE)),"",IF(VLOOKUP(A386,Declarations!B$6:F$185,4,FALSE)="","---",VLOOKUP(A386,Declarations!B$6:F$185,4,FALSE)))</f>
        <v>GIRLS</v>
      </c>
      <c r="E386" s="320"/>
      <c r="F386" s="320"/>
      <c r="G386" s="244" t="s">
        <v>147</v>
      </c>
      <c r="H386" s="320"/>
    </row>
    <row r="387" spans="1:8" ht="19.95" customHeight="1">
      <c r="A387" s="67">
        <v>46</v>
      </c>
      <c r="B387" s="68" t="str">
        <f>IF(ISNA(VLOOKUP(A387,Declarations!B$6:C$185,2,FALSE)),"",IF(VLOOKUP(A387,Declarations!B$6:C$185,2,FALSE)="","---",VLOOKUP(A387,Declarations!B$6:C$185,2,FALSE)))</f>
        <v>BROOKE PARRY-DAVIDSON</v>
      </c>
      <c r="C387" s="68" t="str">
        <f>IF(ISNA(VLOOKUP(A387,Declarations!B$6:F$185,5,FALSE)),"",IF(VLOOKUP(A387,Declarations!B$6:F$185,5,FALSE)="","---",VLOOKUP(A387,Declarations!B$6:F$185,5,FALSE)))</f>
        <v>Poole Runners</v>
      </c>
      <c r="D387" s="319" t="str">
        <f>IF(ISNA(VLOOKUP(A387,Declarations!B$6:F$185,4,FALSE)),"",IF(VLOOKUP(A387,Declarations!B$6:F$185,4,FALSE)="","---",VLOOKUP(A387,Declarations!B$6:F$185,4,FALSE)))</f>
        <v>GIRLS</v>
      </c>
      <c r="E387" s="320"/>
      <c r="F387" s="320"/>
      <c r="G387" s="244" t="s">
        <v>147</v>
      </c>
      <c r="H387" s="320"/>
    </row>
    <row r="388" spans="1:8" ht="19.95" customHeight="1">
      <c r="A388" s="67">
        <v>47</v>
      </c>
      <c r="B388" s="68" t="str">
        <f>IF(ISNA(VLOOKUP(A388,Declarations!B$6:C$185,2,FALSE)),"",IF(VLOOKUP(A388,Declarations!B$6:C$185,2,FALSE)="","---",VLOOKUP(A388,Declarations!B$6:C$185,2,FALSE)))</f>
        <v>JESSICA FRANK</v>
      </c>
      <c r="C388" s="68" t="str">
        <f>IF(ISNA(VLOOKUP(A388,Declarations!B$6:F$185,5,FALSE)),"",IF(VLOOKUP(A388,Declarations!B$6:F$185,5,FALSE)="","---",VLOOKUP(A388,Declarations!B$6:F$185,5,FALSE)))</f>
        <v>Poole Runners</v>
      </c>
      <c r="D388" s="319" t="str">
        <f>IF(ISNA(VLOOKUP(A388,Declarations!B$6:F$185,4,FALSE)),"",IF(VLOOKUP(A388,Declarations!B$6:F$185,4,FALSE)="","---",VLOOKUP(A388,Declarations!B$6:F$185,4,FALSE)))</f>
        <v>GIRLS</v>
      </c>
      <c r="E388" s="320"/>
      <c r="F388" s="320"/>
      <c r="G388" s="244" t="s">
        <v>147</v>
      </c>
      <c r="H388" s="320"/>
    </row>
    <row r="389" spans="1:8" ht="19.95" customHeight="1">
      <c r="A389" s="67">
        <v>48</v>
      </c>
      <c r="B389" s="68" t="str">
        <f>IF(ISNA(VLOOKUP(A389,Declarations!B$6:C$185,2,FALSE)),"",IF(VLOOKUP(A389,Declarations!B$6:C$185,2,FALSE)="","---",VLOOKUP(A389,Declarations!B$6:C$185,2,FALSE)))</f>
        <v>MATILDA COATESMITH</v>
      </c>
      <c r="C389" s="68" t="str">
        <f>IF(ISNA(VLOOKUP(A389,Declarations!B$6:F$185,5,FALSE)),"",IF(VLOOKUP(A389,Declarations!B$6:F$185,5,FALSE)="","---",VLOOKUP(A389,Declarations!B$6:F$185,5,FALSE)))</f>
        <v>Poole Runners</v>
      </c>
      <c r="D389" s="319" t="str">
        <f>IF(ISNA(VLOOKUP(A389,Declarations!B$6:F$185,4,FALSE)),"",IF(VLOOKUP(A389,Declarations!B$6:F$185,4,FALSE)="","---",VLOOKUP(A389,Declarations!B$6:F$185,4,FALSE)))</f>
        <v>GIRLS</v>
      </c>
      <c r="E389" s="320"/>
      <c r="F389" s="320"/>
      <c r="G389" s="244" t="s">
        <v>147</v>
      </c>
      <c r="H389" s="320"/>
    </row>
    <row r="390" spans="1:8" ht="19.95" customHeight="1">
      <c r="A390" s="67">
        <v>49</v>
      </c>
      <c r="B390" s="68" t="str">
        <f>IF(ISNA(VLOOKUP(A390,Declarations!B$6:C$185,2,FALSE)),"",IF(VLOOKUP(A390,Declarations!B$6:C$185,2,FALSE)="","---",VLOOKUP(A390,Declarations!B$6:C$185,2,FALSE)))</f>
        <v>IZZY YOUNG</v>
      </c>
      <c r="C390" s="68" t="str">
        <f>IF(ISNA(VLOOKUP(A390,Declarations!B$6:F$185,5,FALSE)),"",IF(VLOOKUP(A390,Declarations!B$6:F$185,5,FALSE)="","---",VLOOKUP(A390,Declarations!B$6:F$185,5,FALSE)))</f>
        <v>Poole Runners</v>
      </c>
      <c r="D390" s="319" t="str">
        <f>IF(ISNA(VLOOKUP(A390,Declarations!B$6:F$185,4,FALSE)),"",IF(VLOOKUP(A390,Declarations!B$6:F$185,4,FALSE)="","---",VLOOKUP(A390,Declarations!B$6:F$185,4,FALSE)))</f>
        <v>GIRLS</v>
      </c>
      <c r="E390" s="320"/>
      <c r="F390" s="320"/>
      <c r="G390" s="244" t="s">
        <v>147</v>
      </c>
      <c r="H390" s="320"/>
    </row>
    <row r="391" spans="1:8" ht="19.95" customHeight="1">
      <c r="A391" s="67">
        <v>50</v>
      </c>
      <c r="B391" s="68" t="str">
        <f>IF(ISNA(VLOOKUP(A391,Declarations!B$6:C$185,2,FALSE)),"",IF(VLOOKUP(A391,Declarations!B$6:C$185,2,FALSE)="","---",VLOOKUP(A391,Declarations!B$6:C$185,2,FALSE)))</f>
        <v>WILLA GRAY</v>
      </c>
      <c r="C391" s="68" t="str">
        <f>IF(ISNA(VLOOKUP(A391,Declarations!B$6:F$185,5,FALSE)),"",IF(VLOOKUP(A391,Declarations!B$6:F$185,5,FALSE)="","---",VLOOKUP(A391,Declarations!B$6:F$185,5,FALSE)))</f>
        <v>Poole Runners</v>
      </c>
      <c r="D391" s="319" t="str">
        <f>IF(ISNA(VLOOKUP(A391,Declarations!B$6:F$185,4,FALSE)),"",IF(VLOOKUP(A391,Declarations!B$6:F$185,4,FALSE)="","---",VLOOKUP(A391,Declarations!B$6:F$185,4,FALSE)))</f>
        <v>GIRLS</v>
      </c>
      <c r="E391" s="320"/>
      <c r="F391" s="320"/>
      <c r="G391" s="244" t="s">
        <v>147</v>
      </c>
      <c r="H391" s="320"/>
    </row>
    <row r="392" spans="1:8" ht="19.95" customHeight="1">
      <c r="A392" s="67"/>
      <c r="B392" s="68" t="str">
        <f>IF(ISNA(VLOOKUP(A392,Declarations!B$6:C$185,2,FALSE)),"",IF(VLOOKUP(A392,Declarations!B$6:C$185,2,FALSE)="","---",VLOOKUP(A392,Declarations!B$6:C$185,2,FALSE)))</f>
        <v/>
      </c>
      <c r="C392" s="68" t="str">
        <f>IF(ISNA(VLOOKUP(A392,Declarations!B$6:F$185,5,FALSE)),"",IF(VLOOKUP(A392,Declarations!B$6:F$185,5,FALSE)="","---",VLOOKUP(A392,Declarations!B$6:F$185,5,FALSE)))</f>
        <v/>
      </c>
      <c r="D392" s="319" t="str">
        <f>IF(ISNA(VLOOKUP(A392,Declarations!B$6:F$185,4,FALSE)),"",IF(VLOOKUP(A392,Declarations!B$6:F$185,4,FALSE)="","---",VLOOKUP(A392,Declarations!B$6:F$185,4,FALSE)))</f>
        <v/>
      </c>
      <c r="E392" s="320"/>
      <c r="F392" s="320"/>
      <c r="G392" s="244" t="s">
        <v>147</v>
      </c>
      <c r="H392" s="320"/>
    </row>
    <row r="393" spans="1:8" ht="19.95" customHeight="1">
      <c r="A393" s="67"/>
      <c r="B393" s="68" t="str">
        <f>IF(ISNA(VLOOKUP(A393,Declarations!B$6:C$185,2,FALSE)),"",IF(VLOOKUP(A393,Declarations!B$6:C$185,2,FALSE)="","---",VLOOKUP(A393,Declarations!B$6:C$185,2,FALSE)))</f>
        <v/>
      </c>
      <c r="C393" s="68" t="str">
        <f>IF(ISNA(VLOOKUP(A393,Declarations!B$6:F$185,5,FALSE)),"",IF(VLOOKUP(A393,Declarations!B$6:F$185,5,FALSE)="","---",VLOOKUP(A393,Declarations!B$6:F$185,5,FALSE)))</f>
        <v/>
      </c>
      <c r="D393" s="319" t="str">
        <f>IF(ISNA(VLOOKUP(A393,Declarations!B$6:F$185,4,FALSE)),"",IF(VLOOKUP(A393,Declarations!B$6:F$185,4,FALSE)="","---",VLOOKUP(A393,Declarations!B$6:F$185,4,FALSE)))</f>
        <v/>
      </c>
      <c r="E393" s="320"/>
      <c r="F393" s="320"/>
      <c r="G393" s="244" t="s">
        <v>147</v>
      </c>
      <c r="H393" s="320"/>
    </row>
    <row r="394" spans="1:8" ht="19.95" customHeight="1">
      <c r="A394" s="67"/>
      <c r="B394" s="68" t="str">
        <f>IF(ISNA(VLOOKUP(A394,Declarations!B$6:C$185,2,FALSE)),"",IF(VLOOKUP(A394,Declarations!B$6:C$185,2,FALSE)="","---",VLOOKUP(A394,Declarations!B$6:C$185,2,FALSE)))</f>
        <v/>
      </c>
      <c r="C394" s="68" t="str">
        <f>IF(ISNA(VLOOKUP(A394,Declarations!B$6:F$185,5,FALSE)),"",IF(VLOOKUP(A394,Declarations!B$6:F$185,5,FALSE)="","---",VLOOKUP(A394,Declarations!B$6:F$185,5,FALSE)))</f>
        <v/>
      </c>
      <c r="D394" s="319" t="str">
        <f>IF(ISNA(VLOOKUP(A394,Declarations!B$6:F$185,4,FALSE)),"",IF(VLOOKUP(A394,Declarations!B$6:F$185,4,FALSE)="","---",VLOOKUP(A394,Declarations!B$6:F$185,4,FALSE)))</f>
        <v/>
      </c>
      <c r="E394" s="320"/>
      <c r="F394" s="320"/>
      <c r="G394" s="244" t="s">
        <v>147</v>
      </c>
      <c r="H394" s="320"/>
    </row>
    <row r="395" spans="1:8" ht="15.6">
      <c r="A395" s="69"/>
      <c r="B395" s="70"/>
      <c r="C395" s="70"/>
      <c r="D395" s="70"/>
      <c r="E395" s="71"/>
      <c r="F395" s="71"/>
      <c r="G395" s="71"/>
      <c r="H395" s="71"/>
    </row>
    <row r="396" spans="1:8" ht="15.6">
      <c r="A396" s="69"/>
      <c r="B396" s="70"/>
      <c r="C396" s="70"/>
      <c r="D396" s="70"/>
      <c r="E396" s="498" t="s">
        <v>138</v>
      </c>
      <c r="F396" s="498"/>
      <c r="G396" s="490" t="s">
        <v>139</v>
      </c>
      <c r="H396" s="490"/>
    </row>
    <row r="397" spans="1:8" ht="15.6">
      <c r="A397" s="69"/>
      <c r="B397" s="503" t="s">
        <v>148</v>
      </c>
      <c r="C397" s="504"/>
      <c r="D397" s="70"/>
      <c r="E397" s="490"/>
      <c r="F397" s="490"/>
      <c r="G397" s="490"/>
      <c r="H397" s="490"/>
    </row>
    <row r="398" spans="1:8" ht="15.6">
      <c r="A398" s="69"/>
      <c r="B398" s="505"/>
      <c r="C398" s="506"/>
      <c r="D398" s="70"/>
      <c r="E398" s="490"/>
      <c r="F398" s="490"/>
      <c r="G398" s="490"/>
      <c r="H398" s="490"/>
    </row>
    <row r="399" spans="1:8" ht="15.6">
      <c r="A399" s="69"/>
      <c r="B399" s="70"/>
      <c r="C399" s="70"/>
      <c r="D399" s="70"/>
      <c r="E399" s="490"/>
      <c r="F399" s="490"/>
      <c r="G399" s="490"/>
      <c r="H399" s="490"/>
    </row>
    <row r="400" spans="1:8" ht="7.95" customHeight="1">
      <c r="A400" s="69"/>
      <c r="B400" s="70"/>
      <c r="C400" s="70"/>
      <c r="D400" s="70"/>
      <c r="E400" s="71"/>
      <c r="F400" s="71"/>
      <c r="G400" s="71"/>
      <c r="H400" s="71"/>
    </row>
    <row r="401" spans="1:8" ht="20.399999999999999">
      <c r="A401" s="491" t="str">
        <f>'Read Me First'!A1:F1</f>
        <v>Wessex Young Athletes Track and Field League 2026</v>
      </c>
      <c r="B401" s="492"/>
      <c r="C401" s="492"/>
      <c r="D401" s="492"/>
      <c r="E401" s="492"/>
      <c r="F401" s="492"/>
      <c r="G401" s="492"/>
      <c r="H401" s="493"/>
    </row>
    <row r="402" spans="1:8" ht="17.399999999999999">
      <c r="A402" s="60" t="s">
        <v>13</v>
      </c>
      <c r="B402" s="61">
        <f>'Read Me First'!$C$10</f>
        <v>46201</v>
      </c>
      <c r="C402" s="92">
        <v>0.51041666666666663</v>
      </c>
      <c r="D402" s="60" t="s">
        <v>70</v>
      </c>
      <c r="E402" s="494" t="str">
        <f>$E$2</f>
        <v>Camberley &amp; District AC @ Woking</v>
      </c>
      <c r="F402" s="495"/>
      <c r="G402" s="495"/>
      <c r="H402" s="496"/>
    </row>
    <row r="403" spans="1:8" ht="17.399999999999999">
      <c r="A403" s="497" t="s">
        <v>152</v>
      </c>
      <c r="B403" s="497"/>
      <c r="C403" s="497"/>
      <c r="D403" s="497"/>
      <c r="E403" s="59">
        <v>1</v>
      </c>
      <c r="F403" s="59">
        <v>2</v>
      </c>
      <c r="G403" s="59">
        <v>3</v>
      </c>
      <c r="H403" s="59" t="s">
        <v>136</v>
      </c>
    </row>
    <row r="404" spans="1:8" ht="17.399999999999999">
      <c r="A404" s="65"/>
      <c r="B404" s="65"/>
      <c r="C404" s="65"/>
      <c r="D404" s="65"/>
      <c r="E404" s="66"/>
      <c r="F404" s="66"/>
      <c r="G404" s="66"/>
      <c r="H404" s="66"/>
    </row>
    <row r="405" spans="1:8" ht="19.95" customHeight="1">
      <c r="A405" s="67" cm="1">
        <f t="array" ref="A405:A426">IFERROR(_xlfn.TEXTSPLIT(IFERROR(_xlfn.TEXTJOIN(",",TRUE,_xlfn._xlws.FILTER(BlockAllocations!$F$3:$F$20,BlockAllocations!$E$3:$E$20=BlockAllocations!$G$11)),""),,",")+0,"!")</f>
        <v>61</v>
      </c>
      <c r="B405" s="68" t="str">
        <f>IF(ISNA(VLOOKUP(A405,Declarations!B$6:C$185,2,FALSE)),"",IF(VLOOKUP(A405,Declarations!B$6:C$185,2,FALSE)="","---",VLOOKUP(A405,Declarations!B$6:C$185,2,FALSE)))</f>
        <v>MARCY POWER</v>
      </c>
      <c r="C405" s="68" t="str">
        <f>IF(ISNA(VLOOKUP(A405,Declarations!B$6:F$185,5,FALSE)),"",IF(VLOOKUP(A405,Declarations!B$6:F$185,5,FALSE)="","---",VLOOKUP(A405,Declarations!B$6:F$185,5,FALSE)))</f>
        <v>Fleet &amp; Crookham AC</v>
      </c>
      <c r="D405" s="319" t="str">
        <f>IF(ISNA(VLOOKUP(A405,Declarations!B$6:F$185,4,FALSE)),"",IF(VLOOKUP(A405,Declarations!B$6:F$185,4,FALSE)="","---",VLOOKUP(A405,Declarations!B$6:F$185,4,FALSE)))</f>
        <v>GIRLS</v>
      </c>
      <c r="E405" s="67"/>
      <c r="F405" s="320"/>
      <c r="G405" s="244" t="s">
        <v>147</v>
      </c>
      <c r="H405" s="320"/>
    </row>
    <row r="406" spans="1:8" ht="19.95" customHeight="1">
      <c r="A406" s="67">
        <v>62</v>
      </c>
      <c r="B406" s="68" t="str">
        <f>IF(ISNA(VLOOKUP(A406,Declarations!B$6:C$185,2,FALSE)),"",IF(VLOOKUP(A406,Declarations!B$6:C$185,2,FALSE)="","---",VLOOKUP(A406,Declarations!B$6:C$185,2,FALSE)))</f>
        <v>OTTILE WHITE</v>
      </c>
      <c r="C406" s="68" t="str">
        <f>IF(ISNA(VLOOKUP(A406,Declarations!B$6:F$185,5,FALSE)),"",IF(VLOOKUP(A406,Declarations!B$6:F$185,5,FALSE)="","---",VLOOKUP(A406,Declarations!B$6:F$185,5,FALSE)))</f>
        <v>Fleet &amp; Crookham AC</v>
      </c>
      <c r="D406" s="319" t="str">
        <f>IF(ISNA(VLOOKUP(A406,Declarations!B$6:F$185,4,FALSE)),"",IF(VLOOKUP(A406,Declarations!B$6:F$185,4,FALSE)="","---",VLOOKUP(A406,Declarations!B$6:F$185,4,FALSE)))</f>
        <v>GIRLS</v>
      </c>
      <c r="E406" s="67"/>
      <c r="F406" s="320"/>
      <c r="G406" s="244" t="s">
        <v>147</v>
      </c>
      <c r="H406" s="320"/>
    </row>
    <row r="407" spans="1:8" ht="19.95" customHeight="1">
      <c r="A407" s="67">
        <v>63</v>
      </c>
      <c r="B407" s="68" t="str">
        <f>IF(ISNA(VLOOKUP(A407,Declarations!B$6:C$185,2,FALSE)),"",IF(VLOOKUP(A407,Declarations!B$6:C$185,2,FALSE)="","---",VLOOKUP(A407,Declarations!B$6:C$185,2,FALSE)))</f>
        <v>BETH JOHNSTON</v>
      </c>
      <c r="C407" s="68" t="str">
        <f>IF(ISNA(VLOOKUP(A407,Declarations!B$6:F$185,5,FALSE)),"",IF(VLOOKUP(A407,Declarations!B$6:F$185,5,FALSE)="","---",VLOOKUP(A407,Declarations!B$6:F$185,5,FALSE)))</f>
        <v>Fleet &amp; Crookham AC</v>
      </c>
      <c r="D407" s="319" t="str">
        <f>IF(ISNA(VLOOKUP(A407,Declarations!B$6:F$185,4,FALSE)),"",IF(VLOOKUP(A407,Declarations!B$6:F$185,4,FALSE)="","---",VLOOKUP(A407,Declarations!B$6:F$185,4,FALSE)))</f>
        <v>GIRLS</v>
      </c>
      <c r="E407" s="67"/>
      <c r="F407" s="320"/>
      <c r="G407" s="244" t="s">
        <v>147</v>
      </c>
      <c r="H407" s="320"/>
    </row>
    <row r="408" spans="1:8" ht="19.95" customHeight="1">
      <c r="A408" s="67">
        <v>64</v>
      </c>
      <c r="B408" s="68" t="str">
        <f>IF(ISNA(VLOOKUP(A408,Declarations!B$6:C$185,2,FALSE)),"",IF(VLOOKUP(A408,Declarations!B$6:C$185,2,FALSE)="","---",VLOOKUP(A408,Declarations!B$6:C$185,2,FALSE)))</f>
        <v>MATILDA FLINT</v>
      </c>
      <c r="C408" s="68" t="str">
        <f>IF(ISNA(VLOOKUP(A408,Declarations!B$6:F$185,5,FALSE)),"",IF(VLOOKUP(A408,Declarations!B$6:F$185,5,FALSE)="","---",VLOOKUP(A408,Declarations!B$6:F$185,5,FALSE)))</f>
        <v>Fleet &amp; Crookham AC</v>
      </c>
      <c r="D408" s="319" t="str">
        <f>IF(ISNA(VLOOKUP(A408,Declarations!B$6:F$185,4,FALSE)),"",IF(VLOOKUP(A408,Declarations!B$6:F$185,4,FALSE)="","---",VLOOKUP(A408,Declarations!B$6:F$185,4,FALSE)))</f>
        <v>GIRLS</v>
      </c>
      <c r="E408" s="67"/>
      <c r="F408" s="320"/>
      <c r="G408" s="244" t="s">
        <v>147</v>
      </c>
      <c r="H408" s="320"/>
    </row>
    <row r="409" spans="1:8" ht="19.95" customHeight="1">
      <c r="A409" s="67">
        <v>65</v>
      </c>
      <c r="B409" s="68" t="str">
        <f>IF(ISNA(VLOOKUP(A409,Declarations!B$6:C$185,2,FALSE)),"",IF(VLOOKUP(A409,Declarations!B$6:C$185,2,FALSE)="","---",VLOOKUP(A409,Declarations!B$6:C$185,2,FALSE)))</f>
        <v>HONEY FLINT</v>
      </c>
      <c r="C409" s="68" t="str">
        <f>IF(ISNA(VLOOKUP(A409,Declarations!B$6:F$185,5,FALSE)),"",IF(VLOOKUP(A409,Declarations!B$6:F$185,5,FALSE)="","---",VLOOKUP(A409,Declarations!B$6:F$185,5,FALSE)))</f>
        <v>Fleet &amp; Crookham AC</v>
      </c>
      <c r="D409" s="319" t="str">
        <f>IF(ISNA(VLOOKUP(A409,Declarations!B$6:F$185,4,FALSE)),"",IF(VLOOKUP(A409,Declarations!B$6:F$185,4,FALSE)="","---",VLOOKUP(A409,Declarations!B$6:F$185,4,FALSE)))</f>
        <v>GIRLS</v>
      </c>
      <c r="E409" s="67"/>
      <c r="F409" s="320"/>
      <c r="G409" s="244" t="s">
        <v>147</v>
      </c>
      <c r="H409" s="320"/>
    </row>
    <row r="410" spans="1:8" ht="19.95" customHeight="1">
      <c r="A410" s="67">
        <v>66</v>
      </c>
      <c r="B410" s="68" t="str">
        <f>IF(ISNA(VLOOKUP(A410,Declarations!B$6:C$185,2,FALSE)),"",IF(VLOOKUP(A410,Declarations!B$6:C$185,2,FALSE)="","---",VLOOKUP(A410,Declarations!B$6:C$185,2,FALSE)))</f>
        <v>DAISY STEWART</v>
      </c>
      <c r="C410" s="68" t="str">
        <f>IF(ISNA(VLOOKUP(A410,Declarations!B$6:F$185,5,FALSE)),"",IF(VLOOKUP(A410,Declarations!B$6:F$185,5,FALSE)="","---",VLOOKUP(A410,Declarations!B$6:F$185,5,FALSE)))</f>
        <v>Fleet &amp; Crookham AC</v>
      </c>
      <c r="D410" s="319" t="str">
        <f>IF(ISNA(VLOOKUP(A410,Declarations!B$6:F$185,4,FALSE)),"",IF(VLOOKUP(A410,Declarations!B$6:F$185,4,FALSE)="","---",VLOOKUP(A410,Declarations!B$6:F$185,4,FALSE)))</f>
        <v>GIRLS</v>
      </c>
      <c r="E410" s="67"/>
      <c r="F410" s="320"/>
      <c r="G410" s="244" t="s">
        <v>147</v>
      </c>
      <c r="H410" s="320"/>
    </row>
    <row r="411" spans="1:8" ht="19.95" customHeight="1">
      <c r="A411" s="67">
        <v>67</v>
      </c>
      <c r="B411" s="68" t="str">
        <f>IF(ISNA(VLOOKUP(A411,Declarations!B$6:C$185,2,FALSE)),"",IF(VLOOKUP(A411,Declarations!B$6:C$185,2,FALSE)="","---",VLOOKUP(A411,Declarations!B$6:C$185,2,FALSE)))</f>
        <v>BONNIE MOORE</v>
      </c>
      <c r="C411" s="68" t="str">
        <f>IF(ISNA(VLOOKUP(A411,Declarations!B$6:F$185,5,FALSE)),"",IF(VLOOKUP(A411,Declarations!B$6:F$185,5,FALSE)="","---",VLOOKUP(A411,Declarations!B$6:F$185,5,FALSE)))</f>
        <v>Fleet &amp; Crookham AC</v>
      </c>
      <c r="D411" s="319" t="str">
        <f>IF(ISNA(VLOOKUP(A411,Declarations!B$6:F$185,4,FALSE)),"",IF(VLOOKUP(A411,Declarations!B$6:F$185,4,FALSE)="","---",VLOOKUP(A411,Declarations!B$6:F$185,4,FALSE)))</f>
        <v>GIRLS</v>
      </c>
      <c r="E411" s="67"/>
      <c r="F411" s="320"/>
      <c r="G411" s="244" t="s">
        <v>147</v>
      </c>
      <c r="H411" s="320"/>
    </row>
    <row r="412" spans="1:8" ht="19.95" customHeight="1">
      <c r="A412" s="67">
        <v>68</v>
      </c>
      <c r="B412" s="68" t="str">
        <f>IF(ISNA(VLOOKUP(A412,Declarations!B$6:C$185,2,FALSE)),"",IF(VLOOKUP(A412,Declarations!B$6:C$185,2,FALSE)="","---",VLOOKUP(A412,Declarations!B$6:C$185,2,FALSE)))</f>
        <v>FEARNE STRONG</v>
      </c>
      <c r="C412" s="68" t="str">
        <f>IF(ISNA(VLOOKUP(A412,Declarations!B$6:F$185,5,FALSE)),"",IF(VLOOKUP(A412,Declarations!B$6:F$185,5,FALSE)="","---",VLOOKUP(A412,Declarations!B$6:F$185,5,FALSE)))</f>
        <v>Fleet &amp; Crookham AC</v>
      </c>
      <c r="D412" s="319" t="str">
        <f>IF(ISNA(VLOOKUP(A412,Declarations!B$6:F$185,4,FALSE)),"",IF(VLOOKUP(A412,Declarations!B$6:F$185,4,FALSE)="","---",VLOOKUP(A412,Declarations!B$6:F$185,4,FALSE)))</f>
        <v>GIRLS</v>
      </c>
      <c r="E412" s="67"/>
      <c r="F412" s="320"/>
      <c r="G412" s="244" t="s">
        <v>147</v>
      </c>
      <c r="H412" s="320"/>
    </row>
    <row r="413" spans="1:8" ht="19.95" customHeight="1">
      <c r="A413" s="67">
        <v>69</v>
      </c>
      <c r="B413" s="68" t="str">
        <f>IF(ISNA(VLOOKUP(A413,Declarations!B$6:C$185,2,FALSE)),"",IF(VLOOKUP(A413,Declarations!B$6:C$185,2,FALSE)="","---",VLOOKUP(A413,Declarations!B$6:C$185,2,FALSE)))</f>
        <v>NORA BRADFORD</v>
      </c>
      <c r="C413" s="68" t="str">
        <f>IF(ISNA(VLOOKUP(A413,Declarations!B$6:F$185,5,FALSE)),"",IF(VLOOKUP(A413,Declarations!B$6:F$185,5,FALSE)="","---",VLOOKUP(A413,Declarations!B$6:F$185,5,FALSE)))</f>
        <v>Fleet &amp; Crookham AC</v>
      </c>
      <c r="D413" s="319" t="str">
        <f>IF(ISNA(VLOOKUP(A413,Declarations!B$6:F$185,4,FALSE)),"",IF(VLOOKUP(A413,Declarations!B$6:F$185,4,FALSE)="","---",VLOOKUP(A413,Declarations!B$6:F$185,4,FALSE)))</f>
        <v>GIRLS</v>
      </c>
      <c r="E413" s="67"/>
      <c r="F413" s="320"/>
      <c r="G413" s="244" t="s">
        <v>147</v>
      </c>
      <c r="H413" s="320"/>
    </row>
    <row r="414" spans="1:8" ht="19.95" customHeight="1">
      <c r="A414" s="67">
        <v>70</v>
      </c>
      <c r="B414" s="68" t="str">
        <f>IF(ISNA(VLOOKUP(A414,Declarations!B$6:C$185,2,FALSE)),"",IF(VLOOKUP(A414,Declarations!B$6:C$185,2,FALSE)="","---",VLOOKUP(A414,Declarations!B$6:C$185,2,FALSE)))</f>
        <v>JOSEPHINE HARPER</v>
      </c>
      <c r="C414" s="68" t="str">
        <f>IF(ISNA(VLOOKUP(A414,Declarations!B$6:F$185,5,FALSE)),"",IF(VLOOKUP(A414,Declarations!B$6:F$185,5,FALSE)="","---",VLOOKUP(A414,Declarations!B$6:F$185,5,FALSE)))</f>
        <v>Fleet &amp; Crookham AC</v>
      </c>
      <c r="D414" s="319" t="str">
        <f>IF(ISNA(VLOOKUP(A414,Declarations!B$6:F$185,4,FALSE)),"",IF(VLOOKUP(A414,Declarations!B$6:F$185,4,FALSE)="","---",VLOOKUP(A414,Declarations!B$6:F$185,4,FALSE)))</f>
        <v>GIRLS</v>
      </c>
      <c r="E414" s="67"/>
      <c r="F414" s="320"/>
      <c r="G414" s="244" t="s">
        <v>147</v>
      </c>
      <c r="H414" s="320"/>
    </row>
    <row r="415" spans="1:8" ht="19.95" customHeight="1">
      <c r="A415" s="67">
        <v>81</v>
      </c>
      <c r="B415" s="68" t="str">
        <f>IF(ISNA(VLOOKUP(A415,Declarations!B$6:C$185,2,FALSE)),"",IF(VLOOKUP(A415,Declarations!B$6:C$185,2,FALSE)="","---",VLOOKUP(A415,Declarations!B$6:C$185,2,FALSE)))</f>
        <v>FREYA BURGE</v>
      </c>
      <c r="C415" s="68" t="str">
        <f>IF(ISNA(VLOOKUP(A415,Declarations!B$6:F$185,5,FALSE)),"",IF(VLOOKUP(A415,Declarations!B$6:F$185,5,FALSE)="","---",VLOOKUP(A415,Declarations!B$6:F$185,5,FALSE)))</f>
        <v>Waverley Athletics Club</v>
      </c>
      <c r="D415" s="319" t="str">
        <f>IF(ISNA(VLOOKUP(A415,Declarations!B$6:F$185,4,FALSE)),"",IF(VLOOKUP(A415,Declarations!B$6:F$185,4,FALSE)="","---",VLOOKUP(A415,Declarations!B$6:F$185,4,FALSE)))</f>
        <v>GIRLS</v>
      </c>
      <c r="E415" s="67"/>
      <c r="F415" s="320"/>
      <c r="G415" s="244" t="s">
        <v>147</v>
      </c>
      <c r="H415" s="320"/>
    </row>
    <row r="416" spans="1:8" ht="19.95" customHeight="1">
      <c r="A416" s="67">
        <v>82</v>
      </c>
      <c r="B416" s="68" t="str">
        <f>IF(ISNA(VLOOKUP(A416,Declarations!B$6:C$185,2,FALSE)),"",IF(VLOOKUP(A416,Declarations!B$6:C$185,2,FALSE)="","---",VLOOKUP(A416,Declarations!B$6:C$185,2,FALSE)))</f>
        <v>MATILDA KEER</v>
      </c>
      <c r="C416" s="68" t="str">
        <f>IF(ISNA(VLOOKUP(A416,Declarations!B$6:F$185,5,FALSE)),"",IF(VLOOKUP(A416,Declarations!B$6:F$185,5,FALSE)="","---",VLOOKUP(A416,Declarations!B$6:F$185,5,FALSE)))</f>
        <v>Waverley Athletics Club</v>
      </c>
      <c r="D416" s="319" t="str">
        <f>IF(ISNA(VLOOKUP(A416,Declarations!B$6:F$185,4,FALSE)),"",IF(VLOOKUP(A416,Declarations!B$6:F$185,4,FALSE)="","---",VLOOKUP(A416,Declarations!B$6:F$185,4,FALSE)))</f>
        <v>GIRLS</v>
      </c>
      <c r="E416" s="67"/>
      <c r="F416" s="320"/>
      <c r="G416" s="244" t="s">
        <v>147</v>
      </c>
      <c r="H416" s="320"/>
    </row>
    <row r="417" spans="1:8" ht="19.95" customHeight="1">
      <c r="A417" s="67">
        <v>83</v>
      </c>
      <c r="B417" s="68" t="str">
        <f>IF(ISNA(VLOOKUP(A417,Declarations!B$6:C$185,2,FALSE)),"",IF(VLOOKUP(A417,Declarations!B$6:C$185,2,FALSE)="","---",VLOOKUP(A417,Declarations!B$6:C$185,2,FALSE)))</f>
        <v>ELEANOR OLALEMI</v>
      </c>
      <c r="C417" s="68" t="str">
        <f>IF(ISNA(VLOOKUP(A417,Declarations!B$6:F$185,5,FALSE)),"",IF(VLOOKUP(A417,Declarations!B$6:F$185,5,FALSE)="","---",VLOOKUP(A417,Declarations!B$6:F$185,5,FALSE)))</f>
        <v>Waverley Athletics Club</v>
      </c>
      <c r="D417" s="319" t="str">
        <f>IF(ISNA(VLOOKUP(A417,Declarations!B$6:F$185,4,FALSE)),"",IF(VLOOKUP(A417,Declarations!B$6:F$185,4,FALSE)="","---",VLOOKUP(A417,Declarations!B$6:F$185,4,FALSE)))</f>
        <v>GIRLS</v>
      </c>
      <c r="E417" s="67"/>
      <c r="F417" s="320"/>
      <c r="G417" s="244" t="s">
        <v>147</v>
      </c>
      <c r="H417" s="320"/>
    </row>
    <row r="418" spans="1:8" ht="19.95" customHeight="1">
      <c r="A418" s="67">
        <v>84</v>
      </c>
      <c r="B418" s="68" t="str">
        <f>IF(ISNA(VLOOKUP(A418,Declarations!B$6:C$185,2,FALSE)),"",IF(VLOOKUP(A418,Declarations!B$6:C$185,2,FALSE)="","---",VLOOKUP(A418,Declarations!B$6:C$185,2,FALSE)))</f>
        <v>FREYA MCKENZIE</v>
      </c>
      <c r="C418" s="68" t="str">
        <f>IF(ISNA(VLOOKUP(A418,Declarations!B$6:F$185,5,FALSE)),"",IF(VLOOKUP(A418,Declarations!B$6:F$185,5,FALSE)="","---",VLOOKUP(A418,Declarations!B$6:F$185,5,FALSE)))</f>
        <v>Waverley Athletics Club</v>
      </c>
      <c r="D418" s="319" t="str">
        <f>IF(ISNA(VLOOKUP(A418,Declarations!B$6:F$185,4,FALSE)),"",IF(VLOOKUP(A418,Declarations!B$6:F$185,4,FALSE)="","---",VLOOKUP(A418,Declarations!B$6:F$185,4,FALSE)))</f>
        <v>GIRLS</v>
      </c>
      <c r="E418" s="67"/>
      <c r="F418" s="320"/>
      <c r="G418" s="244" t="s">
        <v>147</v>
      </c>
      <c r="H418" s="320"/>
    </row>
    <row r="419" spans="1:8" ht="19.95" customHeight="1">
      <c r="A419" s="67">
        <v>85</v>
      </c>
      <c r="B419" s="68" t="str">
        <f>IF(ISNA(VLOOKUP(A419,Declarations!B$6:C$185,2,FALSE)),"",IF(VLOOKUP(A419,Declarations!B$6:C$185,2,FALSE)="","---",VLOOKUP(A419,Declarations!B$6:C$185,2,FALSE)))</f>
        <v>SOPHIE HALL</v>
      </c>
      <c r="C419" s="68" t="str">
        <f>IF(ISNA(VLOOKUP(A419,Declarations!B$6:F$185,5,FALSE)),"",IF(VLOOKUP(A419,Declarations!B$6:F$185,5,FALSE)="","---",VLOOKUP(A419,Declarations!B$6:F$185,5,FALSE)))</f>
        <v>Waverley Athletics Club</v>
      </c>
      <c r="D419" s="319" t="str">
        <f>IF(ISNA(VLOOKUP(A419,Declarations!B$6:F$185,4,FALSE)),"",IF(VLOOKUP(A419,Declarations!B$6:F$185,4,FALSE)="","---",VLOOKUP(A419,Declarations!B$6:F$185,4,FALSE)))</f>
        <v>GIRLS</v>
      </c>
      <c r="E419" s="67"/>
      <c r="F419" s="320"/>
      <c r="G419" s="244" t="s">
        <v>147</v>
      </c>
      <c r="H419" s="320"/>
    </row>
    <row r="420" spans="1:8" ht="19.95" customHeight="1">
      <c r="A420" s="67">
        <v>86</v>
      </c>
      <c r="B420" s="68" t="str">
        <f>IF(ISNA(VLOOKUP(A420,Declarations!B$6:C$185,2,FALSE)),"",IF(VLOOKUP(A420,Declarations!B$6:C$185,2,FALSE)="","---",VLOOKUP(A420,Declarations!B$6:C$185,2,FALSE)))</f>
        <v>EMILY HANAK</v>
      </c>
      <c r="C420" s="68" t="str">
        <f>IF(ISNA(VLOOKUP(A420,Declarations!B$6:F$185,5,FALSE)),"",IF(VLOOKUP(A420,Declarations!B$6:F$185,5,FALSE)="","---",VLOOKUP(A420,Declarations!B$6:F$185,5,FALSE)))</f>
        <v>Waverley Athletics Club</v>
      </c>
      <c r="D420" s="319" t="str">
        <f>IF(ISNA(VLOOKUP(A420,Declarations!B$6:F$185,4,FALSE)),"",IF(VLOOKUP(A420,Declarations!B$6:F$185,4,FALSE)="","---",VLOOKUP(A420,Declarations!B$6:F$185,4,FALSE)))</f>
        <v>GIRLS</v>
      </c>
      <c r="E420" s="67"/>
      <c r="F420" s="320"/>
      <c r="G420" s="244" t="s">
        <v>147</v>
      </c>
      <c r="H420" s="320"/>
    </row>
    <row r="421" spans="1:8" ht="19.95" customHeight="1">
      <c r="A421" s="67">
        <v>101</v>
      </c>
      <c r="B421" s="68" t="str">
        <f>IF(ISNA(VLOOKUP(A421,Declarations!B$6:C$185,2,FALSE)),"",IF(VLOOKUP(A421,Declarations!B$6:C$185,2,FALSE)="","---",VLOOKUP(A421,Declarations!B$6:C$185,2,FALSE)))</f>
        <v>LYRA JINKS</v>
      </c>
      <c r="C421" s="68" t="str">
        <f>IF(ISNA(VLOOKUP(A421,Declarations!B$6:F$185,5,FALSE)),"",IF(VLOOKUP(A421,Declarations!B$6:F$185,5,FALSE)="","---",VLOOKUP(A421,Declarations!B$6:F$185,5,FALSE)))</f>
        <v>Basingstoke &amp; Mid Hants AC</v>
      </c>
      <c r="D421" s="319" t="str">
        <f>IF(ISNA(VLOOKUP(A421,Declarations!B$6:F$185,4,FALSE)),"",IF(VLOOKUP(A421,Declarations!B$6:F$185,4,FALSE)="","---",VLOOKUP(A421,Declarations!B$6:F$185,4,FALSE)))</f>
        <v>GIRLS</v>
      </c>
      <c r="E421" s="320"/>
      <c r="F421" s="320"/>
      <c r="G421" s="244" t="s">
        <v>147</v>
      </c>
      <c r="H421" s="320"/>
    </row>
    <row r="422" spans="1:8" ht="19.95" customHeight="1">
      <c r="A422" s="67">
        <v>102</v>
      </c>
      <c r="B422" s="68" t="str">
        <f>IF(ISNA(VLOOKUP(A422,Declarations!B$6:C$185,2,FALSE)),"",IF(VLOOKUP(A422,Declarations!B$6:C$185,2,FALSE)="","---",VLOOKUP(A422,Declarations!B$6:C$185,2,FALSE)))</f>
        <v>NORA POFF</v>
      </c>
      <c r="C422" s="68" t="str">
        <f>IF(ISNA(VLOOKUP(A422,Declarations!B$6:F$185,5,FALSE)),"",IF(VLOOKUP(A422,Declarations!B$6:F$185,5,FALSE)="","---",VLOOKUP(A422,Declarations!B$6:F$185,5,FALSE)))</f>
        <v>Basingstoke &amp; Mid Hants AC</v>
      </c>
      <c r="D422" s="319" t="str">
        <f>IF(ISNA(VLOOKUP(A422,Declarations!B$6:F$185,4,FALSE)),"",IF(VLOOKUP(A422,Declarations!B$6:F$185,4,FALSE)="","---",VLOOKUP(A422,Declarations!B$6:F$185,4,FALSE)))</f>
        <v>GIRLS</v>
      </c>
      <c r="E422" s="320"/>
      <c r="F422" s="320"/>
      <c r="G422" s="244" t="s">
        <v>147</v>
      </c>
      <c r="H422" s="320"/>
    </row>
    <row r="423" spans="1:8" ht="19.95" customHeight="1">
      <c r="A423" s="67">
        <v>103</v>
      </c>
      <c r="B423" s="68" t="str">
        <f>IF(ISNA(VLOOKUP(A423,Declarations!B$6:C$185,2,FALSE)),"",IF(VLOOKUP(A423,Declarations!B$6:C$185,2,FALSE)="","---",VLOOKUP(A423,Declarations!B$6:C$185,2,FALSE)))</f>
        <v>ISLA HOBBINS</v>
      </c>
      <c r="C423" s="68" t="str">
        <f>IF(ISNA(VLOOKUP(A423,Declarations!B$6:F$185,5,FALSE)),"",IF(VLOOKUP(A423,Declarations!B$6:F$185,5,FALSE)="","---",VLOOKUP(A423,Declarations!B$6:F$185,5,FALSE)))</f>
        <v>Basingstoke &amp; Mid Hants AC</v>
      </c>
      <c r="D423" s="319" t="str">
        <f>IF(ISNA(VLOOKUP(A423,Declarations!B$6:F$185,4,FALSE)),"",IF(VLOOKUP(A423,Declarations!B$6:F$185,4,FALSE)="","---",VLOOKUP(A423,Declarations!B$6:F$185,4,FALSE)))</f>
        <v>GIRLS</v>
      </c>
      <c r="E423" s="320"/>
      <c r="F423" s="320"/>
      <c r="G423" s="244" t="s">
        <v>147</v>
      </c>
      <c r="H423" s="320"/>
    </row>
    <row r="424" spans="1:8" ht="19.95" customHeight="1">
      <c r="A424" s="67">
        <v>104</v>
      </c>
      <c r="B424" s="68" t="str">
        <f>IF(ISNA(VLOOKUP(A424,Declarations!B$6:C$185,2,FALSE)),"",IF(VLOOKUP(A424,Declarations!B$6:C$185,2,FALSE)="","---",VLOOKUP(A424,Declarations!B$6:C$185,2,FALSE)))</f>
        <v>BEATRICE MONCAD</v>
      </c>
      <c r="C424" s="68" t="str">
        <f>IF(ISNA(VLOOKUP(A424,Declarations!B$6:F$185,5,FALSE)),"",IF(VLOOKUP(A424,Declarations!B$6:F$185,5,FALSE)="","---",VLOOKUP(A424,Declarations!B$6:F$185,5,FALSE)))</f>
        <v>Basingstoke &amp; Mid Hants AC</v>
      </c>
      <c r="D424" s="319" t="str">
        <f>IF(ISNA(VLOOKUP(A424,Declarations!B$6:F$185,4,FALSE)),"",IF(VLOOKUP(A424,Declarations!B$6:F$185,4,FALSE)="","---",VLOOKUP(A424,Declarations!B$6:F$185,4,FALSE)))</f>
        <v>GIRLS</v>
      </c>
      <c r="E424" s="320"/>
      <c r="F424" s="320"/>
      <c r="G424" s="244" t="s">
        <v>147</v>
      </c>
      <c r="H424" s="320"/>
    </row>
    <row r="425" spans="1:8" ht="19.95" customHeight="1">
      <c r="A425" s="67">
        <v>105</v>
      </c>
      <c r="B425" s="68" t="str">
        <f>IF(ISNA(VLOOKUP(A425,Declarations!B$6:C$185,2,FALSE)),"",IF(VLOOKUP(A425,Declarations!B$6:C$185,2,FALSE)="","---",VLOOKUP(A425,Declarations!B$6:C$185,2,FALSE)))</f>
        <v>BETH BOLE</v>
      </c>
      <c r="C425" s="68" t="str">
        <f>IF(ISNA(VLOOKUP(A425,Declarations!B$6:F$185,5,FALSE)),"",IF(VLOOKUP(A425,Declarations!B$6:F$185,5,FALSE)="","---",VLOOKUP(A425,Declarations!B$6:F$185,5,FALSE)))</f>
        <v>Basingstoke &amp; Mid Hants AC</v>
      </c>
      <c r="D425" s="319" t="str">
        <f>IF(ISNA(VLOOKUP(A425,Declarations!B$6:F$185,4,FALSE)),"",IF(VLOOKUP(A425,Declarations!B$6:F$185,4,FALSE)="","---",VLOOKUP(A425,Declarations!B$6:F$185,4,FALSE)))</f>
        <v>GIRLS</v>
      </c>
      <c r="E425" s="320"/>
      <c r="F425" s="320"/>
      <c r="G425" s="244" t="s">
        <v>147</v>
      </c>
      <c r="H425" s="320"/>
    </row>
    <row r="426" spans="1:8" ht="19.95" customHeight="1">
      <c r="A426" s="67">
        <v>106</v>
      </c>
      <c r="B426" s="68" t="str">
        <f>IF(ISNA(VLOOKUP(A426,Declarations!B$6:C$185,2,FALSE)),"",IF(VLOOKUP(A426,Declarations!B$6:C$185,2,FALSE)="","---",VLOOKUP(A426,Declarations!B$6:C$185,2,FALSE)))</f>
        <v>KLEMANTINE PATA</v>
      </c>
      <c r="C426" s="68" t="str">
        <f>IF(ISNA(VLOOKUP(A426,Declarations!B$6:F$185,5,FALSE)),"",IF(VLOOKUP(A426,Declarations!B$6:F$185,5,FALSE)="","---",VLOOKUP(A426,Declarations!B$6:F$185,5,FALSE)))</f>
        <v>Basingstoke &amp; Mid Hants AC</v>
      </c>
      <c r="D426" s="319" t="str">
        <f>IF(ISNA(VLOOKUP(A426,Declarations!B$6:F$185,4,FALSE)),"",IF(VLOOKUP(A426,Declarations!B$6:F$185,4,FALSE)="","---",VLOOKUP(A426,Declarations!B$6:F$185,4,FALSE)))</f>
        <v>GIRLS</v>
      </c>
      <c r="E426" s="320"/>
      <c r="F426" s="320"/>
      <c r="G426" s="244" t="s">
        <v>147</v>
      </c>
      <c r="H426" s="320"/>
    </row>
    <row r="427" spans="1:8" ht="19.95" customHeight="1">
      <c r="A427" s="67"/>
      <c r="B427" s="68" t="str">
        <f>IF(ISNA(VLOOKUP(A427,Declarations!B$6:C$185,2,FALSE)),"",IF(VLOOKUP(A427,Declarations!B$6:C$185,2,FALSE)="","---",VLOOKUP(A427,Declarations!B$6:C$185,2,FALSE)))</f>
        <v/>
      </c>
      <c r="C427" s="68" t="str">
        <f>IF(ISNA(VLOOKUP(A427,Declarations!B$6:F$185,5,FALSE)),"",IF(VLOOKUP(A427,Declarations!B$6:F$185,5,FALSE)="","---",VLOOKUP(A427,Declarations!B$6:F$185,5,FALSE)))</f>
        <v/>
      </c>
      <c r="D427" s="319" t="str">
        <f>IF(ISNA(VLOOKUP(A427,Declarations!B$6:F$185,4,FALSE)),"",IF(VLOOKUP(A427,Declarations!B$6:F$185,4,FALSE)="","---",VLOOKUP(A427,Declarations!B$6:F$185,4,FALSE)))</f>
        <v/>
      </c>
      <c r="E427" s="320"/>
      <c r="F427" s="320"/>
      <c r="G427" s="244" t="s">
        <v>147</v>
      </c>
      <c r="H427" s="320"/>
    </row>
    <row r="428" spans="1:8" ht="19.95" customHeight="1">
      <c r="A428" s="67"/>
      <c r="B428" s="68" t="str">
        <f>IF(ISNA(VLOOKUP(A428,Declarations!B$6:C$185,2,FALSE)),"",IF(VLOOKUP(A428,Declarations!B$6:C$185,2,FALSE)="","---",VLOOKUP(A428,Declarations!B$6:C$185,2,FALSE)))</f>
        <v/>
      </c>
      <c r="C428" s="68" t="str">
        <f>IF(ISNA(VLOOKUP(A428,Declarations!B$6:F$185,5,FALSE)),"",IF(VLOOKUP(A428,Declarations!B$6:F$185,5,FALSE)="","---",VLOOKUP(A428,Declarations!B$6:F$185,5,FALSE)))</f>
        <v/>
      </c>
      <c r="D428" s="319" t="str">
        <f>IF(ISNA(VLOOKUP(A428,Declarations!B$6:F$185,4,FALSE)),"",IF(VLOOKUP(A428,Declarations!B$6:F$185,4,FALSE)="","---",VLOOKUP(A428,Declarations!B$6:F$185,4,FALSE)))</f>
        <v/>
      </c>
      <c r="E428" s="320"/>
      <c r="F428" s="320"/>
      <c r="G428" s="244" t="s">
        <v>147</v>
      </c>
      <c r="H428" s="320"/>
    </row>
    <row r="429" spans="1:8" ht="19.95" customHeight="1">
      <c r="A429" s="67"/>
      <c r="B429" s="68" t="str">
        <f>IF(ISNA(VLOOKUP(A429,Declarations!B$6:C$185,2,FALSE)),"",IF(VLOOKUP(A429,Declarations!B$6:C$185,2,FALSE)="","---",VLOOKUP(A429,Declarations!B$6:C$185,2,FALSE)))</f>
        <v/>
      </c>
      <c r="C429" s="68" t="str">
        <f>IF(ISNA(VLOOKUP(A429,Declarations!B$6:F$185,5,FALSE)),"",IF(VLOOKUP(A429,Declarations!B$6:F$185,5,FALSE)="","---",VLOOKUP(A429,Declarations!B$6:F$185,5,FALSE)))</f>
        <v/>
      </c>
      <c r="D429" s="319" t="str">
        <f>IF(ISNA(VLOOKUP(A429,Declarations!B$6:F$185,4,FALSE)),"",IF(VLOOKUP(A429,Declarations!B$6:F$185,4,FALSE)="","---",VLOOKUP(A429,Declarations!B$6:F$185,4,FALSE)))</f>
        <v/>
      </c>
      <c r="E429" s="320"/>
      <c r="F429" s="320"/>
      <c r="G429" s="244" t="s">
        <v>147</v>
      </c>
      <c r="H429" s="320"/>
    </row>
    <row r="430" spans="1:8" ht="19.95" customHeight="1">
      <c r="A430" s="67"/>
      <c r="B430" s="68" t="str">
        <f>IF(ISNA(VLOOKUP(A430,Declarations!B$6:C$185,2,FALSE)),"",IF(VLOOKUP(A430,Declarations!B$6:C$185,2,FALSE)="","---",VLOOKUP(A430,Declarations!B$6:C$185,2,FALSE)))</f>
        <v/>
      </c>
      <c r="C430" s="68" t="str">
        <f>IF(ISNA(VLOOKUP(A430,Declarations!B$6:F$185,5,FALSE)),"",IF(VLOOKUP(A430,Declarations!B$6:F$185,5,FALSE)="","---",VLOOKUP(A430,Declarations!B$6:F$185,5,FALSE)))</f>
        <v/>
      </c>
      <c r="D430" s="319" t="str">
        <f>IF(ISNA(VLOOKUP(A430,Declarations!B$6:F$185,4,FALSE)),"",IF(VLOOKUP(A430,Declarations!B$6:F$185,4,FALSE)="","---",VLOOKUP(A430,Declarations!B$6:F$185,4,FALSE)))</f>
        <v/>
      </c>
      <c r="E430" s="320"/>
      <c r="F430" s="320"/>
      <c r="G430" s="244" t="s">
        <v>147</v>
      </c>
      <c r="H430" s="320"/>
    </row>
    <row r="431" spans="1:8" ht="19.95" customHeight="1">
      <c r="A431" s="67"/>
      <c r="B431" s="68" t="str">
        <f>IF(ISNA(VLOOKUP(A431,Declarations!B$6:C$185,2,FALSE)),"",IF(VLOOKUP(A431,Declarations!B$6:C$185,2,FALSE)="","---",VLOOKUP(A431,Declarations!B$6:C$185,2,FALSE)))</f>
        <v/>
      </c>
      <c r="C431" s="68" t="str">
        <f>IF(ISNA(VLOOKUP(A431,Declarations!B$6:F$185,5,FALSE)),"",IF(VLOOKUP(A431,Declarations!B$6:F$185,5,FALSE)="","---",VLOOKUP(A431,Declarations!B$6:F$185,5,FALSE)))</f>
        <v/>
      </c>
      <c r="D431" s="319" t="str">
        <f>IF(ISNA(VLOOKUP(A431,Declarations!B$6:F$185,4,FALSE)),"",IF(VLOOKUP(A431,Declarations!B$6:F$185,4,FALSE)="","---",VLOOKUP(A431,Declarations!B$6:F$185,4,FALSE)))</f>
        <v/>
      </c>
      <c r="E431" s="320"/>
      <c r="F431" s="320"/>
      <c r="G431" s="244" t="s">
        <v>147</v>
      </c>
      <c r="H431" s="320"/>
    </row>
    <row r="432" spans="1:8" ht="19.95" customHeight="1">
      <c r="A432" s="67"/>
      <c r="B432" s="68" t="str">
        <f>IF(ISNA(VLOOKUP(A432,Declarations!B$6:C$185,2,FALSE)),"",IF(VLOOKUP(A432,Declarations!B$6:C$185,2,FALSE)="","---",VLOOKUP(A432,Declarations!B$6:C$185,2,FALSE)))</f>
        <v/>
      </c>
      <c r="C432" s="68" t="str">
        <f>IF(ISNA(VLOOKUP(A432,Declarations!B$6:F$185,5,FALSE)),"",IF(VLOOKUP(A432,Declarations!B$6:F$185,5,FALSE)="","---",VLOOKUP(A432,Declarations!B$6:F$185,5,FALSE)))</f>
        <v/>
      </c>
      <c r="D432" s="319" t="str">
        <f>IF(ISNA(VLOOKUP(A432,Declarations!B$6:F$185,4,FALSE)),"",IF(VLOOKUP(A432,Declarations!B$6:F$185,4,FALSE)="","---",VLOOKUP(A432,Declarations!B$6:F$185,4,FALSE)))</f>
        <v/>
      </c>
      <c r="E432" s="320"/>
      <c r="F432" s="320"/>
      <c r="G432" s="244" t="s">
        <v>147</v>
      </c>
      <c r="H432" s="320"/>
    </row>
    <row r="433" spans="1:8" ht="19.95" customHeight="1">
      <c r="A433" s="67"/>
      <c r="B433" s="68" t="str">
        <f>IF(ISNA(VLOOKUP(A433,Declarations!B$6:C$185,2,FALSE)),"",IF(VLOOKUP(A433,Declarations!B$6:C$185,2,FALSE)="","---",VLOOKUP(A433,Declarations!B$6:C$185,2,FALSE)))</f>
        <v/>
      </c>
      <c r="C433" s="68" t="str">
        <f>IF(ISNA(VLOOKUP(A433,Declarations!B$6:F$185,5,FALSE)),"",IF(VLOOKUP(A433,Declarations!B$6:F$185,5,FALSE)="","---",VLOOKUP(A433,Declarations!B$6:F$185,5,FALSE)))</f>
        <v/>
      </c>
      <c r="D433" s="319" t="str">
        <f>IF(ISNA(VLOOKUP(A433,Declarations!B$6:F$185,4,FALSE)),"",IF(VLOOKUP(A433,Declarations!B$6:F$185,4,FALSE)="","---",VLOOKUP(A433,Declarations!B$6:F$185,4,FALSE)))</f>
        <v/>
      </c>
      <c r="E433" s="320"/>
      <c r="F433" s="320"/>
      <c r="G433" s="244" t="s">
        <v>147</v>
      </c>
      <c r="H433" s="320"/>
    </row>
    <row r="434" spans="1:8" ht="19.95" customHeight="1">
      <c r="A434" s="67"/>
      <c r="B434" s="68" t="str">
        <f>IF(ISNA(VLOOKUP(A434,Declarations!B$6:C$185,2,FALSE)),"",IF(VLOOKUP(A434,Declarations!B$6:C$185,2,FALSE)="","---",VLOOKUP(A434,Declarations!B$6:C$185,2,FALSE)))</f>
        <v/>
      </c>
      <c r="C434" s="68" t="str">
        <f>IF(ISNA(VLOOKUP(A434,Declarations!B$6:F$185,5,FALSE)),"",IF(VLOOKUP(A434,Declarations!B$6:F$185,5,FALSE)="","---",VLOOKUP(A434,Declarations!B$6:F$185,5,FALSE)))</f>
        <v/>
      </c>
      <c r="D434" s="319" t="str">
        <f>IF(ISNA(VLOOKUP(A434,Declarations!B$6:F$185,4,FALSE)),"",IF(VLOOKUP(A434,Declarations!B$6:F$185,4,FALSE)="","---",VLOOKUP(A434,Declarations!B$6:F$185,4,FALSE)))</f>
        <v/>
      </c>
      <c r="E434" s="320"/>
      <c r="F434" s="320"/>
      <c r="G434" s="244" t="s">
        <v>147</v>
      </c>
      <c r="H434" s="320"/>
    </row>
    <row r="435" spans="1:8" ht="15.6">
      <c r="A435" s="69"/>
      <c r="B435" s="70"/>
      <c r="C435" s="70"/>
      <c r="D435" s="70"/>
      <c r="E435" s="71"/>
      <c r="F435" s="71"/>
      <c r="G435" s="71"/>
      <c r="H435" s="71"/>
    </row>
    <row r="436" spans="1:8" ht="15.6">
      <c r="A436" s="69"/>
      <c r="B436" s="70"/>
      <c r="C436" s="70"/>
      <c r="D436" s="70"/>
      <c r="E436" s="498" t="s">
        <v>138</v>
      </c>
      <c r="F436" s="498"/>
      <c r="G436" s="490" t="s">
        <v>139</v>
      </c>
      <c r="H436" s="490"/>
    </row>
    <row r="437" spans="1:8" ht="15.6">
      <c r="A437" s="69"/>
      <c r="B437" s="503" t="s">
        <v>148</v>
      </c>
      <c r="C437" s="504"/>
      <c r="D437" s="70"/>
      <c r="E437" s="490"/>
      <c r="F437" s="490"/>
      <c r="G437" s="490"/>
      <c r="H437" s="490"/>
    </row>
    <row r="438" spans="1:8" ht="15.6">
      <c r="A438" s="69"/>
      <c r="B438" s="505"/>
      <c r="C438" s="506"/>
      <c r="D438" s="70"/>
      <c r="E438" s="490"/>
      <c r="F438" s="490"/>
      <c r="G438" s="490"/>
      <c r="H438" s="490"/>
    </row>
    <row r="439" spans="1:8" ht="15.6">
      <c r="A439" s="69"/>
      <c r="B439" s="70"/>
      <c r="C439" s="70"/>
      <c r="D439" s="70"/>
      <c r="E439" s="490"/>
      <c r="F439" s="490"/>
      <c r="G439" s="490"/>
      <c r="H439" s="490"/>
    </row>
    <row r="440" spans="1:8" ht="7.95" customHeight="1">
      <c r="A440" s="69"/>
      <c r="B440" s="70"/>
      <c r="C440" s="70"/>
      <c r="D440" s="70"/>
      <c r="E440" s="71"/>
      <c r="F440" s="71"/>
      <c r="G440" s="71"/>
      <c r="H440" s="71"/>
    </row>
    <row r="441" spans="1:8" ht="20.399999999999999">
      <c r="A441" s="491" t="str">
        <f>'Read Me First'!A1:F1</f>
        <v>Wessex Young Athletes Track and Field League 2026</v>
      </c>
      <c r="B441" s="492"/>
      <c r="C441" s="492"/>
      <c r="D441" s="492"/>
      <c r="E441" s="492"/>
      <c r="F441" s="492"/>
      <c r="G441" s="492"/>
      <c r="H441" s="493"/>
    </row>
    <row r="442" spans="1:8" ht="17.399999999999999">
      <c r="A442" s="60" t="s">
        <v>13</v>
      </c>
      <c r="B442" s="61">
        <f>'Read Me First'!$C$10</f>
        <v>46201</v>
      </c>
      <c r="C442" s="92">
        <v>0.51041666666666663</v>
      </c>
      <c r="D442" s="60" t="s">
        <v>70</v>
      </c>
      <c r="E442" s="494" t="str">
        <f>$E$2</f>
        <v>Camberley &amp; District AC @ Woking</v>
      </c>
      <c r="F442" s="495"/>
      <c r="G442" s="495"/>
      <c r="H442" s="496"/>
    </row>
    <row r="443" spans="1:8" ht="17.399999999999999">
      <c r="A443" s="497" t="s">
        <v>153</v>
      </c>
      <c r="B443" s="497"/>
      <c r="C443" s="497"/>
      <c r="D443" s="497"/>
      <c r="E443" s="59">
        <v>1</v>
      </c>
      <c r="F443" s="59">
        <v>2</v>
      </c>
      <c r="G443" s="59">
        <v>3</v>
      </c>
      <c r="H443" s="59" t="s">
        <v>136</v>
      </c>
    </row>
    <row r="444" spans="1:8" ht="17.399999999999999">
      <c r="A444" s="65"/>
      <c r="B444" s="65"/>
      <c r="C444" s="65"/>
      <c r="D444" s="65"/>
      <c r="E444" s="66"/>
      <c r="F444" s="66"/>
      <c r="G444" s="66"/>
      <c r="H444" s="66"/>
    </row>
    <row r="445" spans="1:8" ht="19.95" customHeight="1">
      <c r="A445" s="67" t="str" cm="1">
        <f t="array" ref="A445">IFERROR(_xlfn.TEXTSPLIT(IFERROR(_xlfn.TEXTJOIN(",",TRUE,_xlfn._xlws.FILTER(BlockAllocations!$F$3:$F$20,BlockAllocations!$E$3:$E$20=BlockAllocations!$G$12)),""),,",")+0,"!")</f>
        <v>!</v>
      </c>
      <c r="B445" s="68" t="str">
        <f>IF(ISNA(VLOOKUP(A445,Declarations!B$6:C$185,2,FALSE)),"",IF(VLOOKUP(A445,Declarations!B$6:C$185,2,FALSE)="","---",VLOOKUP(A445,Declarations!B$6:C$185,2,FALSE)))</f>
        <v/>
      </c>
      <c r="C445" s="68" t="str">
        <f>IF(ISNA(VLOOKUP(A445,Declarations!B$6:F$185,5,FALSE)),"",IF(VLOOKUP(A445,Declarations!B$6:F$185,5,FALSE)="","---",VLOOKUP(A445,Declarations!B$6:F$185,5,FALSE)))</f>
        <v/>
      </c>
      <c r="D445" s="319" t="str">
        <f>IF(ISNA(VLOOKUP(A445,Declarations!B$6:F$185,4,FALSE)),"",IF(VLOOKUP(A445,Declarations!B$6:F$185,4,FALSE)="","---",VLOOKUP(A445,Declarations!B$6:F$185,4,FALSE)))</f>
        <v/>
      </c>
      <c r="E445" s="67"/>
      <c r="F445" s="320"/>
      <c r="G445" s="244" t="s">
        <v>147</v>
      </c>
      <c r="H445" s="320"/>
    </row>
    <row r="446" spans="1:8" ht="19.95" customHeight="1">
      <c r="A446" s="67"/>
      <c r="B446" s="68" t="str">
        <f>IF(ISNA(VLOOKUP(A446,Declarations!B$6:C$185,2,FALSE)),"",IF(VLOOKUP(A446,Declarations!B$6:C$185,2,FALSE)="","---",VLOOKUP(A446,Declarations!B$6:C$185,2,FALSE)))</f>
        <v/>
      </c>
      <c r="C446" s="68" t="str">
        <f>IF(ISNA(VLOOKUP(A446,Declarations!B$6:F$185,5,FALSE)),"",IF(VLOOKUP(A446,Declarations!B$6:F$185,5,FALSE)="","---",VLOOKUP(A446,Declarations!B$6:F$185,5,FALSE)))</f>
        <v/>
      </c>
      <c r="D446" s="319" t="str">
        <f>IF(ISNA(VLOOKUP(A446,Declarations!B$6:F$185,4,FALSE)),"",IF(VLOOKUP(A446,Declarations!B$6:F$185,4,FALSE)="","---",VLOOKUP(A446,Declarations!B$6:F$185,4,FALSE)))</f>
        <v/>
      </c>
      <c r="E446" s="67"/>
      <c r="F446" s="320"/>
      <c r="G446" s="244" t="s">
        <v>147</v>
      </c>
      <c r="H446" s="320"/>
    </row>
    <row r="447" spans="1:8" ht="19.95" customHeight="1">
      <c r="A447" s="67"/>
      <c r="B447" s="68" t="str">
        <f>IF(ISNA(VLOOKUP(A447,Declarations!B$6:C$185,2,FALSE)),"",IF(VLOOKUP(A447,Declarations!B$6:C$185,2,FALSE)="","---",VLOOKUP(A447,Declarations!B$6:C$185,2,FALSE)))</f>
        <v/>
      </c>
      <c r="C447" s="68" t="str">
        <f>IF(ISNA(VLOOKUP(A447,Declarations!B$6:F$185,5,FALSE)),"",IF(VLOOKUP(A447,Declarations!B$6:F$185,5,FALSE)="","---",VLOOKUP(A447,Declarations!B$6:F$185,5,FALSE)))</f>
        <v/>
      </c>
      <c r="D447" s="319" t="str">
        <f>IF(ISNA(VLOOKUP(A447,Declarations!B$6:F$185,4,FALSE)),"",IF(VLOOKUP(A447,Declarations!B$6:F$185,4,FALSE)="","---",VLOOKUP(A447,Declarations!B$6:F$185,4,FALSE)))</f>
        <v/>
      </c>
      <c r="E447" s="67"/>
      <c r="F447" s="320"/>
      <c r="G447" s="244" t="s">
        <v>147</v>
      </c>
      <c r="H447" s="320"/>
    </row>
    <row r="448" spans="1:8" ht="19.95" customHeight="1">
      <c r="A448" s="67"/>
      <c r="B448" s="68" t="str">
        <f>IF(ISNA(VLOOKUP(A448,Declarations!B$6:C$185,2,FALSE)),"",IF(VLOOKUP(A448,Declarations!B$6:C$185,2,FALSE)="","---",VLOOKUP(A448,Declarations!B$6:C$185,2,FALSE)))</f>
        <v/>
      </c>
      <c r="C448" s="68" t="str">
        <f>IF(ISNA(VLOOKUP(A448,Declarations!B$6:F$185,5,FALSE)),"",IF(VLOOKUP(A448,Declarations!B$6:F$185,5,FALSE)="","---",VLOOKUP(A448,Declarations!B$6:F$185,5,FALSE)))</f>
        <v/>
      </c>
      <c r="D448" s="319" t="str">
        <f>IF(ISNA(VLOOKUP(A448,Declarations!B$6:F$185,4,FALSE)),"",IF(VLOOKUP(A448,Declarations!B$6:F$185,4,FALSE)="","---",VLOOKUP(A448,Declarations!B$6:F$185,4,FALSE)))</f>
        <v/>
      </c>
      <c r="E448" s="67"/>
      <c r="F448" s="320"/>
      <c r="G448" s="244" t="s">
        <v>147</v>
      </c>
      <c r="H448" s="320"/>
    </row>
    <row r="449" spans="1:8" ht="19.95" customHeight="1">
      <c r="A449" s="67"/>
      <c r="B449" s="68" t="str">
        <f>IF(ISNA(VLOOKUP(A449,Declarations!B$6:C$185,2,FALSE)),"",IF(VLOOKUP(A449,Declarations!B$6:C$185,2,FALSE)="","---",VLOOKUP(A449,Declarations!B$6:C$185,2,FALSE)))</f>
        <v/>
      </c>
      <c r="C449" s="68" t="str">
        <f>IF(ISNA(VLOOKUP(A449,Declarations!B$6:F$185,5,FALSE)),"",IF(VLOOKUP(A449,Declarations!B$6:F$185,5,FALSE)="","---",VLOOKUP(A449,Declarations!B$6:F$185,5,FALSE)))</f>
        <v/>
      </c>
      <c r="D449" s="319" t="str">
        <f>IF(ISNA(VLOOKUP(A449,Declarations!B$6:F$185,4,FALSE)),"",IF(VLOOKUP(A449,Declarations!B$6:F$185,4,FALSE)="","---",VLOOKUP(A449,Declarations!B$6:F$185,4,FALSE)))</f>
        <v/>
      </c>
      <c r="E449" s="67"/>
      <c r="F449" s="320"/>
      <c r="G449" s="244" t="s">
        <v>147</v>
      </c>
      <c r="H449" s="320"/>
    </row>
    <row r="450" spans="1:8" ht="19.95" customHeight="1">
      <c r="A450" s="67"/>
      <c r="B450" s="68" t="str">
        <f>IF(ISNA(VLOOKUP(A450,Declarations!B$6:C$185,2,FALSE)),"",IF(VLOOKUP(A450,Declarations!B$6:C$185,2,FALSE)="","---",VLOOKUP(A450,Declarations!B$6:C$185,2,FALSE)))</f>
        <v/>
      </c>
      <c r="C450" s="68" t="str">
        <f>IF(ISNA(VLOOKUP(A450,Declarations!B$6:F$185,5,FALSE)),"",IF(VLOOKUP(A450,Declarations!B$6:F$185,5,FALSE)="","---",VLOOKUP(A450,Declarations!B$6:F$185,5,FALSE)))</f>
        <v/>
      </c>
      <c r="D450" s="319" t="str">
        <f>IF(ISNA(VLOOKUP(A450,Declarations!B$6:F$185,4,FALSE)),"",IF(VLOOKUP(A450,Declarations!B$6:F$185,4,FALSE)="","---",VLOOKUP(A450,Declarations!B$6:F$185,4,FALSE)))</f>
        <v/>
      </c>
      <c r="E450" s="67"/>
      <c r="F450" s="320"/>
      <c r="G450" s="244" t="s">
        <v>147</v>
      </c>
      <c r="H450" s="320"/>
    </row>
    <row r="451" spans="1:8" ht="19.95" customHeight="1">
      <c r="A451" s="67"/>
      <c r="B451" s="68" t="str">
        <f>IF(ISNA(VLOOKUP(A451,Declarations!B$6:C$185,2,FALSE)),"",IF(VLOOKUP(A451,Declarations!B$6:C$185,2,FALSE)="","---",VLOOKUP(A451,Declarations!B$6:C$185,2,FALSE)))</f>
        <v/>
      </c>
      <c r="C451" s="68" t="str">
        <f>IF(ISNA(VLOOKUP(A451,Declarations!B$6:F$185,5,FALSE)),"",IF(VLOOKUP(A451,Declarations!B$6:F$185,5,FALSE)="","---",VLOOKUP(A451,Declarations!B$6:F$185,5,FALSE)))</f>
        <v/>
      </c>
      <c r="D451" s="319" t="str">
        <f>IF(ISNA(VLOOKUP(A451,Declarations!B$6:F$185,4,FALSE)),"",IF(VLOOKUP(A451,Declarations!B$6:F$185,4,FALSE)="","---",VLOOKUP(A451,Declarations!B$6:F$185,4,FALSE)))</f>
        <v/>
      </c>
      <c r="E451" s="67"/>
      <c r="F451" s="320"/>
      <c r="G451" s="244" t="s">
        <v>147</v>
      </c>
      <c r="H451" s="320"/>
    </row>
    <row r="452" spans="1:8" ht="19.95" customHeight="1">
      <c r="A452" s="67"/>
      <c r="B452" s="68" t="str">
        <f>IF(ISNA(VLOOKUP(A452,Declarations!B$6:C$185,2,FALSE)),"",IF(VLOOKUP(A452,Declarations!B$6:C$185,2,FALSE)="","---",VLOOKUP(A452,Declarations!B$6:C$185,2,FALSE)))</f>
        <v/>
      </c>
      <c r="C452" s="68" t="str">
        <f>IF(ISNA(VLOOKUP(A452,Declarations!B$6:F$185,5,FALSE)),"",IF(VLOOKUP(A452,Declarations!B$6:F$185,5,FALSE)="","---",VLOOKUP(A452,Declarations!B$6:F$185,5,FALSE)))</f>
        <v/>
      </c>
      <c r="D452" s="319" t="str">
        <f>IF(ISNA(VLOOKUP(A452,Declarations!B$6:F$185,4,FALSE)),"",IF(VLOOKUP(A452,Declarations!B$6:F$185,4,FALSE)="","---",VLOOKUP(A452,Declarations!B$6:F$185,4,FALSE)))</f>
        <v/>
      </c>
      <c r="E452" s="67"/>
      <c r="F452" s="320"/>
      <c r="G452" s="244" t="s">
        <v>147</v>
      </c>
      <c r="H452" s="320"/>
    </row>
    <row r="453" spans="1:8" ht="19.95" customHeight="1">
      <c r="A453" s="67"/>
      <c r="B453" s="68" t="str">
        <f>IF(ISNA(VLOOKUP(A453,Declarations!B$6:C$185,2,FALSE)),"",IF(VLOOKUP(A453,Declarations!B$6:C$185,2,FALSE)="","---",VLOOKUP(A453,Declarations!B$6:C$185,2,FALSE)))</f>
        <v/>
      </c>
      <c r="C453" s="68" t="str">
        <f>IF(ISNA(VLOOKUP(A453,Declarations!B$6:F$185,5,FALSE)),"",IF(VLOOKUP(A453,Declarations!B$6:F$185,5,FALSE)="","---",VLOOKUP(A453,Declarations!B$6:F$185,5,FALSE)))</f>
        <v/>
      </c>
      <c r="D453" s="319" t="str">
        <f>IF(ISNA(VLOOKUP(A453,Declarations!B$6:F$185,4,FALSE)),"",IF(VLOOKUP(A453,Declarations!B$6:F$185,4,FALSE)="","---",VLOOKUP(A453,Declarations!B$6:F$185,4,FALSE)))</f>
        <v/>
      </c>
      <c r="E453" s="67"/>
      <c r="F453" s="320"/>
      <c r="G453" s="244" t="s">
        <v>147</v>
      </c>
      <c r="H453" s="320"/>
    </row>
    <row r="454" spans="1:8" ht="19.95" customHeight="1">
      <c r="A454" s="67"/>
      <c r="B454" s="68" t="str">
        <f>IF(ISNA(VLOOKUP(A454,Declarations!B$6:C$185,2,FALSE)),"",IF(VLOOKUP(A454,Declarations!B$6:C$185,2,FALSE)="","---",VLOOKUP(A454,Declarations!B$6:C$185,2,FALSE)))</f>
        <v/>
      </c>
      <c r="C454" s="68" t="str">
        <f>IF(ISNA(VLOOKUP(A454,Declarations!B$6:F$185,5,FALSE)),"",IF(VLOOKUP(A454,Declarations!B$6:F$185,5,FALSE)="","---",VLOOKUP(A454,Declarations!B$6:F$185,5,FALSE)))</f>
        <v/>
      </c>
      <c r="D454" s="319" t="str">
        <f>IF(ISNA(VLOOKUP(A454,Declarations!B$6:F$185,4,FALSE)),"",IF(VLOOKUP(A454,Declarations!B$6:F$185,4,FALSE)="","---",VLOOKUP(A454,Declarations!B$6:F$185,4,FALSE)))</f>
        <v/>
      </c>
      <c r="E454" s="67"/>
      <c r="F454" s="320"/>
      <c r="G454" s="244" t="s">
        <v>147</v>
      </c>
      <c r="H454" s="320"/>
    </row>
    <row r="455" spans="1:8" ht="19.95" customHeight="1">
      <c r="A455" s="67"/>
      <c r="B455" s="68" t="str">
        <f>IF(ISNA(VLOOKUP(A455,Declarations!B$6:C$185,2,FALSE)),"",IF(VLOOKUP(A455,Declarations!B$6:C$185,2,FALSE)="","---",VLOOKUP(A455,Declarations!B$6:C$185,2,FALSE)))</f>
        <v/>
      </c>
      <c r="C455" s="68" t="str">
        <f>IF(ISNA(VLOOKUP(A455,Declarations!B$6:F$185,5,FALSE)),"",IF(VLOOKUP(A455,Declarations!B$6:F$185,5,FALSE)="","---",VLOOKUP(A455,Declarations!B$6:F$185,5,FALSE)))</f>
        <v/>
      </c>
      <c r="D455" s="319" t="str">
        <f>IF(ISNA(VLOOKUP(A455,Declarations!B$6:F$185,4,FALSE)),"",IF(VLOOKUP(A455,Declarations!B$6:F$185,4,FALSE)="","---",VLOOKUP(A455,Declarations!B$6:F$185,4,FALSE)))</f>
        <v/>
      </c>
      <c r="E455" s="67"/>
      <c r="F455" s="320"/>
      <c r="G455" s="244" t="s">
        <v>147</v>
      </c>
      <c r="H455" s="320"/>
    </row>
    <row r="456" spans="1:8" ht="19.95" customHeight="1">
      <c r="A456" s="67"/>
      <c r="B456" s="68" t="str">
        <f>IF(ISNA(VLOOKUP(A456,Declarations!B$6:C$185,2,FALSE)),"",IF(VLOOKUP(A456,Declarations!B$6:C$185,2,FALSE)="","---",VLOOKUP(A456,Declarations!B$6:C$185,2,FALSE)))</f>
        <v/>
      </c>
      <c r="C456" s="68" t="str">
        <f>IF(ISNA(VLOOKUP(A456,Declarations!B$6:F$185,5,FALSE)),"",IF(VLOOKUP(A456,Declarations!B$6:F$185,5,FALSE)="","---",VLOOKUP(A456,Declarations!B$6:F$185,5,FALSE)))</f>
        <v/>
      </c>
      <c r="D456" s="319" t="str">
        <f>IF(ISNA(VLOOKUP(A456,Declarations!B$6:F$185,4,FALSE)),"",IF(VLOOKUP(A456,Declarations!B$6:F$185,4,FALSE)="","---",VLOOKUP(A456,Declarations!B$6:F$185,4,FALSE)))</f>
        <v/>
      </c>
      <c r="E456" s="67"/>
      <c r="F456" s="320"/>
      <c r="G456" s="244" t="s">
        <v>147</v>
      </c>
      <c r="H456" s="320"/>
    </row>
    <row r="457" spans="1:8" ht="19.95" customHeight="1">
      <c r="A457" s="67"/>
      <c r="B457" s="68" t="str">
        <f>IF(ISNA(VLOOKUP(A457,Declarations!B$6:C$185,2,FALSE)),"",IF(VLOOKUP(A457,Declarations!B$6:C$185,2,FALSE)="","---",VLOOKUP(A457,Declarations!B$6:C$185,2,FALSE)))</f>
        <v/>
      </c>
      <c r="C457" s="68" t="str">
        <f>IF(ISNA(VLOOKUP(A457,Declarations!B$6:F$185,5,FALSE)),"",IF(VLOOKUP(A457,Declarations!B$6:F$185,5,FALSE)="","---",VLOOKUP(A457,Declarations!B$6:F$185,5,FALSE)))</f>
        <v/>
      </c>
      <c r="D457" s="319" t="str">
        <f>IF(ISNA(VLOOKUP(A457,Declarations!B$6:F$185,4,FALSE)),"",IF(VLOOKUP(A457,Declarations!B$6:F$185,4,FALSE)="","---",VLOOKUP(A457,Declarations!B$6:F$185,4,FALSE)))</f>
        <v/>
      </c>
      <c r="E457" s="67"/>
      <c r="F457" s="320"/>
      <c r="G457" s="244" t="s">
        <v>147</v>
      </c>
      <c r="H457" s="320"/>
    </row>
    <row r="458" spans="1:8" ht="19.95" customHeight="1">
      <c r="A458" s="67"/>
      <c r="B458" s="68" t="str">
        <f>IF(ISNA(VLOOKUP(A458,Declarations!B$6:C$185,2,FALSE)),"",IF(VLOOKUP(A458,Declarations!B$6:C$185,2,FALSE)="","---",VLOOKUP(A458,Declarations!B$6:C$185,2,FALSE)))</f>
        <v/>
      </c>
      <c r="C458" s="68" t="str">
        <f>IF(ISNA(VLOOKUP(A458,Declarations!B$6:F$185,5,FALSE)),"",IF(VLOOKUP(A458,Declarations!B$6:F$185,5,FALSE)="","---",VLOOKUP(A458,Declarations!B$6:F$185,5,FALSE)))</f>
        <v/>
      </c>
      <c r="D458" s="319" t="str">
        <f>IF(ISNA(VLOOKUP(A458,Declarations!B$6:F$185,4,FALSE)),"",IF(VLOOKUP(A458,Declarations!B$6:F$185,4,FALSE)="","---",VLOOKUP(A458,Declarations!B$6:F$185,4,FALSE)))</f>
        <v/>
      </c>
      <c r="E458" s="67"/>
      <c r="F458" s="320"/>
      <c r="G458" s="244" t="s">
        <v>147</v>
      </c>
      <c r="H458" s="320"/>
    </row>
    <row r="459" spans="1:8" ht="19.95" customHeight="1">
      <c r="A459" s="67"/>
      <c r="B459" s="68" t="str">
        <f>IF(ISNA(VLOOKUP(A459,Declarations!B$6:C$185,2,FALSE)),"",IF(VLOOKUP(A459,Declarations!B$6:C$185,2,FALSE)="","---",VLOOKUP(A459,Declarations!B$6:C$185,2,FALSE)))</f>
        <v/>
      </c>
      <c r="C459" s="68" t="str">
        <f>IF(ISNA(VLOOKUP(A459,Declarations!B$6:F$185,5,FALSE)),"",IF(VLOOKUP(A459,Declarations!B$6:F$185,5,FALSE)="","---",VLOOKUP(A459,Declarations!B$6:F$185,5,FALSE)))</f>
        <v/>
      </c>
      <c r="D459" s="319" t="str">
        <f>IF(ISNA(VLOOKUP(A459,Declarations!B$6:F$185,4,FALSE)),"",IF(VLOOKUP(A459,Declarations!B$6:F$185,4,FALSE)="","---",VLOOKUP(A459,Declarations!B$6:F$185,4,FALSE)))</f>
        <v/>
      </c>
      <c r="E459" s="67"/>
      <c r="F459" s="320"/>
      <c r="G459" s="244" t="s">
        <v>147</v>
      </c>
      <c r="H459" s="320"/>
    </row>
    <row r="460" spans="1:8" ht="19.95" customHeight="1">
      <c r="A460" s="67"/>
      <c r="B460" s="68" t="str">
        <f>IF(ISNA(VLOOKUP(A460,Declarations!B$6:C$185,2,FALSE)),"",IF(VLOOKUP(A460,Declarations!B$6:C$185,2,FALSE)="","---",VLOOKUP(A460,Declarations!B$6:C$185,2,FALSE)))</f>
        <v/>
      </c>
      <c r="C460" s="68" t="str">
        <f>IF(ISNA(VLOOKUP(A460,Declarations!B$6:F$185,5,FALSE)),"",IF(VLOOKUP(A460,Declarations!B$6:F$185,5,FALSE)="","---",VLOOKUP(A460,Declarations!B$6:F$185,5,FALSE)))</f>
        <v/>
      </c>
      <c r="D460" s="319" t="str">
        <f>IF(ISNA(VLOOKUP(A460,Declarations!B$6:F$185,4,FALSE)),"",IF(VLOOKUP(A460,Declarations!B$6:F$185,4,FALSE)="","---",VLOOKUP(A460,Declarations!B$6:F$185,4,FALSE)))</f>
        <v/>
      </c>
      <c r="E460" s="67"/>
      <c r="F460" s="320"/>
      <c r="G460" s="244" t="s">
        <v>147</v>
      </c>
      <c r="H460" s="320"/>
    </row>
    <row r="461" spans="1:8" ht="19.95" customHeight="1">
      <c r="A461" s="67"/>
      <c r="B461" s="68" t="str">
        <f>IF(ISNA(VLOOKUP(A461,Declarations!B$6:C$185,2,FALSE)),"",IF(VLOOKUP(A461,Declarations!B$6:C$185,2,FALSE)="","---",VLOOKUP(A461,Declarations!B$6:C$185,2,FALSE)))</f>
        <v/>
      </c>
      <c r="C461" s="68" t="str">
        <f>IF(ISNA(VLOOKUP(A461,Declarations!B$6:F$185,5,FALSE)),"",IF(VLOOKUP(A461,Declarations!B$6:F$185,5,FALSE)="","---",VLOOKUP(A461,Declarations!B$6:F$185,5,FALSE)))</f>
        <v/>
      </c>
      <c r="D461" s="319" t="str">
        <f>IF(ISNA(VLOOKUP(A461,Declarations!B$6:F$185,4,FALSE)),"",IF(VLOOKUP(A461,Declarations!B$6:F$185,4,FALSE)="","---",VLOOKUP(A461,Declarations!B$6:F$185,4,FALSE)))</f>
        <v/>
      </c>
      <c r="E461" s="320"/>
      <c r="F461" s="320"/>
      <c r="G461" s="244" t="s">
        <v>147</v>
      </c>
      <c r="H461" s="320"/>
    </row>
    <row r="462" spans="1:8" ht="19.95" customHeight="1">
      <c r="A462" s="67"/>
      <c r="B462" s="68" t="str">
        <f>IF(ISNA(VLOOKUP(A462,Declarations!B$6:C$185,2,FALSE)),"",IF(VLOOKUP(A462,Declarations!B$6:C$185,2,FALSE)="","---",VLOOKUP(A462,Declarations!B$6:C$185,2,FALSE)))</f>
        <v/>
      </c>
      <c r="C462" s="68" t="str">
        <f>IF(ISNA(VLOOKUP(A462,Declarations!B$6:F$185,5,FALSE)),"",IF(VLOOKUP(A462,Declarations!B$6:F$185,5,FALSE)="","---",VLOOKUP(A462,Declarations!B$6:F$185,5,FALSE)))</f>
        <v/>
      </c>
      <c r="D462" s="319" t="str">
        <f>IF(ISNA(VLOOKUP(A462,Declarations!B$6:F$185,4,FALSE)),"",IF(VLOOKUP(A462,Declarations!B$6:F$185,4,FALSE)="","---",VLOOKUP(A462,Declarations!B$6:F$185,4,FALSE)))</f>
        <v/>
      </c>
      <c r="E462" s="320"/>
      <c r="F462" s="320"/>
      <c r="G462" s="244" t="s">
        <v>147</v>
      </c>
      <c r="H462" s="320"/>
    </row>
    <row r="463" spans="1:8" ht="19.95" customHeight="1">
      <c r="A463" s="67"/>
      <c r="B463" s="68" t="str">
        <f>IF(ISNA(VLOOKUP(A463,Declarations!B$6:C$185,2,FALSE)),"",IF(VLOOKUP(A463,Declarations!B$6:C$185,2,FALSE)="","---",VLOOKUP(A463,Declarations!B$6:C$185,2,FALSE)))</f>
        <v/>
      </c>
      <c r="C463" s="68" t="str">
        <f>IF(ISNA(VLOOKUP(A463,Declarations!B$6:F$185,5,FALSE)),"",IF(VLOOKUP(A463,Declarations!B$6:F$185,5,FALSE)="","---",VLOOKUP(A463,Declarations!B$6:F$185,5,FALSE)))</f>
        <v/>
      </c>
      <c r="D463" s="319" t="str">
        <f>IF(ISNA(VLOOKUP(A463,Declarations!B$6:F$185,4,FALSE)),"",IF(VLOOKUP(A463,Declarations!B$6:F$185,4,FALSE)="","---",VLOOKUP(A463,Declarations!B$6:F$185,4,FALSE)))</f>
        <v/>
      </c>
      <c r="E463" s="320"/>
      <c r="F463" s="320"/>
      <c r="G463" s="244" t="s">
        <v>147</v>
      </c>
      <c r="H463" s="320"/>
    </row>
    <row r="464" spans="1:8" ht="19.95" customHeight="1">
      <c r="A464" s="67"/>
      <c r="B464" s="68" t="str">
        <f>IF(ISNA(VLOOKUP(A464,Declarations!B$6:C$185,2,FALSE)),"",IF(VLOOKUP(A464,Declarations!B$6:C$185,2,FALSE)="","---",VLOOKUP(A464,Declarations!B$6:C$185,2,FALSE)))</f>
        <v/>
      </c>
      <c r="C464" s="68" t="str">
        <f>IF(ISNA(VLOOKUP(A464,Declarations!B$6:F$185,5,FALSE)),"",IF(VLOOKUP(A464,Declarations!B$6:F$185,5,FALSE)="","---",VLOOKUP(A464,Declarations!B$6:F$185,5,FALSE)))</f>
        <v/>
      </c>
      <c r="D464" s="319" t="str">
        <f>IF(ISNA(VLOOKUP(A464,Declarations!B$6:F$185,4,FALSE)),"",IF(VLOOKUP(A464,Declarations!B$6:F$185,4,FALSE)="","---",VLOOKUP(A464,Declarations!B$6:F$185,4,FALSE)))</f>
        <v/>
      </c>
      <c r="E464" s="320"/>
      <c r="F464" s="320"/>
      <c r="G464" s="244" t="s">
        <v>147</v>
      </c>
      <c r="H464" s="320"/>
    </row>
    <row r="465" spans="1:8" ht="19.95" customHeight="1">
      <c r="A465" s="67"/>
      <c r="B465" s="68" t="str">
        <f>IF(ISNA(VLOOKUP(A465,Declarations!B$6:C$185,2,FALSE)),"",IF(VLOOKUP(A465,Declarations!B$6:C$185,2,FALSE)="","---",VLOOKUP(A465,Declarations!B$6:C$185,2,FALSE)))</f>
        <v/>
      </c>
      <c r="C465" s="68" t="str">
        <f>IF(ISNA(VLOOKUP(A465,Declarations!B$6:F$185,5,FALSE)),"",IF(VLOOKUP(A465,Declarations!B$6:F$185,5,FALSE)="","---",VLOOKUP(A465,Declarations!B$6:F$185,5,FALSE)))</f>
        <v/>
      </c>
      <c r="D465" s="319" t="str">
        <f>IF(ISNA(VLOOKUP(A465,Declarations!B$6:F$185,4,FALSE)),"",IF(VLOOKUP(A465,Declarations!B$6:F$185,4,FALSE)="","---",VLOOKUP(A465,Declarations!B$6:F$185,4,FALSE)))</f>
        <v/>
      </c>
      <c r="E465" s="320"/>
      <c r="F465" s="320"/>
      <c r="G465" s="244" t="s">
        <v>147</v>
      </c>
      <c r="H465" s="320"/>
    </row>
    <row r="466" spans="1:8" ht="19.95" customHeight="1">
      <c r="A466" s="67"/>
      <c r="B466" s="68" t="str">
        <f>IF(ISNA(VLOOKUP(A466,Declarations!B$6:C$185,2,FALSE)),"",IF(VLOOKUP(A466,Declarations!B$6:C$185,2,FALSE)="","---",VLOOKUP(A466,Declarations!B$6:C$185,2,FALSE)))</f>
        <v/>
      </c>
      <c r="C466" s="68" t="str">
        <f>IF(ISNA(VLOOKUP(A466,Declarations!B$6:F$185,5,FALSE)),"",IF(VLOOKUP(A466,Declarations!B$6:F$185,5,FALSE)="","---",VLOOKUP(A466,Declarations!B$6:F$185,5,FALSE)))</f>
        <v/>
      </c>
      <c r="D466" s="319" t="str">
        <f>IF(ISNA(VLOOKUP(A466,Declarations!B$6:F$185,4,FALSE)),"",IF(VLOOKUP(A466,Declarations!B$6:F$185,4,FALSE)="","---",VLOOKUP(A466,Declarations!B$6:F$185,4,FALSE)))</f>
        <v/>
      </c>
      <c r="E466" s="320"/>
      <c r="F466" s="320"/>
      <c r="G466" s="244" t="s">
        <v>147</v>
      </c>
      <c r="H466" s="320"/>
    </row>
    <row r="467" spans="1:8" ht="19.95" customHeight="1">
      <c r="A467" s="67"/>
      <c r="B467" s="68" t="str">
        <f>IF(ISNA(VLOOKUP(A467,Declarations!B$6:C$185,2,FALSE)),"",IF(VLOOKUP(A467,Declarations!B$6:C$185,2,FALSE)="","---",VLOOKUP(A467,Declarations!B$6:C$185,2,FALSE)))</f>
        <v/>
      </c>
      <c r="C467" s="68" t="str">
        <f>IF(ISNA(VLOOKUP(A467,Declarations!B$6:F$185,5,FALSE)),"",IF(VLOOKUP(A467,Declarations!B$6:F$185,5,FALSE)="","---",VLOOKUP(A467,Declarations!B$6:F$185,5,FALSE)))</f>
        <v/>
      </c>
      <c r="D467" s="319" t="str">
        <f>IF(ISNA(VLOOKUP(A467,Declarations!B$6:F$185,4,FALSE)),"",IF(VLOOKUP(A467,Declarations!B$6:F$185,4,FALSE)="","---",VLOOKUP(A467,Declarations!B$6:F$185,4,FALSE)))</f>
        <v/>
      </c>
      <c r="E467" s="320"/>
      <c r="F467" s="320"/>
      <c r="G467" s="244" t="s">
        <v>147</v>
      </c>
      <c r="H467" s="320"/>
    </row>
    <row r="468" spans="1:8" ht="19.95" customHeight="1">
      <c r="A468" s="67"/>
      <c r="B468" s="68" t="str">
        <f>IF(ISNA(VLOOKUP(A468,Declarations!B$6:C$185,2,FALSE)),"",IF(VLOOKUP(A468,Declarations!B$6:C$185,2,FALSE)="","---",VLOOKUP(A468,Declarations!B$6:C$185,2,FALSE)))</f>
        <v/>
      </c>
      <c r="C468" s="68" t="str">
        <f>IF(ISNA(VLOOKUP(A468,Declarations!B$6:F$185,5,FALSE)),"",IF(VLOOKUP(A468,Declarations!B$6:F$185,5,FALSE)="","---",VLOOKUP(A468,Declarations!B$6:F$185,5,FALSE)))</f>
        <v/>
      </c>
      <c r="D468" s="319" t="str">
        <f>IF(ISNA(VLOOKUP(A468,Declarations!B$6:F$185,4,FALSE)),"",IF(VLOOKUP(A468,Declarations!B$6:F$185,4,FALSE)="","---",VLOOKUP(A468,Declarations!B$6:F$185,4,FALSE)))</f>
        <v/>
      </c>
      <c r="E468" s="320"/>
      <c r="F468" s="320"/>
      <c r="G468" s="244" t="s">
        <v>147</v>
      </c>
      <c r="H468" s="320"/>
    </row>
    <row r="469" spans="1:8" ht="19.95" customHeight="1">
      <c r="A469" s="67"/>
      <c r="B469" s="68" t="str">
        <f>IF(ISNA(VLOOKUP(A469,Declarations!B$6:C$185,2,FALSE)),"",IF(VLOOKUP(A469,Declarations!B$6:C$185,2,FALSE)="","---",VLOOKUP(A469,Declarations!B$6:C$185,2,FALSE)))</f>
        <v/>
      </c>
      <c r="C469" s="68" t="str">
        <f>IF(ISNA(VLOOKUP(A469,Declarations!B$6:F$185,5,FALSE)),"",IF(VLOOKUP(A469,Declarations!B$6:F$185,5,FALSE)="","---",VLOOKUP(A469,Declarations!B$6:F$185,5,FALSE)))</f>
        <v/>
      </c>
      <c r="D469" s="319" t="str">
        <f>IF(ISNA(VLOOKUP(A469,Declarations!B$6:F$185,4,FALSE)),"",IF(VLOOKUP(A469,Declarations!B$6:F$185,4,FALSE)="","---",VLOOKUP(A469,Declarations!B$6:F$185,4,FALSE)))</f>
        <v/>
      </c>
      <c r="E469" s="320"/>
      <c r="F469" s="320"/>
      <c r="G469" s="244" t="s">
        <v>147</v>
      </c>
      <c r="H469" s="320"/>
    </row>
    <row r="470" spans="1:8" ht="19.95" customHeight="1">
      <c r="A470" s="67"/>
      <c r="B470" s="68" t="str">
        <f>IF(ISNA(VLOOKUP(A470,Declarations!B$6:C$185,2,FALSE)),"",IF(VLOOKUP(A470,Declarations!B$6:C$185,2,FALSE)="","---",VLOOKUP(A470,Declarations!B$6:C$185,2,FALSE)))</f>
        <v/>
      </c>
      <c r="C470" s="68" t="str">
        <f>IF(ISNA(VLOOKUP(A470,Declarations!B$6:F$185,5,FALSE)),"",IF(VLOOKUP(A470,Declarations!B$6:F$185,5,FALSE)="","---",VLOOKUP(A470,Declarations!B$6:F$185,5,FALSE)))</f>
        <v/>
      </c>
      <c r="D470" s="319" t="str">
        <f>IF(ISNA(VLOOKUP(A470,Declarations!B$6:F$185,4,FALSE)),"",IF(VLOOKUP(A470,Declarations!B$6:F$185,4,FALSE)="","---",VLOOKUP(A470,Declarations!B$6:F$185,4,FALSE)))</f>
        <v/>
      </c>
      <c r="E470" s="320"/>
      <c r="F470" s="320"/>
      <c r="G470" s="244" t="s">
        <v>147</v>
      </c>
      <c r="H470" s="320"/>
    </row>
    <row r="471" spans="1:8" ht="19.95" customHeight="1">
      <c r="A471" s="67"/>
      <c r="B471" s="68" t="str">
        <f>IF(ISNA(VLOOKUP(A471,Declarations!B$6:C$185,2,FALSE)),"",IF(VLOOKUP(A471,Declarations!B$6:C$185,2,FALSE)="","---",VLOOKUP(A471,Declarations!B$6:C$185,2,FALSE)))</f>
        <v/>
      </c>
      <c r="C471" s="68" t="str">
        <f>IF(ISNA(VLOOKUP(A471,Declarations!B$6:F$185,5,FALSE)),"",IF(VLOOKUP(A471,Declarations!B$6:F$185,5,FALSE)="","---",VLOOKUP(A471,Declarations!B$6:F$185,5,FALSE)))</f>
        <v/>
      </c>
      <c r="D471" s="319" t="str">
        <f>IF(ISNA(VLOOKUP(A471,Declarations!B$6:F$185,4,FALSE)),"",IF(VLOOKUP(A471,Declarations!B$6:F$185,4,FALSE)="","---",VLOOKUP(A471,Declarations!B$6:F$185,4,FALSE)))</f>
        <v/>
      </c>
      <c r="E471" s="320"/>
      <c r="F471" s="320"/>
      <c r="G471" s="244" t="s">
        <v>147</v>
      </c>
      <c r="H471" s="320"/>
    </row>
    <row r="472" spans="1:8" ht="19.95" customHeight="1">
      <c r="A472" s="67"/>
      <c r="B472" s="68" t="str">
        <f>IF(ISNA(VLOOKUP(A472,Declarations!B$6:C$185,2,FALSE)),"",IF(VLOOKUP(A472,Declarations!B$6:C$185,2,FALSE)="","---",VLOOKUP(A472,Declarations!B$6:C$185,2,FALSE)))</f>
        <v/>
      </c>
      <c r="C472" s="68" t="str">
        <f>IF(ISNA(VLOOKUP(A472,Declarations!B$6:F$185,5,FALSE)),"",IF(VLOOKUP(A472,Declarations!B$6:F$185,5,FALSE)="","---",VLOOKUP(A472,Declarations!B$6:F$185,5,FALSE)))</f>
        <v/>
      </c>
      <c r="D472" s="319" t="str">
        <f>IF(ISNA(VLOOKUP(A472,Declarations!B$6:F$185,4,FALSE)),"",IF(VLOOKUP(A472,Declarations!B$6:F$185,4,FALSE)="","---",VLOOKUP(A472,Declarations!B$6:F$185,4,FALSE)))</f>
        <v/>
      </c>
      <c r="E472" s="320"/>
      <c r="F472" s="320"/>
      <c r="G472" s="244" t="s">
        <v>147</v>
      </c>
      <c r="H472" s="320"/>
    </row>
    <row r="473" spans="1:8" ht="19.95" customHeight="1">
      <c r="A473" s="67"/>
      <c r="B473" s="68" t="str">
        <f>IF(ISNA(VLOOKUP(A473,Declarations!B$6:C$185,2,FALSE)),"",IF(VLOOKUP(A473,Declarations!B$6:C$185,2,FALSE)="","---",VLOOKUP(A473,Declarations!B$6:C$185,2,FALSE)))</f>
        <v/>
      </c>
      <c r="C473" s="68" t="str">
        <f>IF(ISNA(VLOOKUP(A473,Declarations!B$6:F$185,5,FALSE)),"",IF(VLOOKUP(A473,Declarations!B$6:F$185,5,FALSE)="","---",VLOOKUP(A473,Declarations!B$6:F$185,5,FALSE)))</f>
        <v/>
      </c>
      <c r="D473" s="319" t="str">
        <f>IF(ISNA(VLOOKUP(A473,Declarations!B$6:F$185,4,FALSE)),"",IF(VLOOKUP(A473,Declarations!B$6:F$185,4,FALSE)="","---",VLOOKUP(A473,Declarations!B$6:F$185,4,FALSE)))</f>
        <v/>
      </c>
      <c r="E473" s="320"/>
      <c r="F473" s="320"/>
      <c r="G473" s="244" t="s">
        <v>147</v>
      </c>
      <c r="H473" s="320"/>
    </row>
    <row r="474" spans="1:8" ht="19.95" customHeight="1">
      <c r="A474" s="67"/>
      <c r="B474" s="68" t="str">
        <f>IF(ISNA(VLOOKUP(A474,Declarations!B$6:C$185,2,FALSE)),"",IF(VLOOKUP(A474,Declarations!B$6:C$185,2,FALSE)="","---",VLOOKUP(A474,Declarations!B$6:C$185,2,FALSE)))</f>
        <v/>
      </c>
      <c r="C474" s="68" t="str">
        <f>IF(ISNA(VLOOKUP(A474,Declarations!B$6:F$185,5,FALSE)),"",IF(VLOOKUP(A474,Declarations!B$6:F$185,5,FALSE)="","---",VLOOKUP(A474,Declarations!B$6:F$185,5,FALSE)))</f>
        <v/>
      </c>
      <c r="D474" s="319" t="str">
        <f>IF(ISNA(VLOOKUP(A474,Declarations!B$6:F$185,4,FALSE)),"",IF(VLOOKUP(A474,Declarations!B$6:F$185,4,FALSE)="","---",VLOOKUP(A474,Declarations!B$6:F$185,4,FALSE)))</f>
        <v/>
      </c>
      <c r="E474" s="320"/>
      <c r="F474" s="320"/>
      <c r="G474" s="244" t="s">
        <v>147</v>
      </c>
      <c r="H474" s="320"/>
    </row>
    <row r="475" spans="1:8" ht="15.6">
      <c r="A475" s="69"/>
      <c r="B475" s="70"/>
      <c r="C475" s="70"/>
      <c r="D475" s="70"/>
      <c r="E475" s="71"/>
      <c r="F475" s="71"/>
      <c r="G475" s="71"/>
      <c r="H475" s="71"/>
    </row>
    <row r="476" spans="1:8" ht="15.6">
      <c r="A476" s="69"/>
      <c r="B476" s="70"/>
      <c r="C476" s="70"/>
      <c r="D476" s="70"/>
      <c r="E476" s="498" t="s">
        <v>138</v>
      </c>
      <c r="F476" s="498"/>
      <c r="G476" s="490" t="s">
        <v>139</v>
      </c>
      <c r="H476" s="490"/>
    </row>
    <row r="477" spans="1:8" ht="15.6">
      <c r="A477" s="69"/>
      <c r="B477" s="503" t="s">
        <v>148</v>
      </c>
      <c r="C477" s="504"/>
      <c r="D477" s="70"/>
      <c r="E477" s="490"/>
      <c r="F477" s="490"/>
      <c r="G477" s="490"/>
      <c r="H477" s="490"/>
    </row>
    <row r="478" spans="1:8" ht="15.6">
      <c r="A478" s="69"/>
      <c r="B478" s="505"/>
      <c r="C478" s="506"/>
      <c r="D478" s="70"/>
      <c r="E478" s="490"/>
      <c r="F478" s="490"/>
      <c r="G478" s="490"/>
      <c r="H478" s="490"/>
    </row>
    <row r="479" spans="1:8" ht="15.6">
      <c r="A479" s="69"/>
      <c r="B479" s="70"/>
      <c r="C479" s="70"/>
      <c r="D479" s="70"/>
      <c r="E479" s="490"/>
      <c r="F479" s="490"/>
      <c r="G479" s="490"/>
      <c r="H479" s="490"/>
    </row>
    <row r="480" spans="1:8" ht="7.95" customHeight="1">
      <c r="A480" s="69"/>
      <c r="B480" s="70"/>
      <c r="C480" s="70"/>
      <c r="D480" s="70"/>
      <c r="E480" s="71"/>
      <c r="F480" s="71"/>
      <c r="G480" s="71"/>
      <c r="H480" s="71"/>
    </row>
  </sheetData>
  <sheetProtection sheet="1" objects="1" scenarios="1"/>
  <mergeCells count="96">
    <mergeCell ref="A363:D363"/>
    <mergeCell ref="E396:F396"/>
    <mergeCell ref="G396:H396"/>
    <mergeCell ref="E397:F399"/>
    <mergeCell ref="G397:H399"/>
    <mergeCell ref="B397:C398"/>
    <mergeCell ref="A441:H441"/>
    <mergeCell ref="E442:H442"/>
    <mergeCell ref="B437:C438"/>
    <mergeCell ref="B477:C478"/>
    <mergeCell ref="A443:D443"/>
    <mergeCell ref="E476:F476"/>
    <mergeCell ref="G476:H476"/>
    <mergeCell ref="E477:F479"/>
    <mergeCell ref="G477:H479"/>
    <mergeCell ref="A401:H401"/>
    <mergeCell ref="E402:H402"/>
    <mergeCell ref="A403:D403"/>
    <mergeCell ref="E437:F439"/>
    <mergeCell ref="G437:H439"/>
    <mergeCell ref="G436:H436"/>
    <mergeCell ref="E436:F436"/>
    <mergeCell ref="G276:H276"/>
    <mergeCell ref="E277:F279"/>
    <mergeCell ref="G277:H279"/>
    <mergeCell ref="A361:H361"/>
    <mergeCell ref="E362:H362"/>
    <mergeCell ref="A323:D323"/>
    <mergeCell ref="E356:F356"/>
    <mergeCell ref="G356:H356"/>
    <mergeCell ref="E357:F359"/>
    <mergeCell ref="G357:H359"/>
    <mergeCell ref="B357:C358"/>
    <mergeCell ref="E82:H82"/>
    <mergeCell ref="A321:H321"/>
    <mergeCell ref="E322:H322"/>
    <mergeCell ref="A281:H281"/>
    <mergeCell ref="E282:H282"/>
    <mergeCell ref="A283:D283"/>
    <mergeCell ref="E316:F316"/>
    <mergeCell ref="G316:H316"/>
    <mergeCell ref="E317:F319"/>
    <mergeCell ref="G317:H319"/>
    <mergeCell ref="B317:C318"/>
    <mergeCell ref="B277:C278"/>
    <mergeCell ref="A241:H241"/>
    <mergeCell ref="E242:H242"/>
    <mergeCell ref="A243:D243"/>
    <mergeCell ref="E276:F276"/>
    <mergeCell ref="E37:F39"/>
    <mergeCell ref="G37:H39"/>
    <mergeCell ref="A81:H81"/>
    <mergeCell ref="B37:C38"/>
    <mergeCell ref="B77:C78"/>
    <mergeCell ref="A41:H41"/>
    <mergeCell ref="E42:H42"/>
    <mergeCell ref="A43:D43"/>
    <mergeCell ref="E76:F76"/>
    <mergeCell ref="G76:H76"/>
    <mergeCell ref="E77:F79"/>
    <mergeCell ref="G77:H79"/>
    <mergeCell ref="A1:H1"/>
    <mergeCell ref="E2:H2"/>
    <mergeCell ref="A3:D3"/>
    <mergeCell ref="E36:F36"/>
    <mergeCell ref="G36:H36"/>
    <mergeCell ref="E236:F236"/>
    <mergeCell ref="G236:H236"/>
    <mergeCell ref="E237:F239"/>
    <mergeCell ref="G237:H239"/>
    <mergeCell ref="B117:C118"/>
    <mergeCell ref="B157:C158"/>
    <mergeCell ref="B197:C198"/>
    <mergeCell ref="B237:C238"/>
    <mergeCell ref="A161:H161"/>
    <mergeCell ref="E196:F196"/>
    <mergeCell ref="G196:H196"/>
    <mergeCell ref="E197:F199"/>
    <mergeCell ref="E162:H162"/>
    <mergeCell ref="E157:F159"/>
    <mergeCell ref="G157:H159"/>
    <mergeCell ref="A163:D163"/>
    <mergeCell ref="A83:D83"/>
    <mergeCell ref="A123:D123"/>
    <mergeCell ref="E117:F119"/>
    <mergeCell ref="G117:H119"/>
    <mergeCell ref="G116:H116"/>
    <mergeCell ref="E116:F116"/>
    <mergeCell ref="A121:H121"/>
    <mergeCell ref="E122:H122"/>
    <mergeCell ref="G197:H199"/>
    <mergeCell ref="A201:H201"/>
    <mergeCell ref="E202:H202"/>
    <mergeCell ref="A203:D203"/>
    <mergeCell ref="E156:F156"/>
    <mergeCell ref="G156:H156"/>
  </mergeCells>
  <conditionalFormatting sqref="A1:H40">
    <cfRule type="expression" dxfId="13" priority="19">
      <formula>$A$5="!"</formula>
    </cfRule>
  </conditionalFormatting>
  <conditionalFormatting sqref="A41:H80">
    <cfRule type="expression" dxfId="12" priority="20">
      <formula>$A$45="!"</formula>
    </cfRule>
  </conditionalFormatting>
  <conditionalFormatting sqref="A81:H120">
    <cfRule type="expression" dxfId="11" priority="21">
      <formula>$A$85="!"</formula>
    </cfRule>
  </conditionalFormatting>
  <conditionalFormatting sqref="A121:H160">
    <cfRule type="expression" dxfId="10" priority="23">
      <formula>$A$125="!"</formula>
    </cfRule>
  </conditionalFormatting>
  <conditionalFormatting sqref="A161:H200">
    <cfRule type="expression" dxfId="9" priority="24">
      <formula>$A$165="!"</formula>
    </cfRule>
  </conditionalFormatting>
  <conditionalFormatting sqref="A201:H240">
    <cfRule type="expression" dxfId="8" priority="25">
      <formula>$A$205="!"</formula>
    </cfRule>
  </conditionalFormatting>
  <conditionalFormatting sqref="A241:H280">
    <cfRule type="expression" dxfId="7" priority="29">
      <formula>$A$245="!"</formula>
    </cfRule>
  </conditionalFormatting>
  <conditionalFormatting sqref="A281:H320">
    <cfRule type="expression" dxfId="6" priority="30">
      <formula>$A$285="!"</formula>
    </cfRule>
  </conditionalFormatting>
  <conditionalFormatting sqref="A321:H360">
    <cfRule type="expression" dxfId="5" priority="31">
      <formula>$A$325="!"</formula>
    </cfRule>
  </conditionalFormatting>
  <conditionalFormatting sqref="A361:H400">
    <cfRule type="expression" dxfId="4" priority="33">
      <formula>$A$365="!"</formula>
    </cfRule>
  </conditionalFormatting>
  <conditionalFormatting sqref="A401:H440">
    <cfRule type="expression" dxfId="3" priority="34">
      <formula>$A$405="!"</formula>
    </cfRule>
  </conditionalFormatting>
  <conditionalFormatting sqref="A441:H480">
    <cfRule type="expression" dxfId="2" priority="35">
      <formula>$A$445="!"</formula>
    </cfRule>
  </conditionalFormatting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75" fitToHeight="2" orientation="landscape" r:id="rId1"/>
  <headerFooter scaleWithDoc="0" alignWithMargins="0"/>
  <rowBreaks count="11" manualBreakCount="11">
    <brk id="40" max="16383" man="1"/>
    <brk id="80" max="16383" man="1"/>
    <brk id="120" max="16383" man="1"/>
    <brk id="160" max="16383" man="1"/>
    <brk id="200" max="16383" man="1"/>
    <brk id="240" max="7" man="1"/>
    <brk id="280" max="7" man="1"/>
    <brk id="320" max="7" man="1"/>
    <brk id="360" max="7" man="1"/>
    <brk id="400" max="7" man="1"/>
    <brk id="44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Read Me First</vt:lpstr>
      <vt:lpstr>75m</vt:lpstr>
      <vt:lpstr>600m</vt:lpstr>
      <vt:lpstr>LongJump</vt:lpstr>
      <vt:lpstr>Vortex</vt:lpstr>
      <vt:lpstr>QKResults</vt:lpstr>
      <vt:lpstr>Declarations</vt:lpstr>
      <vt:lpstr>Timetable</vt:lpstr>
      <vt:lpstr>FieldCards</vt:lpstr>
      <vt:lpstr>Data</vt:lpstr>
      <vt:lpstr>ScoringTable</vt:lpstr>
      <vt:lpstr>BlockAllocations</vt:lpstr>
      <vt:lpstr>(Not in Use - funetics)</vt:lpstr>
      <vt:lpstr>'(Not in Use - funetics)'!Print_Area</vt:lpstr>
      <vt:lpstr>'600m'!Print_Area</vt:lpstr>
      <vt:lpstr>Declarations!Print_Area</vt:lpstr>
      <vt:lpstr>FieldCards!Print_Area</vt:lpstr>
      <vt:lpstr>LongJump!Print_Area</vt:lpstr>
      <vt:lpstr>QKResults!Print_Area</vt:lpstr>
      <vt:lpstr>Timetable!Print_Area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OTFL QuadKids Scoring System</dc:title>
  <dc:subject/>
  <dc:creator>Annalise Dobson</dc:creator>
  <cp:keywords/>
  <dc:description>With thanks to the Wessex League, Darryn Campbell and Nigel Harding</dc:description>
  <cp:lastModifiedBy>Lyn Mant</cp:lastModifiedBy>
  <cp:revision/>
  <cp:lastPrinted>2026-06-27T15:18:15Z</cp:lastPrinted>
  <dcterms:created xsi:type="dcterms:W3CDTF">2005-05-11T17:15:37Z</dcterms:created>
  <dcterms:modified xsi:type="dcterms:W3CDTF">2026-06-29T10:22:23Z</dcterms:modified>
  <cp:category/>
  <cp:contentStatus/>
</cp:coreProperties>
</file>